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信息" sheetId="72"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76" r:id="rId21"/>
    <sheet name="2023-2024大兴、房山住宅土地案例" sheetId="80" r:id="rId22"/>
    <sheet name="剩余法-待开发" sheetId="12" r:id="rId23"/>
    <sheet name="剩余法-现房" sheetId="43" state="hidden" r:id="rId24"/>
    <sheet name="比较法-工业" sheetId="40" state="hidden" r:id="rId25"/>
    <sheet name="不动产比较法-住宅" sheetId="21" r:id="rId26"/>
    <sheet name="不动产比较法-车位" sheetId="35" r:id="rId27"/>
    <sheet name="选取案例住宅" sheetId="81" r:id="rId28"/>
    <sheet name="选取案例车位" sheetId="82" r:id="rId29"/>
    <sheet name="旧案例" sheetId="78" state="hidden" r:id="rId30"/>
    <sheet name="不动产收益法-机械车位" sheetId="79" r:id="rId31"/>
    <sheet name="不动产收益法-酒店模型" sheetId="68" r:id="rId32"/>
    <sheet name="不动产收益法" sheetId="15" r:id="rId33"/>
    <sheet name="不动产收益法-商业" sheetId="77" r:id="rId34"/>
    <sheet name="基准地价（汇总）" sheetId="67" state="hidden" r:id="rId35"/>
    <sheet name="基准地价" sheetId="46" state="hidden" r:id="rId36"/>
    <sheet name="修正" sheetId="49" state="hidden" r:id="rId37"/>
    <sheet name="区片价" sheetId="48" state="hidden" r:id="rId38"/>
    <sheet name="区片价-范围" sheetId="71" state="hidden" r:id="rId39"/>
    <sheet name="容积率修正" sheetId="45" state="hidden" r:id="rId40"/>
    <sheet name="因素修正幅度" sheetId="56" state="hidden" r:id="rId41"/>
    <sheet name="地价" sheetId="59" state="hidden" r:id="rId42"/>
    <sheet name="地价-分区" sheetId="70" state="hidden" r:id="rId43"/>
    <sheet name="收益还原法" sheetId="44" state="hidden" r:id="rId44"/>
    <sheet name="基准地价 (2)" sheetId="74" state="hidden" r:id="rId45"/>
    <sheet name="基准地价 (3)" sheetId="75" state="hidden" r:id="rId46"/>
    <sheet name="成本逼近法" sheetId="11" state="hidden" r:id="rId47"/>
    <sheet name="不动产比较法-商业" sheetId="33" state="hidden" r:id="rId48"/>
    <sheet name="不动产比较法-办公" sheetId="34" state="hidden" r:id="rId49"/>
    <sheet name="不动产比较法-工业" sheetId="37"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s>
  <definedNames>
    <definedName name="_xlnm._FilterDatabase" localSheetId="21" hidden="1">'2023-2024大兴、房山住宅土地案例'!$A$1:$AD$30</definedName>
    <definedName name="_xlnm._FilterDatabase" localSheetId="24" hidden="1">'比较法-工业'!$A$1:$L$45</definedName>
    <definedName name="_xlnm._FilterDatabase" localSheetId="19" hidden="1">'比较法-住宅、综合'!$A$1:$L$50</definedName>
    <definedName name="_xlnm._FilterDatabase" localSheetId="48" hidden="1">'不动产比较法-办公'!$A$1:$L$50</definedName>
    <definedName name="_xlnm._FilterDatabase" localSheetId="50" hidden="1">'不动产比较法-仓储'!$A$1:$L$37</definedName>
    <definedName name="_xlnm._FilterDatabase" localSheetId="26" hidden="1">'不动产比较法-车位'!$A$1:$L$39</definedName>
    <definedName name="_xlnm._FilterDatabase" localSheetId="49" hidden="1">'不动产比较法-工业'!$A$1:$L$43</definedName>
    <definedName name="_xlnm._FilterDatabase" localSheetId="47" hidden="1">'不动产比较法-商业'!$A$1:$L$49</definedName>
    <definedName name="_xlnm._FilterDatabase" localSheetId="25" hidden="1">'不动产比较法-住宅'!$A$1:$L$49</definedName>
    <definedName name="_xlnm._FilterDatabase" localSheetId="11" hidden="1">'数据-基础表'!$A$12:$AT$572</definedName>
    <definedName name="_xlnm._FilterDatabase" localSheetId="20" hidden="1">土地案例!$A$6:$BM$56</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48">'不动产比较法-办公'!$A$1:$K$55,'不动产比较法-办公'!$A$58:$M$132</definedName>
    <definedName name="_xlnm.Print_Area" localSheetId="50">'不动产比较法-仓储'!$A$1:$K$42,'不动产比较法-仓储'!$A$45:$M$96</definedName>
    <definedName name="_xlnm.Print_Area" localSheetId="26">'不动产比较法-车位'!$A$1:$K$44,'不动产比较法-车位'!$A$47:$M$102</definedName>
    <definedName name="_xlnm.Print_Area" localSheetId="49">'不动产比较法-工业'!$A$1:$K$48,'不动产比较法-工业'!$A$51:$M$113</definedName>
    <definedName name="_xlnm.Print_Area" localSheetId="47">'不动产比较法-商业'!$A$1:$K$54,'不动产比较法-商业'!$A$57:$M$131</definedName>
    <definedName name="_xlnm.Print_Area" localSheetId="25">'不动产比较法-住宅'!$A$1:$K$54,'不动产比较法-住宅'!$A$57:$M$131</definedName>
    <definedName name="_xlnm.Print_Area" localSheetId="32">不动产收益法!$A$1:$F$43,不动产收益法!$H$3:$M$29,不动产收益法!$A$46:$F$70,不动产收益法!$I$46:$M$60</definedName>
    <definedName name="_xlnm.Print_Area" localSheetId="30">'不动产收益法-机械车位'!$A$1:$F$43,'不动产收益法-机械车位'!$H$3:$M$29,'不动产收益法-机械车位'!$A$46:$F$70,'不动产收益法-机械车位'!$I$46:$M$60</definedName>
    <definedName name="_xlnm.Print_Area" localSheetId="33">'不动产收益法-商业'!$A$1:$F$43,'不动产收益法-商业'!$H$3:$M$29,'不动产收益法-商业'!$A$46:$F$70,'不动产收益法-商业'!$I$46:$M$60</definedName>
    <definedName name="_xlnm.Print_Area" localSheetId="46">成本逼近法!$A$1:$G$23</definedName>
    <definedName name="_xlnm.Print_Area" localSheetId="16">估价对象房地状况!$A$1:$G$24</definedName>
    <definedName name="_xlnm.Print_Area" localSheetId="7">估价师及机构信息!$A$1:$F$23</definedName>
    <definedName name="_xlnm.Print_Area" localSheetId="35">基准地价!$A$1:$J$44,基准地价!$A$47:$N$103,基准地价!$R$1:$V$16</definedName>
    <definedName name="_xlnm.Print_Area" localSheetId="44">'基准地价 (2)'!$A$1:$J$44,'基准地价 (2)'!$A$47:$N$103,'基准地价 (2)'!$R$1:$V$16</definedName>
    <definedName name="_xlnm.Print_Area" localSheetId="45">'基准地价 (3)'!$A$1:$J$44,'基准地价 (3)'!$A$47:$N$103,'基准地价 (3)'!$R$1:$V$16</definedName>
    <definedName name="_xlnm.Print_Area" localSheetId="34">'基准地价（汇总）'!$A$1:$F$14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4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 (2)'!$N$19:$AB$19</definedName>
    <definedName name="季度" localSheetId="45">'基准地价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BH253" i="76" l="1"/>
  <c r="BH252" i="76"/>
  <c r="BH251" i="76"/>
  <c r="BH250" i="76"/>
  <c r="BH246" i="76" l="1"/>
  <c r="BN240" i="76"/>
  <c r="BH247" i="76"/>
  <c r="E48" i="39" s="1"/>
  <c r="L14" i="1"/>
  <c r="BH240" i="76"/>
  <c r="N56" i="39"/>
  <c r="AM27" i="1" l="1"/>
  <c r="M8" i="12"/>
  <c r="AM22" i="1"/>
  <c r="W9" i="1" l="1"/>
  <c r="Y9" i="1"/>
  <c r="E56" i="35" l="1"/>
  <c r="D56" i="35"/>
  <c r="D66" i="21"/>
  <c r="E66" i="21" s="1"/>
  <c r="F66" i="21" s="1"/>
  <c r="G66" i="21" s="1"/>
  <c r="D119" i="39" l="1"/>
  <c r="E119" i="39" s="1"/>
  <c r="F119" i="39" s="1"/>
  <c r="G119" i="39" s="1"/>
  <c r="H16" i="72" l="1"/>
  <c r="H15" i="72"/>
  <c r="I47" i="21"/>
  <c r="G47" i="21"/>
  <c r="E47" i="21"/>
  <c r="L90" i="82"/>
  <c r="L89" i="82"/>
  <c r="L88" i="82"/>
  <c r="L87" i="82"/>
  <c r="L86" i="82"/>
  <c r="L85" i="82"/>
  <c r="L84" i="82"/>
  <c r="L83" i="82"/>
  <c r="L82" i="82"/>
  <c r="L81" i="82"/>
  <c r="L80" i="82"/>
  <c r="L79" i="82"/>
  <c r="L78" i="82"/>
  <c r="L77" i="82"/>
  <c r="L76" i="82"/>
  <c r="L75" i="82"/>
  <c r="L74" i="82"/>
  <c r="L73" i="82"/>
  <c r="L72" i="82"/>
  <c r="L71" i="82"/>
  <c r="L70" i="82"/>
  <c r="L69" i="82"/>
  <c r="L68" i="82"/>
  <c r="L67" i="82"/>
  <c r="L66" i="82"/>
  <c r="L65" i="82"/>
  <c r="L64" i="82"/>
  <c r="L63" i="82"/>
  <c r="L62" i="82"/>
  <c r="L61" i="82"/>
  <c r="L60" i="82"/>
  <c r="L59" i="82"/>
  <c r="L58" i="82"/>
  <c r="L57" i="82"/>
  <c r="L56" i="82"/>
  <c r="L55" i="82"/>
  <c r="L54" i="82"/>
  <c r="I37" i="35" s="1"/>
  <c r="L53" i="82"/>
  <c r="L52" i="82"/>
  <c r="L39" i="82"/>
  <c r="L40" i="82"/>
  <c r="L41" i="82"/>
  <c r="L42" i="82"/>
  <c r="L43" i="82"/>
  <c r="L44" i="82"/>
  <c r="L45" i="82"/>
  <c r="L46" i="82"/>
  <c r="L47" i="82"/>
  <c r="L48" i="82"/>
  <c r="L49" i="82"/>
  <c r="L50" i="82"/>
  <c r="L51" i="82"/>
  <c r="L38" i="82"/>
  <c r="L21" i="82"/>
  <c r="L22" i="82"/>
  <c r="L23" i="82"/>
  <c r="L24" i="82"/>
  <c r="L25" i="82"/>
  <c r="L26" i="82"/>
  <c r="L27" i="82"/>
  <c r="L28" i="82"/>
  <c r="L29" i="82"/>
  <c r="L30" i="82"/>
  <c r="L31" i="82"/>
  <c r="L32" i="82"/>
  <c r="L33" i="82"/>
  <c r="L34" i="82"/>
  <c r="L35" i="82"/>
  <c r="L36" i="82"/>
  <c r="L20" i="82"/>
  <c r="L4" i="82"/>
  <c r="L5" i="82"/>
  <c r="L6" i="82"/>
  <c r="L7" i="82"/>
  <c r="L8" i="82"/>
  <c r="L9" i="82"/>
  <c r="L10" i="82"/>
  <c r="L11" i="82"/>
  <c r="L12" i="82"/>
  <c r="L13" i="82"/>
  <c r="L14" i="82"/>
  <c r="L15" i="82"/>
  <c r="L16" i="82"/>
  <c r="L17" i="82"/>
  <c r="L18" i="82"/>
  <c r="L3" i="82"/>
  <c r="P380" i="82"/>
  <c r="P334" i="82"/>
  <c r="P279" i="82"/>
  <c r="BH245" i="76"/>
  <c r="E29" i="1"/>
  <c r="I6" i="72"/>
  <c r="I7" i="72" s="1"/>
  <c r="W144" i="78"/>
  <c r="W143" i="78"/>
  <c r="W142" i="78"/>
  <c r="W137" i="78"/>
  <c r="L37" i="82"/>
  <c r="G37" i="35" s="1"/>
  <c r="L19" i="82"/>
  <c r="E37" i="35" s="1"/>
  <c r="V22" i="1"/>
  <c r="U23" i="1"/>
  <c r="V23" i="1" s="1"/>
  <c r="O14" i="73"/>
  <c r="I9" i="72" l="1"/>
  <c r="I8" i="72"/>
  <c r="L31" i="1"/>
  <c r="G46" i="68" l="1"/>
  <c r="L10" i="1"/>
  <c r="C38" i="9" l="1"/>
  <c r="I5" i="21" l="1"/>
  <c r="AK20" i="1" l="1"/>
  <c r="B21" i="73"/>
  <c r="B30" i="73"/>
  <c r="AT13" i="3" s="1"/>
  <c r="B10" i="73"/>
  <c r="B3" i="73"/>
  <c r="I15" i="39"/>
  <c r="G15" i="39"/>
  <c r="E15" i="39"/>
  <c r="C15" i="39"/>
  <c r="C37" i="9"/>
  <c r="G5" i="35"/>
  <c r="E5" i="35"/>
  <c r="Q73" i="79"/>
  <c r="Q60" i="79"/>
  <c r="D60" i="79"/>
  <c r="Q59" i="79"/>
  <c r="K59" i="79"/>
  <c r="P75" i="79" s="1"/>
  <c r="F58" i="79"/>
  <c r="Q52" i="79"/>
  <c r="J50" i="79"/>
  <c r="J51" i="79" s="1"/>
  <c r="M47" i="79"/>
  <c r="F33" i="79"/>
  <c r="F60" i="79" s="1"/>
  <c r="F31" i="79"/>
  <c r="F23" i="79"/>
  <c r="D24" i="79" s="1"/>
  <c r="F21" i="79"/>
  <c r="F20" i="79"/>
  <c r="M19" i="79"/>
  <c r="F18" i="79"/>
  <c r="M17" i="79"/>
  <c r="F15" i="79"/>
  <c r="AM10" i="1"/>
  <c r="AL10" i="1"/>
  <c r="AK10" i="1"/>
  <c r="V10" i="1"/>
  <c r="I10" i="1"/>
  <c r="H10" i="1"/>
  <c r="AF21" i="1"/>
  <c r="AH19" i="1"/>
  <c r="D104" i="21"/>
  <c r="E104" i="21" s="1"/>
  <c r="G5" i="21"/>
  <c r="E5" i="21"/>
  <c r="D14" i="9"/>
  <c r="Q73" i="77"/>
  <c r="Q60" i="77"/>
  <c r="D60" i="77"/>
  <c r="Q59" i="77"/>
  <c r="K59" i="77"/>
  <c r="P75" i="77" s="1"/>
  <c r="F58" i="77"/>
  <c r="Q52" i="77"/>
  <c r="J50" i="77"/>
  <c r="J51" i="77" s="1"/>
  <c r="M47" i="77"/>
  <c r="F33" i="77"/>
  <c r="F60" i="77" s="1"/>
  <c r="F31" i="77"/>
  <c r="F23" i="77"/>
  <c r="D24" i="77" s="1"/>
  <c r="F21" i="77"/>
  <c r="F20" i="77"/>
  <c r="M19" i="77"/>
  <c r="F18" i="77"/>
  <c r="M17" i="77"/>
  <c r="F15" i="77"/>
  <c r="K60" i="68"/>
  <c r="K61" i="68" s="1"/>
  <c r="K62" i="68" s="1"/>
  <c r="K63" i="68" s="1"/>
  <c r="K64" i="68" s="1"/>
  <c r="C34" i="68"/>
  <c r="E34" i="68" s="1"/>
  <c r="AH10" i="1" l="1"/>
  <c r="D23" i="79"/>
  <c r="D23" i="77"/>
  <c r="D22" i="77"/>
  <c r="D22" i="79"/>
  <c r="P62" i="79"/>
  <c r="L46" i="79"/>
  <c r="D34" i="68"/>
  <c r="P62" i="77"/>
  <c r="I48" i="39" l="1"/>
  <c r="G48" i="39"/>
  <c r="I40" i="39"/>
  <c r="G40" i="39"/>
  <c r="E40" i="39"/>
  <c r="G126" i="39"/>
  <c r="F126" i="39"/>
  <c r="E126" i="39"/>
  <c r="D126" i="39"/>
  <c r="C126" i="39"/>
  <c r="G124" i="39"/>
  <c r="F124" i="39"/>
  <c r="E124" i="39"/>
  <c r="D124" i="39"/>
  <c r="C124"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M100" i="75"/>
  <c r="N100" i="75" s="1"/>
  <c r="K100" i="75"/>
  <c r="J100" i="75" s="1"/>
  <c r="D100" i="75"/>
  <c r="M99" i="75"/>
  <c r="N99" i="75" s="1"/>
  <c r="K99" i="75"/>
  <c r="J99" i="75" s="1"/>
  <c r="D99" i="75"/>
  <c r="M98" i="75"/>
  <c r="N98" i="75" s="1"/>
  <c r="K98" i="75"/>
  <c r="J98" i="75" s="1"/>
  <c r="D98" i="75"/>
  <c r="M97" i="75"/>
  <c r="N97" i="75" s="1"/>
  <c r="K97" i="75"/>
  <c r="J97" i="75" s="1"/>
  <c r="D97" i="75"/>
  <c r="B97" i="75"/>
  <c r="M96" i="75"/>
  <c r="N96" i="75" s="1"/>
  <c r="K96" i="75"/>
  <c r="J96" i="75" s="1"/>
  <c r="D96" i="75"/>
  <c r="M95" i="75"/>
  <c r="N95" i="75" s="1"/>
  <c r="K95" i="75"/>
  <c r="J95" i="75" s="1"/>
  <c r="D95" i="75"/>
  <c r="B95" i="75"/>
  <c r="M94" i="75"/>
  <c r="N94" i="75" s="1"/>
  <c r="K94" i="75"/>
  <c r="J94" i="75" s="1"/>
  <c r="D94" i="75"/>
  <c r="M93" i="75"/>
  <c r="N93" i="75" s="1"/>
  <c r="K93" i="75"/>
  <c r="J93" i="75" s="1"/>
  <c r="F93" i="75"/>
  <c r="H101" i="75" s="1"/>
  <c r="D93" i="75"/>
  <c r="M90" i="75"/>
  <c r="N90" i="75" s="1"/>
  <c r="K90" i="75"/>
  <c r="J90" i="75" s="1"/>
  <c r="D90" i="75"/>
  <c r="M89" i="75"/>
  <c r="N89" i="75" s="1"/>
  <c r="K89" i="75"/>
  <c r="J89" i="75" s="1"/>
  <c r="D89" i="75"/>
  <c r="M88" i="75"/>
  <c r="N88" i="75" s="1"/>
  <c r="K88" i="75"/>
  <c r="J88" i="75" s="1"/>
  <c r="D88" i="75"/>
  <c r="M87" i="75"/>
  <c r="N87" i="75" s="1"/>
  <c r="K87" i="75"/>
  <c r="J87" i="75" s="1"/>
  <c r="D87" i="75"/>
  <c r="M86" i="75"/>
  <c r="N86" i="75" s="1"/>
  <c r="K86" i="75"/>
  <c r="J86" i="75" s="1"/>
  <c r="D86" i="75"/>
  <c r="B86" i="75"/>
  <c r="M85" i="75"/>
  <c r="N85" i="75" s="1"/>
  <c r="K85" i="75"/>
  <c r="J85" i="75" s="1"/>
  <c r="D85" i="75"/>
  <c r="B85" i="75"/>
  <c r="M84" i="75"/>
  <c r="N84" i="75" s="1"/>
  <c r="K84" i="75"/>
  <c r="J84" i="75" s="1"/>
  <c r="D84" i="75"/>
  <c r="M83" i="75"/>
  <c r="N83" i="75" s="1"/>
  <c r="K83" i="75"/>
  <c r="J83" i="75" s="1"/>
  <c r="F83" i="75"/>
  <c r="H88" i="75" s="1"/>
  <c r="D83" i="75"/>
  <c r="M80" i="75"/>
  <c r="N80" i="75" s="1"/>
  <c r="K80" i="75"/>
  <c r="J80" i="75" s="1"/>
  <c r="M79" i="75"/>
  <c r="N79" i="75" s="1"/>
  <c r="K79" i="75"/>
  <c r="J79" i="75" s="1"/>
  <c r="D79" i="75"/>
  <c r="M78" i="75"/>
  <c r="N78" i="75" s="1"/>
  <c r="K78" i="75"/>
  <c r="J78" i="75" s="1"/>
  <c r="M77" i="75"/>
  <c r="N77" i="75" s="1"/>
  <c r="K77" i="75"/>
  <c r="J77" i="75" s="1"/>
  <c r="D77" i="75" s="1"/>
  <c r="M76" i="75"/>
  <c r="N76" i="75" s="1"/>
  <c r="K76" i="75"/>
  <c r="J76" i="75" s="1"/>
  <c r="D76" i="75"/>
  <c r="M75" i="75"/>
  <c r="N75" i="75" s="1"/>
  <c r="K75" i="75"/>
  <c r="J75" i="75" s="1"/>
  <c r="D75" i="75"/>
  <c r="M74" i="75"/>
  <c r="N74" i="75" s="1"/>
  <c r="K74" i="75"/>
  <c r="J74" i="75" s="1"/>
  <c r="B74" i="75"/>
  <c r="M73" i="75"/>
  <c r="N73" i="75" s="1"/>
  <c r="K73" i="75"/>
  <c r="J73" i="75" s="1"/>
  <c r="D73" i="75"/>
  <c r="M72" i="75"/>
  <c r="N72" i="75" s="1"/>
  <c r="K72" i="75"/>
  <c r="J72" i="75" s="1"/>
  <c r="F72" i="75"/>
  <c r="H77" i="75" s="1"/>
  <c r="D72" i="75"/>
  <c r="M69" i="75"/>
  <c r="N69" i="75" s="1"/>
  <c r="K69" i="75"/>
  <c r="J69" i="75" s="1"/>
  <c r="D69" i="75"/>
  <c r="M68" i="75"/>
  <c r="N68" i="75" s="1"/>
  <c r="K68" i="75"/>
  <c r="J68" i="75" s="1"/>
  <c r="D68" i="75"/>
  <c r="M67" i="75"/>
  <c r="N67" i="75" s="1"/>
  <c r="K67" i="75"/>
  <c r="J67" i="75" s="1"/>
  <c r="D67" i="75"/>
  <c r="M66" i="75"/>
  <c r="N66" i="75" s="1"/>
  <c r="K66" i="75"/>
  <c r="J66" i="75" s="1"/>
  <c r="D66" i="75"/>
  <c r="M65" i="75"/>
  <c r="N65" i="75" s="1"/>
  <c r="K65" i="75"/>
  <c r="J65" i="75" s="1"/>
  <c r="D65" i="75"/>
  <c r="M64" i="75"/>
  <c r="N64" i="75" s="1"/>
  <c r="K64" i="75"/>
  <c r="J64" i="75" s="1"/>
  <c r="D64" i="75"/>
  <c r="M63" i="75"/>
  <c r="N63" i="75" s="1"/>
  <c r="K63" i="75"/>
  <c r="J63" i="75" s="1"/>
  <c r="D63" i="75"/>
  <c r="B63" i="75"/>
  <c r="M62" i="75"/>
  <c r="N62" i="75" s="1"/>
  <c r="K62" i="75"/>
  <c r="J62" i="75" s="1"/>
  <c r="D62" i="75"/>
  <c r="M61" i="75"/>
  <c r="N61" i="75" s="1"/>
  <c r="K61" i="75"/>
  <c r="J61" i="75" s="1"/>
  <c r="D61" i="75"/>
  <c r="M58" i="75"/>
  <c r="N58" i="75" s="1"/>
  <c r="K58" i="75"/>
  <c r="J58" i="75" s="1"/>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s="1"/>
  <c r="M52" i="75"/>
  <c r="N52" i="75" s="1"/>
  <c r="K52" i="75"/>
  <c r="D52" i="75" s="1"/>
  <c r="B52" i="75"/>
  <c r="M51" i="75"/>
  <c r="N51" i="75" s="1"/>
  <c r="K51" i="75"/>
  <c r="J51" i="75" s="1"/>
  <c r="D51" i="75"/>
  <c r="M50" i="75"/>
  <c r="N50" i="75" s="1"/>
  <c r="K50" i="75"/>
  <c r="J50" i="75" s="1"/>
  <c r="H42" i="75"/>
  <c r="H41" i="75"/>
  <c r="H40" i="75"/>
  <c r="H39" i="75"/>
  <c r="H38" i="75"/>
  <c r="H37" i="75"/>
  <c r="J24" i="75"/>
  <c r="G24" i="75"/>
  <c r="E44" i="75" s="1"/>
  <c r="E24" i="75"/>
  <c r="O32" i="75" s="1"/>
  <c r="I23" i="75"/>
  <c r="C22" i="75"/>
  <c r="G17" i="75"/>
  <c r="C17" i="75"/>
  <c r="C13" i="75"/>
  <c r="Y10" i="75"/>
  <c r="C10" i="75"/>
  <c r="C11" i="75" s="1"/>
  <c r="AJ9" i="75"/>
  <c r="AJ10" i="75" s="1"/>
  <c r="AI9" i="75"/>
  <c r="AI10" i="75" s="1"/>
  <c r="AH9" i="75"/>
  <c r="AH10" i="75" s="1"/>
  <c r="AG9" i="75"/>
  <c r="AG10" i="75" s="1"/>
  <c r="AF9" i="75"/>
  <c r="AF10" i="75" s="1"/>
  <c r="AE9" i="75"/>
  <c r="AE10" i="75" s="1"/>
  <c r="AD9" i="75"/>
  <c r="AD10" i="75" s="1"/>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M100" i="74"/>
  <c r="N100" i="74" s="1"/>
  <c r="K100" i="74"/>
  <c r="J100" i="74" s="1"/>
  <c r="D100" i="74"/>
  <c r="M99" i="74"/>
  <c r="N99" i="74" s="1"/>
  <c r="K99" i="74"/>
  <c r="J99" i="74" s="1"/>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s="1"/>
  <c r="D94" i="74"/>
  <c r="M93" i="74"/>
  <c r="N93" i="74" s="1"/>
  <c r="K93" i="74"/>
  <c r="J93" i="74" s="1"/>
  <c r="F93" i="74"/>
  <c r="H101" i="74" s="1"/>
  <c r="D93" i="74"/>
  <c r="M90" i="74"/>
  <c r="N90" i="74" s="1"/>
  <c r="K90" i="74"/>
  <c r="J90" i="74" s="1"/>
  <c r="D90" i="74"/>
  <c r="M89" i="74"/>
  <c r="N89" i="74" s="1"/>
  <c r="K89" i="74"/>
  <c r="J89" i="74" s="1"/>
  <c r="D89" i="74"/>
  <c r="M88" i="74"/>
  <c r="N88" i="74" s="1"/>
  <c r="K88" i="74"/>
  <c r="J88" i="74" s="1"/>
  <c r="D88" i="74"/>
  <c r="M87" i="74"/>
  <c r="N87" i="74" s="1"/>
  <c r="K87" i="74"/>
  <c r="J87" i="74" s="1"/>
  <c r="D87" i="74"/>
  <c r="M86" i="74"/>
  <c r="N86" i="74" s="1"/>
  <c r="K86" i="74"/>
  <c r="J86" i="74" s="1"/>
  <c r="D86" i="74"/>
  <c r="B86" i="74"/>
  <c r="M85" i="74"/>
  <c r="N85" i="74" s="1"/>
  <c r="K85" i="74"/>
  <c r="J85" i="74" s="1"/>
  <c r="D85" i="74"/>
  <c r="B85" i="74"/>
  <c r="M84" i="74"/>
  <c r="N84" i="74" s="1"/>
  <c r="K84" i="74"/>
  <c r="J84" i="74" s="1"/>
  <c r="D84" i="74"/>
  <c r="M83" i="74"/>
  <c r="N83" i="74" s="1"/>
  <c r="K83" i="74"/>
  <c r="J83" i="74" s="1"/>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s="1"/>
  <c r="D76" i="74"/>
  <c r="M75" i="74"/>
  <c r="N75" i="74" s="1"/>
  <c r="K75" i="74"/>
  <c r="J75" i="74" s="1"/>
  <c r="D75" i="74"/>
  <c r="M74" i="74"/>
  <c r="N74" i="74" s="1"/>
  <c r="K74" i="74"/>
  <c r="J74" i="74" s="1"/>
  <c r="B74" i="74"/>
  <c r="M73" i="74"/>
  <c r="N73" i="74" s="1"/>
  <c r="K73" i="74"/>
  <c r="J73" i="74" s="1"/>
  <c r="D73" i="74"/>
  <c r="M72" i="74"/>
  <c r="N72" i="74" s="1"/>
  <c r="K72" i="74"/>
  <c r="J72" i="74" s="1"/>
  <c r="D72" i="74"/>
  <c r="M69" i="74"/>
  <c r="N69" i="74" s="1"/>
  <c r="K69" i="74"/>
  <c r="J69" i="74" s="1"/>
  <c r="D69" i="74"/>
  <c r="M68" i="74"/>
  <c r="N68" i="74" s="1"/>
  <c r="K68" i="74"/>
  <c r="J68" i="74" s="1"/>
  <c r="D68" i="74"/>
  <c r="M67" i="74"/>
  <c r="N67" i="74" s="1"/>
  <c r="K67" i="74"/>
  <c r="J67" i="74" s="1"/>
  <c r="D67" i="74"/>
  <c r="M66" i="74"/>
  <c r="N66" i="74" s="1"/>
  <c r="K66" i="74"/>
  <c r="J66" i="74" s="1"/>
  <c r="D66" i="74"/>
  <c r="M65" i="74"/>
  <c r="N65" i="74" s="1"/>
  <c r="K65" i="74"/>
  <c r="J65" i="74" s="1"/>
  <c r="D65" i="74"/>
  <c r="M64" i="74"/>
  <c r="N64" i="74" s="1"/>
  <c r="K64" i="74"/>
  <c r="J64" i="74" s="1"/>
  <c r="D64" i="74"/>
  <c r="M63" i="74"/>
  <c r="N63" i="74" s="1"/>
  <c r="K63" i="74"/>
  <c r="J63" i="74" s="1"/>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M52" i="74"/>
  <c r="N52" i="74" s="1"/>
  <c r="K52" i="74"/>
  <c r="J52" i="74" s="1"/>
  <c r="B52" i="74"/>
  <c r="M51" i="74"/>
  <c r="N51" i="74" s="1"/>
  <c r="K51" i="74"/>
  <c r="J51" i="74" s="1"/>
  <c r="D51" i="74"/>
  <c r="M50" i="74"/>
  <c r="N50" i="74" s="1"/>
  <c r="K50" i="74"/>
  <c r="J50" i="74" s="1"/>
  <c r="H42" i="74"/>
  <c r="H41" i="74"/>
  <c r="H40" i="74"/>
  <c r="H39" i="74"/>
  <c r="H38" i="74"/>
  <c r="H37" i="74"/>
  <c r="J24" i="74"/>
  <c r="G24" i="74"/>
  <c r="E24" i="74"/>
  <c r="P32" i="74" s="1"/>
  <c r="I23" i="74"/>
  <c r="C22" i="74"/>
  <c r="G17" i="74"/>
  <c r="C17" i="74"/>
  <c r="C13" i="74"/>
  <c r="Y10" i="74"/>
  <c r="C10" i="74"/>
  <c r="C11" i="74" s="1"/>
  <c r="AJ9" i="74"/>
  <c r="AJ10" i="74" s="1"/>
  <c r="AI9" i="74"/>
  <c r="AI10" i="74" s="1"/>
  <c r="AH9" i="74"/>
  <c r="AH10" i="74" s="1"/>
  <c r="AG9" i="74"/>
  <c r="AG10" i="74" s="1"/>
  <c r="AF9" i="74"/>
  <c r="AF10" i="74" s="1"/>
  <c r="AE9" i="74"/>
  <c r="AE10" i="74" s="1"/>
  <c r="AD9" i="74"/>
  <c r="AD10" i="74" s="1"/>
  <c r="AC9" i="74"/>
  <c r="AC10" i="74" s="1"/>
  <c r="AB9" i="74"/>
  <c r="AB10" i="74" s="1"/>
  <c r="AA9" i="74"/>
  <c r="AA10" i="74" s="1"/>
  <c r="Z9" i="74"/>
  <c r="Z10" i="74" s="1"/>
  <c r="C9" i="74"/>
  <c r="C7" i="74"/>
  <c r="G3" i="74"/>
  <c r="G26" i="74" s="1"/>
  <c r="I2" i="74"/>
  <c r="N12" i="74" s="1"/>
  <c r="G2" i="74"/>
  <c r="F37" i="74" s="1"/>
  <c r="C13" i="46"/>
  <c r="B59" i="1"/>
  <c r="E14" i="68" s="1"/>
  <c r="B35" i="1"/>
  <c r="N14" i="1"/>
  <c r="N9" i="1"/>
  <c r="N10" i="1" s="1"/>
  <c r="N8" i="1"/>
  <c r="N7" i="1"/>
  <c r="J52" i="75" l="1"/>
  <c r="N32" i="74"/>
  <c r="D52" i="74"/>
  <c r="O32" i="74"/>
  <c r="D50" i="75"/>
  <c r="D53" i="75"/>
  <c r="D80" i="75"/>
  <c r="E10" i="74"/>
  <c r="E8" i="74"/>
  <c r="D53" i="74"/>
  <c r="M32" i="74"/>
  <c r="E61" i="75"/>
  <c r="B59" i="75" s="1"/>
  <c r="G18" i="75"/>
  <c r="E10" i="75"/>
  <c r="E8" i="75"/>
  <c r="F17" i="79"/>
  <c r="F17" i="77"/>
  <c r="D50" i="74"/>
  <c r="D74" i="74"/>
  <c r="D80" i="74"/>
  <c r="E93" i="74"/>
  <c r="B91" i="74" s="1"/>
  <c r="D74" i="75"/>
  <c r="E93" i="75"/>
  <c r="B91" i="75" s="1"/>
  <c r="E61" i="74"/>
  <c r="B59" i="74" s="1"/>
  <c r="Q32" i="74"/>
  <c r="E83" i="74"/>
  <c r="B81" i="74" s="1"/>
  <c r="E83" i="75"/>
  <c r="B81" i="75" s="1"/>
  <c r="S4" i="75"/>
  <c r="H95" i="75"/>
  <c r="S5" i="75"/>
  <c r="H93" i="75"/>
  <c r="H96" i="75"/>
  <c r="H75" i="75"/>
  <c r="H78" i="75"/>
  <c r="H99" i="75"/>
  <c r="M6" i="75"/>
  <c r="N9" i="75"/>
  <c r="F61" i="75" s="1"/>
  <c r="M10" i="75"/>
  <c r="L21" i="75"/>
  <c r="E26" i="75"/>
  <c r="P32" i="75"/>
  <c r="F41" i="75"/>
  <c r="M3" i="75"/>
  <c r="N4" i="75"/>
  <c r="N1" i="75"/>
  <c r="M2" i="75"/>
  <c r="N3" i="75"/>
  <c r="N6" i="75"/>
  <c r="C27" i="75"/>
  <c r="Q32" i="75"/>
  <c r="M1" i="75"/>
  <c r="N10" i="75"/>
  <c r="E11" i="75"/>
  <c r="H21" i="75"/>
  <c r="M21" i="75"/>
  <c r="F26" i="75"/>
  <c r="N2" i="75"/>
  <c r="S3" i="75"/>
  <c r="M5" i="75"/>
  <c r="S6" i="75"/>
  <c r="M7" i="75"/>
  <c r="X7" i="75"/>
  <c r="N8" i="75"/>
  <c r="E9" i="75"/>
  <c r="M11" i="75"/>
  <c r="M12" i="75"/>
  <c r="C21" i="75"/>
  <c r="I21" i="75"/>
  <c r="O21" i="75"/>
  <c r="I18" i="75"/>
  <c r="M32" i="75"/>
  <c r="M8" i="75"/>
  <c r="H117" i="75"/>
  <c r="F42" i="75"/>
  <c r="F40" i="75"/>
  <c r="F38" i="75"/>
  <c r="F37" i="75"/>
  <c r="N21" i="75"/>
  <c r="J21" i="75"/>
  <c r="S2" i="75"/>
  <c r="B117" i="75"/>
  <c r="H26" i="75"/>
  <c r="M4" i="75"/>
  <c r="N5" i="75"/>
  <c r="N7" i="75"/>
  <c r="Z7" i="75"/>
  <c r="M9" i="75"/>
  <c r="C6" i="75" s="1"/>
  <c r="N11" i="75"/>
  <c r="D21" i="75"/>
  <c r="K21" i="75"/>
  <c r="J26" i="75"/>
  <c r="N32" i="75"/>
  <c r="F50"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N7" i="74"/>
  <c r="Z7" i="74"/>
  <c r="M9" i="74"/>
  <c r="C6" i="74" s="1"/>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O13" i="3"/>
  <c r="AF20" i="1" s="1"/>
  <c r="M13" i="3"/>
  <c r="K13" i="3"/>
  <c r="I13" i="3"/>
  <c r="A3" i="3"/>
  <c r="C40" i="39" s="1"/>
  <c r="B2" i="73"/>
  <c r="I17" i="4"/>
  <c r="H17" i="4"/>
  <c r="G17" i="4"/>
  <c r="F17" i="4"/>
  <c r="C11" i="4"/>
  <c r="D3" i="4"/>
  <c r="E50" i="75" l="1"/>
  <c r="B48" i="75" s="1"/>
  <c r="C28" i="75" s="1"/>
  <c r="E17" i="75"/>
  <c r="AF22" i="1"/>
  <c r="AH20" i="1" s="1"/>
  <c r="H66" i="75"/>
  <c r="H68" i="75"/>
  <c r="H64" i="75"/>
  <c r="H62" i="75"/>
  <c r="H65" i="75"/>
  <c r="H61" i="75"/>
  <c r="H69" i="75"/>
  <c r="H63" i="75"/>
  <c r="H67" i="75"/>
  <c r="H56" i="75"/>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H21" i="1" l="1"/>
  <c r="AK21" i="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H26" i="1" l="1"/>
  <c r="AH27" i="1" s="1"/>
  <c r="AM21" i="1" s="1"/>
  <c r="AK22" i="1"/>
  <c r="AH9" i="1"/>
  <c r="G15" i="65"/>
  <c r="F15" i="65"/>
  <c r="E15" i="65"/>
  <c r="G13" i="65"/>
  <c r="F13" i="65"/>
  <c r="E13" i="65"/>
  <c r="G16" i="65"/>
  <c r="F16" i="65"/>
  <c r="E16" i="65"/>
  <c r="G22" i="6" l="1"/>
  <c r="AM20" i="1"/>
  <c r="G23" i="6" s="1"/>
  <c r="AB32" i="70"/>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M44" i="70"/>
  <c r="P44" i="70" s="1"/>
  <c r="L44" i="70"/>
  <c r="I44" i="70"/>
  <c r="AD44" i="70" s="1"/>
  <c r="N43" i="70"/>
  <c r="U43" i="70" s="1"/>
  <c r="M43" i="70"/>
  <c r="P43" i="70" s="1"/>
  <c r="L43" i="70"/>
  <c r="S43" i="70" s="1"/>
  <c r="I43" i="70"/>
  <c r="N42" i="70"/>
  <c r="M42" i="70"/>
  <c r="P42" i="70" s="1"/>
  <c r="L42" i="70"/>
  <c r="I42" i="70"/>
  <c r="AD42" i="70" s="1"/>
  <c r="N41" i="70"/>
  <c r="U41" i="70" s="1"/>
  <c r="M41" i="70"/>
  <c r="P41" i="70" s="1"/>
  <c r="L41" i="70"/>
  <c r="S41" i="70" s="1"/>
  <c r="I41" i="70"/>
  <c r="N40" i="70"/>
  <c r="M40" i="70"/>
  <c r="P40" i="70" s="1"/>
  <c r="L40" i="70"/>
  <c r="I40" i="70"/>
  <c r="AD40" i="70" s="1"/>
  <c r="N39" i="70"/>
  <c r="M39" i="70"/>
  <c r="L39" i="70"/>
  <c r="I39" i="70"/>
  <c r="N33" i="70"/>
  <c r="M33" i="70"/>
  <c r="M28" i="70" s="1"/>
  <c r="P28" i="70" s="1"/>
  <c r="L33" i="70"/>
  <c r="L28" i="70" s="1"/>
  <c r="I33" i="70"/>
  <c r="N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U42" i="70"/>
  <c r="U44" i="70"/>
  <c r="AD34" i="70"/>
  <c r="AD41" i="70"/>
  <c r="AD43" i="70"/>
  <c r="AD45" i="70"/>
  <c r="AB3" i="70"/>
  <c r="V18" i="70"/>
  <c r="Z3" i="70"/>
  <c r="S40" i="70"/>
  <c r="S42" i="70"/>
  <c r="S44" i="70"/>
  <c r="F7" i="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E22" i="69"/>
  <c r="G22" i="69" s="1"/>
  <c r="F12" i="69"/>
  <c r="F11" i="69"/>
  <c r="D7" i="69"/>
  <c r="D6" i="69"/>
  <c r="D5" i="69"/>
  <c r="G23" i="69" l="1"/>
  <c r="C18" i="69"/>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35" i="68"/>
  <c r="U34" i="68" s="1"/>
  <c r="F26" i="43"/>
  <c r="R19" i="68" l="1"/>
  <c r="R5" i="68" s="1"/>
  <c r="R24" i="68"/>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G47" i="68" s="1"/>
  <c r="G48" i="68" s="1"/>
  <c r="G49" i="68" s="1"/>
  <c r="G50" i="68" s="1"/>
  <c r="C29" i="68"/>
  <c r="AH13" i="59"/>
  <c r="AG13" i="59"/>
  <c r="AE13" i="59"/>
  <c r="AF13" i="59" s="1"/>
  <c r="AD13" i="59"/>
  <c r="Q13" i="59"/>
  <c r="P13" i="59"/>
  <c r="O13" i="59"/>
  <c r="N13" i="59"/>
  <c r="H50" i="68" l="1"/>
  <c r="I50" i="68" s="1"/>
  <c r="G51" i="68"/>
  <c r="G52" i="68" s="1"/>
  <c r="G53" i="68" s="1"/>
  <c r="G54" i="68" s="1"/>
  <c r="G55" i="68" s="1"/>
  <c r="G56" i="68" s="1"/>
  <c r="G57" i="68" s="1"/>
  <c r="E23" i="68"/>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A26" i="51" s="1"/>
  <c r="B19" i="63" s="1"/>
  <c r="B44" i="63"/>
  <c r="B40" i="63"/>
  <c r="B30" i="63"/>
  <c r="B27" i="63"/>
  <c r="B25" i="63"/>
  <c r="A11" i="51"/>
  <c r="B10" i="63" s="1"/>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s="1"/>
  <c r="F40" i="59" s="1"/>
  <c r="P38" i="59"/>
  <c r="E39" i="59" s="1"/>
  <c r="O38" i="59"/>
  <c r="N38" i="59"/>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D30" i="59"/>
  <c r="D51" i="59"/>
  <c r="D81" i="59"/>
  <c r="C88" i="59"/>
  <c r="D88" i="59" s="1"/>
  <c r="U16" i="4"/>
  <c r="S16" i="4"/>
  <c r="Q16" i="4"/>
  <c r="O16" i="4"/>
  <c r="M16" i="4"/>
  <c r="K16" i="4"/>
  <c r="P26" i="6"/>
  <c r="L26" i="6"/>
  <c r="P25" i="6"/>
  <c r="L25" i="6"/>
  <c r="P24" i="6"/>
  <c r="L24" i="6"/>
  <c r="L23" i="6"/>
  <c r="L22" i="6"/>
  <c r="L21"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H37" i="39" s="1"/>
  <c r="U37" i="39" s="1"/>
  <c r="B113" i="39"/>
  <c r="F38" i="39" s="1"/>
  <c r="J30" i="36"/>
  <c r="H30" i="36"/>
  <c r="U30" i="36"/>
  <c r="F30" i="36"/>
  <c r="AA30" i="36" s="1"/>
  <c r="C26" i="35"/>
  <c r="C79" i="35" s="1"/>
  <c r="J31" i="35"/>
  <c r="AC31" i="35" s="1"/>
  <c r="H31" i="35"/>
  <c r="AB31" i="35" s="1"/>
  <c r="F31" i="35"/>
  <c r="D87" i="35"/>
  <c r="E87" i="35" s="1"/>
  <c r="F87" i="35" s="1"/>
  <c r="G87" i="35" s="1"/>
  <c r="H29" i="35" s="1"/>
  <c r="H34" i="37"/>
  <c r="AB34" i="37" s="1"/>
  <c r="D101" i="37"/>
  <c r="F34" i="37"/>
  <c r="D99" i="37"/>
  <c r="E99" i="37" s="1"/>
  <c r="F99" i="37" s="1"/>
  <c r="G99" i="37" s="1"/>
  <c r="H99" i="37" s="1"/>
  <c r="I99" i="37" s="1"/>
  <c r="J99" i="37" s="1"/>
  <c r="K99" i="37" s="1"/>
  <c r="L99" i="37" s="1"/>
  <c r="M99" i="37" s="1"/>
  <c r="H42" i="34"/>
  <c r="AB42" i="34" s="1"/>
  <c r="J42" i="34"/>
  <c r="AC42" i="34" s="1"/>
  <c r="F42" i="34"/>
  <c r="S42" i="34" s="1"/>
  <c r="J38" i="34"/>
  <c r="AC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s="1"/>
  <c r="AA34" i="40" s="1"/>
  <c r="B102" i="40"/>
  <c r="J33" i="40" s="1"/>
  <c r="AC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F29" i="40" s="1"/>
  <c r="AA29" i="40" s="1"/>
  <c r="D93" i="40"/>
  <c r="E93" i="40" s="1"/>
  <c r="F93" i="40" s="1"/>
  <c r="G93" i="40" s="1"/>
  <c r="D91" i="40"/>
  <c r="D89" i="40"/>
  <c r="E89" i="40" s="1"/>
  <c r="F89" i="40" s="1"/>
  <c r="G89" i="40" s="1"/>
  <c r="H21" i="40"/>
  <c r="AB21" i="40" s="1"/>
  <c r="D87" i="40"/>
  <c r="E87" i="40" s="1"/>
  <c r="F87" i="40" s="1"/>
  <c r="G87" i="40" s="1"/>
  <c r="D85" i="40"/>
  <c r="E85" i="40" s="1"/>
  <c r="F85" i="40" s="1"/>
  <c r="G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J41" i="39" s="1"/>
  <c r="AC4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S46" i="39" s="1"/>
  <c r="B128" i="39"/>
  <c r="J45" i="39" s="1"/>
  <c r="AC45" i="39" s="1"/>
  <c r="D127" i="39"/>
  <c r="D123" i="39"/>
  <c r="E123" i="39" s="1"/>
  <c r="F123" i="39" s="1"/>
  <c r="G123" i="39" s="1"/>
  <c r="H123" i="39" s="1"/>
  <c r="I123" i="39" s="1"/>
  <c r="J123" i="39" s="1"/>
  <c r="K123" i="39" s="1"/>
  <c r="L123" i="39" s="1"/>
  <c r="M123" i="39" s="1"/>
  <c r="B105" i="39"/>
  <c r="J33" i="39" s="1"/>
  <c r="AC33"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AA16" i="39" s="1"/>
  <c r="B85" i="39"/>
  <c r="B83" i="39"/>
  <c r="H14" i="39" s="1"/>
  <c r="AB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AC38" i="37" s="1"/>
  <c r="C23" i="37"/>
  <c r="C19" i="37"/>
  <c r="C17" i="37"/>
  <c r="C15" i="37"/>
  <c r="B112" i="37"/>
  <c r="F40" i="37" s="1"/>
  <c r="D107" i="37"/>
  <c r="E107" i="37" s="1"/>
  <c r="F107" i="37" s="1"/>
  <c r="G107" i="37" s="1"/>
  <c r="H107" i="37" s="1"/>
  <c r="I107" i="37" s="1"/>
  <c r="J107" i="37" s="1"/>
  <c r="K107" i="37" s="1"/>
  <c r="L107" i="37" s="1"/>
  <c r="M107" i="37" s="1"/>
  <c r="D105" i="37"/>
  <c r="E105" i="37" s="1"/>
  <c r="H36" i="37"/>
  <c r="AB36"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F27" i="37" s="1"/>
  <c r="AA27" i="37" s="1"/>
  <c r="B82" i="37"/>
  <c r="J26" i="37" s="1"/>
  <c r="D79" i="37"/>
  <c r="E79" i="37" s="1"/>
  <c r="F79" i="37" s="1"/>
  <c r="G79" i="37" s="1"/>
  <c r="D75" i="37"/>
  <c r="E75" i="37" s="1"/>
  <c r="F75" i="37" s="1"/>
  <c r="D73" i="37"/>
  <c r="E73" i="37" s="1"/>
  <c r="F73" i="37" s="1"/>
  <c r="G73" i="37" s="1"/>
  <c r="D71" i="37"/>
  <c r="E71" i="37" s="1"/>
  <c r="F71" i="37" s="1"/>
  <c r="G71" i="37" s="1"/>
  <c r="F15" i="37"/>
  <c r="AA15" i="37" s="1"/>
  <c r="B68" i="37"/>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F25" i="36" s="1"/>
  <c r="B73" i="36"/>
  <c r="J24" i="36" s="1"/>
  <c r="W24" i="36" s="1"/>
  <c r="B71" i="36"/>
  <c r="H23" i="36" s="1"/>
  <c r="D70" i="36"/>
  <c r="H22" i="36"/>
  <c r="AB22" i="36" s="1"/>
  <c r="D68" i="36"/>
  <c r="E68" i="36" s="1"/>
  <c r="D64" i="36"/>
  <c r="E64" i="36" s="1"/>
  <c r="F64" i="36" s="1"/>
  <c r="G64" i="36" s="1"/>
  <c r="J16" i="36"/>
  <c r="W16" i="36" s="1"/>
  <c r="D62" i="36"/>
  <c r="E62" i="36" s="1"/>
  <c r="B59" i="36"/>
  <c r="H13" i="36" s="1"/>
  <c r="AB13" i="36" s="1"/>
  <c r="B57" i="36"/>
  <c r="J12" i="36" s="1"/>
  <c r="W12" i="36" s="1"/>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AA8"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B77" i="35"/>
  <c r="F25" i="35" s="1"/>
  <c r="AA25" i="35" s="1"/>
  <c r="B75" i="35"/>
  <c r="B73" i="35"/>
  <c r="F23" i="35" s="1"/>
  <c r="B57" i="35"/>
  <c r="F11" i="35" s="1"/>
  <c r="S11" i="35" s="1"/>
  <c r="B61" i="35"/>
  <c r="F13" i="35" s="1"/>
  <c r="B59" i="35"/>
  <c r="H12" i="35" s="1"/>
  <c r="B131" i="34"/>
  <c r="F47" i="34" s="1"/>
  <c r="B129" i="34"/>
  <c r="J46" i="34" s="1"/>
  <c r="AC46" i="34" s="1"/>
  <c r="B127" i="34"/>
  <c r="J45" i="34" s="1"/>
  <c r="W45" i="34" s="1"/>
  <c r="B99" i="34"/>
  <c r="B97" i="34"/>
  <c r="J31" i="34" s="1"/>
  <c r="W31" i="34" s="1"/>
  <c r="B95" i="34"/>
  <c r="J30" i="34" s="1"/>
  <c r="W30" i="34" s="1"/>
  <c r="B93" i="34"/>
  <c r="H29" i="34" s="1"/>
  <c r="B75" i="34"/>
  <c r="B73" i="34"/>
  <c r="H13" i="34" s="1"/>
  <c r="B71" i="34"/>
  <c r="H12" i="34" s="1"/>
  <c r="AB12" i="34" s="1"/>
  <c r="B130" i="33"/>
  <c r="J46" i="33" s="1"/>
  <c r="AC46" i="33" s="1"/>
  <c r="B128" i="33"/>
  <c r="B126" i="33"/>
  <c r="H44" i="33" s="1"/>
  <c r="U44" i="33" s="1"/>
  <c r="B98" i="33"/>
  <c r="F31" i="33" s="1"/>
  <c r="AA31" i="33" s="1"/>
  <c r="B96" i="33"/>
  <c r="J30" i="33" s="1"/>
  <c r="AC30" i="33" s="1"/>
  <c r="B94" i="33"/>
  <c r="H29" i="33" s="1"/>
  <c r="B74" i="33"/>
  <c r="J14" i="33" s="1"/>
  <c r="AC14" i="33" s="1"/>
  <c r="B72" i="33"/>
  <c r="F13" i="33" s="1"/>
  <c r="B70"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U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AA8" i="33" s="1"/>
  <c r="M102" i="21"/>
  <c r="D102" i="21"/>
  <c r="E102" i="21"/>
  <c r="F102" i="21"/>
  <c r="G102" i="21"/>
  <c r="H102" i="21"/>
  <c r="I102" i="21"/>
  <c r="J102" i="21"/>
  <c r="K102" i="21"/>
  <c r="L102" i="21"/>
  <c r="C102" i="21"/>
  <c r="C63" i="21"/>
  <c r="F9" i="21" s="1"/>
  <c r="S9" i="21" s="1"/>
  <c r="G18" i="20"/>
  <c r="C25" i="40"/>
  <c r="G16" i="20"/>
  <c r="C19" i="40" s="1"/>
  <c r="G15" i="20"/>
  <c r="C24" i="20"/>
  <c r="B75" i="46" s="1"/>
  <c r="C21" i="20"/>
  <c r="B76" i="46" s="1"/>
  <c r="C20" i="20"/>
  <c r="B58" i="46" s="1"/>
  <c r="C18" i="20"/>
  <c r="B62" i="46" s="1"/>
  <c r="C17" i="20"/>
  <c r="C16" i="20"/>
  <c r="C15" i="20"/>
  <c r="C17" i="39" s="1"/>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F46" i="21" s="1"/>
  <c r="B128" i="21"/>
  <c r="H45" i="21" s="1"/>
  <c r="U45" i="21" s="1"/>
  <c r="B126" i="21"/>
  <c r="J44" i="21" s="1"/>
  <c r="B98" i="21"/>
  <c r="F31" i="21" s="1"/>
  <c r="B96" i="21"/>
  <c r="J30" i="21" s="1"/>
  <c r="B94" i="21"/>
  <c r="J29" i="21" s="1"/>
  <c r="AC29" i="21" s="1"/>
  <c r="B92" i="21"/>
  <c r="H28" i="21" s="1"/>
  <c r="AB28" i="21" s="1"/>
  <c r="B90" i="21"/>
  <c r="F27" i="21" s="1"/>
  <c r="AA27" i="21" s="1"/>
  <c r="B74" i="21"/>
  <c r="H14" i="21" s="1"/>
  <c r="U14" i="21" s="1"/>
  <c r="B72" i="21"/>
  <c r="F13" i="21" s="1"/>
  <c r="AA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I5" i="3"/>
  <c r="F19" i="6" s="1"/>
  <c r="D33" i="46" s="1"/>
  <c r="L5" i="3"/>
  <c r="M5" i="3"/>
  <c r="F21" i="6" s="1"/>
  <c r="N5" i="3"/>
  <c r="O5" i="3"/>
  <c r="P5" i="3"/>
  <c r="Q5" i="3"/>
  <c r="R5" i="3"/>
  <c r="S5" i="3"/>
  <c r="T5" i="3"/>
  <c r="U5" i="3"/>
  <c r="V5" i="3"/>
  <c r="W5" i="3"/>
  <c r="X5" i="3"/>
  <c r="Y5" i="3"/>
  <c r="Z5" i="3"/>
  <c r="AA5" i="3"/>
  <c r="AB5" i="3"/>
  <c r="H570" i="3"/>
  <c r="H571" i="3"/>
  <c r="H572" i="3"/>
  <c r="F5" i="3"/>
  <c r="F34" i="21"/>
  <c r="AA34" i="21" s="1"/>
  <c r="H34" i="21"/>
  <c r="U34" i="21" s="1"/>
  <c r="H38" i="21"/>
  <c r="AB38"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W33" i="21" s="1"/>
  <c r="H33" i="21"/>
  <c r="U33" i="21" s="1"/>
  <c r="F33" i="21"/>
  <c r="S33" i="21" s="1"/>
  <c r="J10" i="21"/>
  <c r="AC10" i="21" s="1"/>
  <c r="H26" i="21"/>
  <c r="J26" i="21"/>
  <c r="W26" i="21" s="1"/>
  <c r="F26" i="21"/>
  <c r="W41" i="21"/>
  <c r="S10" i="39"/>
  <c r="F39" i="37"/>
  <c r="S39" i="37" s="1"/>
  <c r="F29" i="36"/>
  <c r="AA29" i="36" s="1"/>
  <c r="F16" i="36"/>
  <c r="AA16" i="36" s="1"/>
  <c r="F36" i="34"/>
  <c r="H39" i="33"/>
  <c r="AB39" i="33" s="1"/>
  <c r="H39" i="37"/>
  <c r="AB39" i="37" s="1"/>
  <c r="W10" i="40"/>
  <c r="U11" i="40"/>
  <c r="U36" i="40"/>
  <c r="F11" i="21"/>
  <c r="S11" i="21" s="1"/>
  <c r="C29" i="39"/>
  <c r="U36" i="39"/>
  <c r="H32" i="33"/>
  <c r="AB32" i="33" s="1"/>
  <c r="H11" i="21"/>
  <c r="U11" i="21" s="1"/>
  <c r="J11" i="21"/>
  <c r="J27" i="36"/>
  <c r="J30" i="35"/>
  <c r="W30" i="35" s="1"/>
  <c r="F22" i="35"/>
  <c r="AA22" i="35" s="1"/>
  <c r="H10" i="35"/>
  <c r="U10" i="35" s="1"/>
  <c r="E85" i="36"/>
  <c r="F85" i="36" s="1"/>
  <c r="G85" i="36" s="1"/>
  <c r="H85" i="36" s="1"/>
  <c r="I85" i="36" s="1"/>
  <c r="J85" i="36" s="1"/>
  <c r="K85" i="36" s="1"/>
  <c r="L85" i="36" s="1"/>
  <c r="M85" i="36" s="1"/>
  <c r="J29" i="36"/>
  <c r="AC29" i="36" s="1"/>
  <c r="H16" i="35"/>
  <c r="U16" i="35" s="1"/>
  <c r="H33" i="35"/>
  <c r="AB33" i="35" s="1"/>
  <c r="W8" i="35"/>
  <c r="F35" i="37"/>
  <c r="AA35" i="37" s="1"/>
  <c r="E101" i="37"/>
  <c r="F101" i="37" s="1"/>
  <c r="G101" i="37" s="1"/>
  <c r="H101" i="37" s="1"/>
  <c r="I101" i="37" s="1"/>
  <c r="J101" i="37" s="1"/>
  <c r="K101" i="37" s="1"/>
  <c r="L101" i="37" s="1"/>
  <c r="M101" i="37" s="1"/>
  <c r="J34" i="37"/>
  <c r="W34" i="37" s="1"/>
  <c r="H43" i="34"/>
  <c r="U43" i="34" s="1"/>
  <c r="U42" i="34"/>
  <c r="H36" i="34"/>
  <c r="F37" i="34"/>
  <c r="AA37" i="34" s="1"/>
  <c r="F33" i="34"/>
  <c r="S33" i="34" s="1"/>
  <c r="F19" i="34"/>
  <c r="AA19" i="34" s="1"/>
  <c r="J10" i="34"/>
  <c r="AC10" i="34" s="1"/>
  <c r="E113" i="33"/>
  <c r="F113" i="33" s="1"/>
  <c r="G113" i="33" s="1"/>
  <c r="H113" i="33" s="1"/>
  <c r="I113" i="33" s="1"/>
  <c r="J113" i="33" s="1"/>
  <c r="K113" i="33" s="1"/>
  <c r="L113" i="33" s="1"/>
  <c r="M113" i="33" s="1"/>
  <c r="F36" i="33"/>
  <c r="S36" i="33" s="1"/>
  <c r="F19" i="33"/>
  <c r="AA19" i="33" s="1"/>
  <c r="J19" i="33"/>
  <c r="W19" i="33" s="1"/>
  <c r="AB30" i="36"/>
  <c r="U34" i="37"/>
  <c r="S34" i="37"/>
  <c r="AA34" i="37"/>
  <c r="W36" i="34"/>
  <c r="J19" i="34"/>
  <c r="H37" i="33"/>
  <c r="AB37" i="33" s="1"/>
  <c r="AA42" i="34"/>
  <c r="J37" i="33"/>
  <c r="W37" i="33" s="1"/>
  <c r="J44" i="34"/>
  <c r="AC44" i="34" s="1"/>
  <c r="F44" i="34"/>
  <c r="S44" i="34" s="1"/>
  <c r="J10" i="35"/>
  <c r="W10" i="35" s="1"/>
  <c r="AL5" i="3"/>
  <c r="BQ13" i="3"/>
  <c r="J14" i="21"/>
  <c r="J28" i="21"/>
  <c r="AC28" i="21" s="1"/>
  <c r="J46" i="21"/>
  <c r="W46" i="21" s="1"/>
  <c r="F33" i="35"/>
  <c r="S33" i="35" s="1"/>
  <c r="J33" i="35"/>
  <c r="W33" i="35" s="1"/>
  <c r="F30" i="35"/>
  <c r="AA30" i="35" s="1"/>
  <c r="H10" i="36"/>
  <c r="AB10" i="36" s="1"/>
  <c r="F28" i="36"/>
  <c r="S28" i="36" s="1"/>
  <c r="F27" i="36"/>
  <c r="H13" i="21"/>
  <c r="U13" i="21" s="1"/>
  <c r="J13" i="21"/>
  <c r="H29" i="21"/>
  <c r="U29" i="21" s="1"/>
  <c r="F29" i="21"/>
  <c r="J45" i="21"/>
  <c r="F45" i="21"/>
  <c r="AA45" i="21" s="1"/>
  <c r="J27" i="33"/>
  <c r="H28" i="36"/>
  <c r="J32" i="36"/>
  <c r="J29" i="37"/>
  <c r="W29" i="37" s="1"/>
  <c r="F29" i="37"/>
  <c r="F105" i="37"/>
  <c r="G105" i="37" s="1"/>
  <c r="J37" i="37"/>
  <c r="AC37" i="37" s="1"/>
  <c r="H37" i="37"/>
  <c r="U37" i="37" s="1"/>
  <c r="F14" i="33"/>
  <c r="S14" i="33" s="1"/>
  <c r="J44" i="33"/>
  <c r="F31" i="34"/>
  <c r="S31" i="34" s="1"/>
  <c r="J25" i="36"/>
  <c r="W25" i="36" s="1"/>
  <c r="J13" i="37"/>
  <c r="AC13" i="37" s="1"/>
  <c r="F14" i="37"/>
  <c r="AA14" i="37" s="1"/>
  <c r="J36" i="37"/>
  <c r="AC36" i="37" s="1"/>
  <c r="AB14" i="21"/>
  <c r="G518" i="3"/>
  <c r="BA562" i="3"/>
  <c r="AC542" i="3"/>
  <c r="G542" i="3" s="1"/>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U43" i="33" s="1"/>
  <c r="H17" i="37"/>
  <c r="U17" i="37" s="1"/>
  <c r="F23" i="37"/>
  <c r="S23" i="37" s="1"/>
  <c r="F39" i="33"/>
  <c r="AA39" i="33" s="1"/>
  <c r="F42" i="33"/>
  <c r="AA42" i="33" s="1"/>
  <c r="F22" i="36"/>
  <c r="H35" i="34"/>
  <c r="F41" i="34"/>
  <c r="H41" i="34"/>
  <c r="U41" i="34" s="1"/>
  <c r="J41" i="34"/>
  <c r="W41" i="34" s="1"/>
  <c r="F10" i="35"/>
  <c r="AA10" i="35" s="1"/>
  <c r="H23" i="37"/>
  <c r="AB23" i="37" s="1"/>
  <c r="J32" i="37"/>
  <c r="AC32" i="37" s="1"/>
  <c r="F36" i="37"/>
  <c r="F37" i="37"/>
  <c r="AA37" i="37" s="1"/>
  <c r="H42" i="33"/>
  <c r="J43" i="33"/>
  <c r="AC43" i="33" s="1"/>
  <c r="J23" i="37"/>
  <c r="W23" i="37" s="1"/>
  <c r="F17" i="37"/>
  <c r="AA17" i="37" s="1"/>
  <c r="AC36" i="34"/>
  <c r="AC37" i="33"/>
  <c r="F43" i="33"/>
  <c r="AA43" i="33" s="1"/>
  <c r="AA9" i="21"/>
  <c r="H19" i="34"/>
  <c r="U19" i="34" s="1"/>
  <c r="J10" i="37"/>
  <c r="AC10" i="37" s="1"/>
  <c r="F11" i="37"/>
  <c r="S11" i="37" s="1"/>
  <c r="H12" i="37"/>
  <c r="U12" i="37" s="1"/>
  <c r="H15" i="37"/>
  <c r="F31" i="37"/>
  <c r="S31" i="37" s="1"/>
  <c r="H31" i="37"/>
  <c r="U31" i="37" s="1"/>
  <c r="J15" i="37"/>
  <c r="W15" i="37" s="1"/>
  <c r="J11" i="37"/>
  <c r="F21" i="40"/>
  <c r="J21" i="40"/>
  <c r="AC21" i="40" s="1"/>
  <c r="S27" i="31"/>
  <c r="BA15" i="3"/>
  <c r="BL17" i="3"/>
  <c r="BL15" i="3"/>
  <c r="BA14" i="3"/>
  <c r="J57" i="39"/>
  <c r="H13" i="40"/>
  <c r="I4" i="4"/>
  <c r="K141" i="21"/>
  <c r="K143" i="21"/>
  <c r="K144" i="21"/>
  <c r="I58" i="40"/>
  <c r="C58"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AA13" i="40"/>
  <c r="R16" i="4"/>
  <c r="G4" i="4"/>
  <c r="J16" i="35"/>
  <c r="AC16" i="35" s="1"/>
  <c r="H11" i="37"/>
  <c r="AB11" i="37" s="1"/>
  <c r="U32" i="33"/>
  <c r="S25" i="35"/>
  <c r="J33" i="34"/>
  <c r="J40" i="34"/>
  <c r="W42" i="33"/>
  <c r="J35" i="34"/>
  <c r="W35" i="34" s="1"/>
  <c r="S30" i="36"/>
  <c r="H16" i="36"/>
  <c r="H35" i="37"/>
  <c r="AB35" i="37" s="1"/>
  <c r="H32" i="21"/>
  <c r="U32" i="21" s="1"/>
  <c r="J32" i="21"/>
  <c r="AC32" i="21" s="1"/>
  <c r="F40" i="21"/>
  <c r="H40" i="21"/>
  <c r="AC8" i="33"/>
  <c r="F10" i="33"/>
  <c r="AA10" i="33" s="1"/>
  <c r="F11" i="33"/>
  <c r="S11" i="33" s="1"/>
  <c r="J15" i="33"/>
  <c r="W15" i="33" s="1"/>
  <c r="H19" i="33"/>
  <c r="AB19" i="33" s="1"/>
  <c r="F32" i="33"/>
  <c r="AA32" i="33" s="1"/>
  <c r="J32" i="33"/>
  <c r="AC32" i="33" s="1"/>
  <c r="F35" i="33"/>
  <c r="AB39" i="34"/>
  <c r="F11" i="34"/>
  <c r="S11" i="34" s="1"/>
  <c r="E80" i="34"/>
  <c r="F80" i="34" s="1"/>
  <c r="G80" i="34" s="1"/>
  <c r="H17" i="34"/>
  <c r="AB17" i="34" s="1"/>
  <c r="AC27" i="34"/>
  <c r="W27" i="34"/>
  <c r="J13" i="33"/>
  <c r="W13" i="33" s="1"/>
  <c r="H13" i="33"/>
  <c r="AB13" i="33" s="1"/>
  <c r="J12" i="34"/>
  <c r="AC12" i="34" s="1"/>
  <c r="F12" i="34"/>
  <c r="S12" i="34" s="1"/>
  <c r="H30" i="34"/>
  <c r="F30" i="34"/>
  <c r="S30" i="34" s="1"/>
  <c r="H32" i="34"/>
  <c r="AB32" i="34" s="1"/>
  <c r="H46" i="34"/>
  <c r="AB46" i="34" s="1"/>
  <c r="F46" i="34"/>
  <c r="AA46" i="34" s="1"/>
  <c r="H11" i="35"/>
  <c r="U11" i="35" s="1"/>
  <c r="J11" i="35"/>
  <c r="AC11" i="35" s="1"/>
  <c r="F96" i="37"/>
  <c r="G96" i="37" s="1"/>
  <c r="H96" i="37" s="1"/>
  <c r="I96" i="37" s="1"/>
  <c r="J96" i="37" s="1"/>
  <c r="K96" i="37" s="1"/>
  <c r="L96" i="37" s="1"/>
  <c r="M96" i="37" s="1"/>
  <c r="H32" i="37"/>
  <c r="AC19" i="33"/>
  <c r="AA35" i="34"/>
  <c r="S35" i="34"/>
  <c r="E90" i="34"/>
  <c r="F90" i="34" s="1"/>
  <c r="G90" i="34" s="1"/>
  <c r="H90" i="34" s="1"/>
  <c r="I90" i="34" s="1"/>
  <c r="J90" i="34" s="1"/>
  <c r="K90" i="34" s="1"/>
  <c r="L90" i="34" s="1"/>
  <c r="M90" i="34" s="1"/>
  <c r="H27" i="34"/>
  <c r="AB27" i="34" s="1"/>
  <c r="J14" i="35"/>
  <c r="AC14" i="35" s="1"/>
  <c r="E94" i="35"/>
  <c r="F94" i="35" s="1"/>
  <c r="G94" i="35" s="1"/>
  <c r="H94" i="35" s="1"/>
  <c r="I94" i="35" s="1"/>
  <c r="J94" i="35" s="1"/>
  <c r="K94" i="35" s="1"/>
  <c r="L94" i="35" s="1"/>
  <c r="M94" i="35" s="1"/>
  <c r="J32" i="35"/>
  <c r="AC32" i="35" s="1"/>
  <c r="AC16" i="36"/>
  <c r="F26" i="36"/>
  <c r="AB34" i="36"/>
  <c r="F33" i="36"/>
  <c r="S33" i="36" s="1"/>
  <c r="H27" i="36"/>
  <c r="AB27" i="36" s="1"/>
  <c r="AC26" i="37"/>
  <c r="W26" i="37"/>
  <c r="AA30" i="37"/>
  <c r="F17" i="39"/>
  <c r="AA17" i="39" s="1"/>
  <c r="H17" i="39"/>
  <c r="U17" i="39" s="1"/>
  <c r="J17" i="39"/>
  <c r="W17" i="39" s="1"/>
  <c r="F21" i="39"/>
  <c r="S21" i="39" s="1"/>
  <c r="H21" i="39"/>
  <c r="U21" i="39" s="1"/>
  <c r="J21" i="39"/>
  <c r="W21" i="39" s="1"/>
  <c r="F33" i="39"/>
  <c r="AA33" i="39" s="1"/>
  <c r="J46" i="39"/>
  <c r="W46" i="39" s="1"/>
  <c r="F34" i="39"/>
  <c r="AA34" i="39" s="1"/>
  <c r="H34" i="39"/>
  <c r="AB34" i="39" s="1"/>
  <c r="J34" i="39"/>
  <c r="AC34" i="39" s="1"/>
  <c r="H39" i="39"/>
  <c r="AB39" i="39" s="1"/>
  <c r="J39" i="39"/>
  <c r="AC39" i="39" s="1"/>
  <c r="H38" i="34"/>
  <c r="U38" i="34" s="1"/>
  <c r="H30" i="40"/>
  <c r="J30" i="40"/>
  <c r="AC30" i="40" s="1"/>
  <c r="F38" i="40"/>
  <c r="AA38" i="40" s="1"/>
  <c r="AB8" i="21"/>
  <c r="H34" i="33"/>
  <c r="U34" i="33" s="1"/>
  <c r="F34" i="33"/>
  <c r="F41" i="33"/>
  <c r="S41" i="33" s="1"/>
  <c r="F15" i="34"/>
  <c r="S15" i="34" s="1"/>
  <c r="H22" i="35"/>
  <c r="AB22" i="35" s="1"/>
  <c r="AA8" i="37"/>
  <c r="E91" i="40"/>
  <c r="F91" i="40" s="1"/>
  <c r="G91" i="40" s="1"/>
  <c r="H23" i="40"/>
  <c r="U23" i="40" s="1"/>
  <c r="F41" i="40"/>
  <c r="H36" i="33"/>
  <c r="AB36" i="33" s="1"/>
  <c r="H37" i="34"/>
  <c r="U37" i="34" s="1"/>
  <c r="F15" i="39"/>
  <c r="AA15" i="39" s="1"/>
  <c r="H15" i="39"/>
  <c r="AB15" i="39" s="1"/>
  <c r="J15" i="39"/>
  <c r="AC15" i="39" s="1"/>
  <c r="F45" i="39"/>
  <c r="AA45" i="39" s="1"/>
  <c r="H45" i="39"/>
  <c r="U45" i="39" s="1"/>
  <c r="F47" i="39"/>
  <c r="AA47" i="39" s="1"/>
  <c r="H47" i="39"/>
  <c r="AB47" i="39" s="1"/>
  <c r="J47" i="39"/>
  <c r="W47" i="39" s="1"/>
  <c r="J25" i="40"/>
  <c r="AC25" i="40" s="1"/>
  <c r="J32" i="40"/>
  <c r="AC32" i="40" s="1"/>
  <c r="H32" i="40"/>
  <c r="U32" i="40" s="1"/>
  <c r="H33" i="40"/>
  <c r="F33" i="40"/>
  <c r="AA33" i="40" s="1"/>
  <c r="J38" i="39"/>
  <c r="W38" i="39" s="1"/>
  <c r="H38" i="39"/>
  <c r="J14" i="40"/>
  <c r="W14" i="40" s="1"/>
  <c r="H42" i="40"/>
  <c r="AB42" i="40" s="1"/>
  <c r="H40" i="40"/>
  <c r="H34" i="40"/>
  <c r="U34" i="40" s="1"/>
  <c r="B41" i="1"/>
  <c r="J42" i="40"/>
  <c r="AC42" i="40" s="1"/>
  <c r="J40" i="40"/>
  <c r="J34" i="40"/>
  <c r="AC34" i="40" s="1"/>
  <c r="H16" i="40"/>
  <c r="AB16" i="40" s="1"/>
  <c r="H14" i="40"/>
  <c r="F32" i="40"/>
  <c r="AA32" i="40" s="1"/>
  <c r="F61" i="46"/>
  <c r="H61" i="46" s="1"/>
  <c r="F72" i="46"/>
  <c r="H74" i="46" s="1"/>
  <c r="J13" i="40"/>
  <c r="W13" i="40" s="1"/>
  <c r="J23" i="40"/>
  <c r="AC23" i="40" s="1"/>
  <c r="F23" i="40"/>
  <c r="S23" i="40" s="1"/>
  <c r="H15" i="34"/>
  <c r="AB15" i="34" s="1"/>
  <c r="J15" i="34"/>
  <c r="AC15" i="34" s="1"/>
  <c r="H41" i="33"/>
  <c r="U41" i="33" s="1"/>
  <c r="F30" i="40"/>
  <c r="F33" i="37"/>
  <c r="AA33" i="37" s="1"/>
  <c r="U46" i="34"/>
  <c r="H15" i="33"/>
  <c r="U15" i="33" s="1"/>
  <c r="H25" i="40"/>
  <c r="AB25" i="40" s="1"/>
  <c r="J37" i="34"/>
  <c r="AC37" i="34" s="1"/>
  <c r="J36" i="33"/>
  <c r="W36" i="33" s="1"/>
  <c r="J34" i="33"/>
  <c r="AC34" i="33" s="1"/>
  <c r="F27" i="34"/>
  <c r="S27" i="34" s="1"/>
  <c r="F32" i="37"/>
  <c r="S32" i="37" s="1"/>
  <c r="AB11" i="35"/>
  <c r="F17" i="34"/>
  <c r="AA17" i="34" s="1"/>
  <c r="J17" i="34"/>
  <c r="AC17" i="34" s="1"/>
  <c r="H11" i="34"/>
  <c r="AB11" i="34" s="1"/>
  <c r="J35" i="33"/>
  <c r="W35" i="33" s="1"/>
  <c r="H11" i="33"/>
  <c r="U11" i="33" s="1"/>
  <c r="H10" i="33"/>
  <c r="U10" i="33" s="1"/>
  <c r="J10" i="33"/>
  <c r="W10" i="33" s="1"/>
  <c r="J11" i="34"/>
  <c r="W11" i="34" s="1"/>
  <c r="F25" i="40"/>
  <c r="AA25" i="40" s="1"/>
  <c r="J11" i="33"/>
  <c r="W11" i="33" s="1"/>
  <c r="H33" i="37"/>
  <c r="AB33" i="37" s="1"/>
  <c r="B11" i="1"/>
  <c r="E11" i="1" s="1"/>
  <c r="K11" i="1"/>
  <c r="M11" i="1" s="1"/>
  <c r="B9" i="1"/>
  <c r="E9" i="1" s="1"/>
  <c r="AP6" i="1"/>
  <c r="H20" i="36"/>
  <c r="U20" i="36" s="1"/>
  <c r="F68" i="36"/>
  <c r="G68" i="36" s="1"/>
  <c r="J20" i="36"/>
  <c r="AC20" i="36" s="1"/>
  <c r="F20" i="36"/>
  <c r="F62" i="36"/>
  <c r="G62" i="36" s="1"/>
  <c r="J14" i="36"/>
  <c r="AC14" i="36" s="1"/>
  <c r="H14" i="36"/>
  <c r="AB14" i="36" s="1"/>
  <c r="F14" i="36"/>
  <c r="AA14" i="36" s="1"/>
  <c r="S16" i="36"/>
  <c r="S29" i="36"/>
  <c r="AC18" i="35"/>
  <c r="W18" i="35"/>
  <c r="U18" i="35"/>
  <c r="AB18" i="35"/>
  <c r="S27" i="35"/>
  <c r="S33" i="37"/>
  <c r="J33" i="37"/>
  <c r="W33" i="37" s="1"/>
  <c r="J19" i="37"/>
  <c r="AC19" i="37" s="1"/>
  <c r="G75" i="37"/>
  <c r="F19" i="37"/>
  <c r="AA19" i="37" s="1"/>
  <c r="H19" i="37"/>
  <c r="J17" i="37"/>
  <c r="W17" i="37" s="1"/>
  <c r="AC21" i="37"/>
  <c r="W21" i="37"/>
  <c r="AB21" i="37"/>
  <c r="U21" i="37"/>
  <c r="S37" i="37"/>
  <c r="AA12" i="34"/>
  <c r="AC35" i="34"/>
  <c r="AA33" i="34"/>
  <c r="J25" i="34"/>
  <c r="W25" i="34" s="1"/>
  <c r="H25" i="34"/>
  <c r="U25" i="34" s="1"/>
  <c r="F25" i="34"/>
  <c r="S25" i="34" s="1"/>
  <c r="J23" i="34"/>
  <c r="F86" i="34"/>
  <c r="G86" i="34" s="1"/>
  <c r="F23" i="34"/>
  <c r="AA23" i="34" s="1"/>
  <c r="H23" i="34"/>
  <c r="U23" i="34" s="1"/>
  <c r="AC21" i="34"/>
  <c r="W21" i="34"/>
  <c r="U15" i="34"/>
  <c r="AB21" i="34"/>
  <c r="U21" i="34"/>
  <c r="U39" i="33"/>
  <c r="W43" i="33"/>
  <c r="W39" i="33"/>
  <c r="U35" i="33"/>
  <c r="W26" i="33"/>
  <c r="H25" i="33"/>
  <c r="AB25" i="33" s="1"/>
  <c r="J25" i="33"/>
  <c r="W25" i="33" s="1"/>
  <c r="F25" i="33"/>
  <c r="AA25" i="33" s="1"/>
  <c r="F85" i="33"/>
  <c r="G85" i="33" s="1"/>
  <c r="J23" i="33"/>
  <c r="W23" i="33" s="1"/>
  <c r="F23" i="33"/>
  <c r="AA23" i="33" s="1"/>
  <c r="H23" i="33"/>
  <c r="AB23" i="33" s="1"/>
  <c r="F17" i="33"/>
  <c r="S17" i="33" s="1"/>
  <c r="H17" i="33"/>
  <c r="AB17" i="33" s="1"/>
  <c r="J17" i="33"/>
  <c r="AB15" i="33"/>
  <c r="AC21" i="33"/>
  <c r="W21" i="33"/>
  <c r="AB21" i="33"/>
  <c r="U21" i="33"/>
  <c r="AA21" i="33"/>
  <c r="S21" i="33"/>
  <c r="AC26" i="21"/>
  <c r="AA11" i="21"/>
  <c r="AC21" i="21"/>
  <c r="W21" i="21"/>
  <c r="AB21" i="21"/>
  <c r="U21" i="21"/>
  <c r="S14" i="40"/>
  <c r="W11" i="40"/>
  <c r="U21" i="40"/>
  <c r="F37" i="40"/>
  <c r="S37" i="40" s="1"/>
  <c r="J37" i="40"/>
  <c r="AC37" i="40" s="1"/>
  <c r="H37" i="40"/>
  <c r="AB37" i="40" s="1"/>
  <c r="F39" i="40"/>
  <c r="S39" i="40" s="1"/>
  <c r="H39" i="40"/>
  <c r="U39" i="40" s="1"/>
  <c r="J39" i="40"/>
  <c r="W39" i="40" s="1"/>
  <c r="W38" i="40"/>
  <c r="H29" i="40"/>
  <c r="U29" i="40" s="1"/>
  <c r="J29" i="40"/>
  <c r="AA23" i="40"/>
  <c r="F19" i="40"/>
  <c r="AA19" i="40" s="1"/>
  <c r="H19" i="40"/>
  <c r="J19" i="40"/>
  <c r="AC19" i="40" s="1"/>
  <c r="F17" i="40"/>
  <c r="AA17" i="40" s="1"/>
  <c r="H17" i="40"/>
  <c r="U17" i="40" s="1"/>
  <c r="W21" i="40"/>
  <c r="U10" i="40"/>
  <c r="U27" i="40"/>
  <c r="AB27" i="40"/>
  <c r="U11" i="39"/>
  <c r="U31" i="39"/>
  <c r="AB31" i="39"/>
  <c r="D96" i="9"/>
  <c r="A18" i="64"/>
  <c r="B74" i="63" s="1"/>
  <c r="C53" i="10"/>
  <c r="A25" i="64" s="1"/>
  <c r="A18" i="51"/>
  <c r="B14" i="63" s="1"/>
  <c r="BA16" i="3"/>
  <c r="BA17" i="3"/>
  <c r="AZ17" i="3" s="1"/>
  <c r="BL16" i="3"/>
  <c r="D24" i="44"/>
  <c r="D26" i="44"/>
  <c r="F50" i="46"/>
  <c r="H52" i="46" s="1"/>
  <c r="C6" i="46"/>
  <c r="I5" i="48"/>
  <c r="K21" i="46"/>
  <c r="F42" i="46"/>
  <c r="D74" i="46"/>
  <c r="D87" i="46"/>
  <c r="D72" i="46"/>
  <c r="A4" i="64"/>
  <c r="A4" i="51"/>
  <c r="B6" i="63" s="1"/>
  <c r="C51" i="10"/>
  <c r="A9" i="64" s="1"/>
  <c r="H83" i="46"/>
  <c r="H87" i="46"/>
  <c r="AA11" i="35"/>
  <c r="S14"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W28" i="36"/>
  <c r="W29" i="36"/>
  <c r="S32" i="35"/>
  <c r="U33" i="37"/>
  <c r="S8" i="34"/>
  <c r="AB45" i="21"/>
  <c r="W29" i="21"/>
  <c r="G95" i="40"/>
  <c r="J27" i="40"/>
  <c r="W27" i="40" s="1"/>
  <c r="W30" i="40"/>
  <c r="U38" i="40"/>
  <c r="S42" i="40"/>
  <c r="G104" i="39"/>
  <c r="J31" i="39"/>
  <c r="W31" i="39" s="1"/>
  <c r="W10" i="39"/>
  <c r="W11" i="39"/>
  <c r="C17" i="40"/>
  <c r="C19" i="39"/>
  <c r="C21" i="39"/>
  <c r="C23" i="40"/>
  <c r="B54" i="46"/>
  <c r="B65" i="46"/>
  <c r="B56" i="46"/>
  <c r="B67" i="46"/>
  <c r="D24" i="15"/>
  <c r="S14" i="36"/>
  <c r="U14" i="36"/>
  <c r="AA25" i="34"/>
  <c r="U23" i="33"/>
  <c r="J18" i="36"/>
  <c r="L20" i="6"/>
  <c r="C45" i="9"/>
  <c r="B7" i="66" s="1"/>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B14" i="67"/>
  <c r="E13" i="67"/>
  <c r="F8" i="15"/>
  <c r="B11" i="67"/>
  <c r="N6" i="65"/>
  <c r="F12" i="67"/>
  <c r="B10" i="67"/>
  <c r="E14" i="67"/>
  <c r="B13" i="67"/>
  <c r="E11" i="67"/>
  <c r="F14" i="67"/>
  <c r="F9" i="15"/>
  <c r="F11" i="67"/>
  <c r="N5" i="65"/>
  <c r="J15" i="15"/>
  <c r="N3" i="65"/>
  <c r="E12" i="67"/>
  <c r="F13" i="67"/>
  <c r="F10" i="67"/>
  <c r="N4" i="65"/>
  <c r="E10" i="67"/>
  <c r="B12" i="67"/>
  <c r="I5" i="65"/>
  <c r="N7" i="65"/>
  <c r="G390" i="3" l="1"/>
  <c r="G410" i="3"/>
  <c r="G478" i="3"/>
  <c r="G386" i="3"/>
  <c r="AA37" i="40"/>
  <c r="U37" i="40"/>
  <c r="S25" i="40"/>
  <c r="G562" i="3"/>
  <c r="BL536" i="3"/>
  <c r="BL489" i="3"/>
  <c r="D73" i="59"/>
  <c r="B80" i="59"/>
  <c r="B79" i="59" s="1"/>
  <c r="J13" i="39"/>
  <c r="AC13" i="39" s="1"/>
  <c r="F13" i="39"/>
  <c r="S13" i="39" s="1"/>
  <c r="H13" i="39"/>
  <c r="AB13" i="39" s="1"/>
  <c r="AB13" i="37"/>
  <c r="U13" i="37"/>
  <c r="AB10" i="21"/>
  <c r="H72" i="46"/>
  <c r="U17" i="33"/>
  <c r="AA32" i="36"/>
  <c r="W10" i="21"/>
  <c r="W44" i="34"/>
  <c r="AB23" i="40"/>
  <c r="AA31" i="36"/>
  <c r="AC34" i="37"/>
  <c r="AB27" i="33"/>
  <c r="F44" i="33"/>
  <c r="AA14" i="33"/>
  <c r="J11" i="36"/>
  <c r="F14" i="21"/>
  <c r="W38" i="34"/>
  <c r="AB27" i="35"/>
  <c r="G531" i="3"/>
  <c r="G523" i="3"/>
  <c r="G515" i="3"/>
  <c r="G508" i="3"/>
  <c r="G502" i="3"/>
  <c r="G501" i="3"/>
  <c r="G488" i="3"/>
  <c r="G20" i="3"/>
  <c r="S69" i="59"/>
  <c r="W31" i="37"/>
  <c r="U23" i="37"/>
  <c r="F13" i="37"/>
  <c r="H31" i="34"/>
  <c r="H14" i="33"/>
  <c r="H32" i="36"/>
  <c r="H46" i="21"/>
  <c r="AB46" i="21" s="1"/>
  <c r="E72" i="59"/>
  <c r="E71" i="59" s="1"/>
  <c r="AB23" i="34"/>
  <c r="U32" i="35"/>
  <c r="S8" i="33"/>
  <c r="AB20" i="36"/>
  <c r="AC15" i="37"/>
  <c r="AZ16" i="3"/>
  <c r="S17" i="37"/>
  <c r="F11" i="36"/>
  <c r="S11" i="36" s="1"/>
  <c r="AB8" i="35"/>
  <c r="S39" i="33"/>
  <c r="F13" i="34"/>
  <c r="AA13" i="34" s="1"/>
  <c r="AB8" i="36"/>
  <c r="AC40" i="21"/>
  <c r="J9" i="21"/>
  <c r="AC9" i="21" s="1"/>
  <c r="G565" i="3"/>
  <c r="G560" i="3"/>
  <c r="G558" i="3"/>
  <c r="G557" i="3"/>
  <c r="G552" i="3"/>
  <c r="G550" i="3"/>
  <c r="G549" i="3"/>
  <c r="G544" i="3"/>
  <c r="BA530" i="3"/>
  <c r="G528" i="3"/>
  <c r="G520" i="3"/>
  <c r="BA499" i="3"/>
  <c r="G498" i="3"/>
  <c r="BA494" i="3"/>
  <c r="BL493" i="3"/>
  <c r="G492" i="3"/>
  <c r="G491" i="3"/>
  <c r="G484" i="3"/>
  <c r="BA483" i="3"/>
  <c r="G483" i="3"/>
  <c r="BL18" i="3"/>
  <c r="BA18" i="3"/>
  <c r="G216" i="3"/>
  <c r="G220" i="3"/>
  <c r="G224" i="3"/>
  <c r="G236" i="3"/>
  <c r="G240" i="3"/>
  <c r="G248" i="3"/>
  <c r="G252" i="3"/>
  <c r="D69" i="59"/>
  <c r="BA532" i="3"/>
  <c r="BA498" i="3"/>
  <c r="BL394" i="3"/>
  <c r="BL342" i="3"/>
  <c r="G127" i="3"/>
  <c r="G131" i="3"/>
  <c r="G135" i="3"/>
  <c r="G143" i="3"/>
  <c r="G147" i="3"/>
  <c r="G151" i="3"/>
  <c r="G60" i="3"/>
  <c r="U11" i="34"/>
  <c r="J14" i="39"/>
  <c r="AC14" i="39" s="1"/>
  <c r="S43" i="34"/>
  <c r="J37" i="39"/>
  <c r="W37" i="39" s="1"/>
  <c r="H46" i="39"/>
  <c r="U46" i="39" s="1"/>
  <c r="U46" i="21"/>
  <c r="H25" i="35"/>
  <c r="F13" i="36"/>
  <c r="S13" i="36" s="1"/>
  <c r="W42" i="34"/>
  <c r="AC24" i="36"/>
  <c r="F26" i="33"/>
  <c r="AC31" i="36"/>
  <c r="BL563" i="3"/>
  <c r="G499" i="3"/>
  <c r="C76" i="59"/>
  <c r="D76" i="59" s="1"/>
  <c r="T69" i="59"/>
  <c r="B76" i="59"/>
  <c r="B75" i="59" s="1"/>
  <c r="AB43" i="33"/>
  <c r="AA31" i="34"/>
  <c r="AC17" i="40"/>
  <c r="W14" i="33"/>
  <c r="AB41" i="34"/>
  <c r="W17" i="34"/>
  <c r="AA11" i="37"/>
  <c r="U35" i="37"/>
  <c r="S15" i="37"/>
  <c r="AA28" i="36"/>
  <c r="AA11" i="33"/>
  <c r="U39" i="39"/>
  <c r="F14" i="39"/>
  <c r="AA14" i="39" s="1"/>
  <c r="S39" i="34"/>
  <c r="F37" i="39"/>
  <c r="S37" i="39" s="1"/>
  <c r="S35" i="37"/>
  <c r="J19" i="39"/>
  <c r="W19" i="39" s="1"/>
  <c r="AZ328" i="3"/>
  <c r="AZ354" i="3"/>
  <c r="AZ298" i="3"/>
  <c r="AZ15" i="3"/>
  <c r="BL498" i="3"/>
  <c r="F45" i="34"/>
  <c r="J13" i="36"/>
  <c r="F28" i="21"/>
  <c r="W8" i="34"/>
  <c r="J34" i="36"/>
  <c r="W22" i="36"/>
  <c r="G548" i="3"/>
  <c r="G534" i="3"/>
  <c r="G509" i="3"/>
  <c r="G425" i="3"/>
  <c r="G429" i="3"/>
  <c r="G433" i="3"/>
  <c r="G437" i="3"/>
  <c r="G445" i="3"/>
  <c r="G453" i="3"/>
  <c r="G465" i="3"/>
  <c r="G301" i="3"/>
  <c r="G305" i="3"/>
  <c r="G261" i="3"/>
  <c r="G265" i="3"/>
  <c r="G269" i="3"/>
  <c r="G273" i="3"/>
  <c r="G277" i="3"/>
  <c r="G281" i="3"/>
  <c r="G289" i="3"/>
  <c r="G158" i="3"/>
  <c r="G162" i="3"/>
  <c r="G165" i="3"/>
  <c r="G69" i="3"/>
  <c r="G73" i="3"/>
  <c r="G89" i="3"/>
  <c r="G97" i="3"/>
  <c r="G101" i="3"/>
  <c r="AB25" i="34"/>
  <c r="B69" i="46"/>
  <c r="S34" i="40"/>
  <c r="S15" i="33"/>
  <c r="S19" i="34"/>
  <c r="W9" i="36"/>
  <c r="AA36" i="33"/>
  <c r="AA40" i="34"/>
  <c r="AA17" i="33"/>
  <c r="W14" i="36"/>
  <c r="AC46" i="39"/>
  <c r="S40" i="40"/>
  <c r="W37" i="40"/>
  <c r="S27" i="21"/>
  <c r="S43" i="33"/>
  <c r="W22" i="35"/>
  <c r="U13" i="36"/>
  <c r="W32" i="37"/>
  <c r="U11" i="37"/>
  <c r="W28" i="35"/>
  <c r="H33" i="39"/>
  <c r="U33" i="39" s="1"/>
  <c r="AB29" i="37"/>
  <c r="H19" i="39"/>
  <c r="AB19" i="39" s="1"/>
  <c r="AC29" i="37"/>
  <c r="W37" i="37"/>
  <c r="AZ342" i="3"/>
  <c r="H45" i="34"/>
  <c r="H46" i="33"/>
  <c r="H30" i="33"/>
  <c r="AB30" i="33" s="1"/>
  <c r="F27" i="33"/>
  <c r="S27" i="33" s="1"/>
  <c r="S34" i="34"/>
  <c r="AC33" i="34"/>
  <c r="W33" i="34"/>
  <c r="U8" i="33"/>
  <c r="AB8" i="33"/>
  <c r="AC38" i="33"/>
  <c r="W38" i="33"/>
  <c r="AB40" i="33"/>
  <c r="U40" i="33"/>
  <c r="AA27" i="34"/>
  <c r="AB34" i="40"/>
  <c r="AB30" i="40"/>
  <c r="U30" i="40"/>
  <c r="AA35" i="33"/>
  <c r="S35" i="33"/>
  <c r="AZ331" i="3"/>
  <c r="AZ322" i="3"/>
  <c r="U13" i="40"/>
  <c r="AB13" i="40"/>
  <c r="U28" i="36"/>
  <c r="AB28" i="36"/>
  <c r="AC13" i="21"/>
  <c r="W13" i="21"/>
  <c r="AB37" i="34"/>
  <c r="W40" i="40"/>
  <c r="AC40" i="40"/>
  <c r="S25" i="33"/>
  <c r="S45" i="39"/>
  <c r="U19" i="33"/>
  <c r="U27" i="36"/>
  <c r="U34" i="39"/>
  <c r="U14" i="40"/>
  <c r="AB14" i="40"/>
  <c r="AA44" i="34"/>
  <c r="U39" i="37"/>
  <c r="S36" i="37"/>
  <c r="AA36" i="37"/>
  <c r="AA29" i="37"/>
  <c r="S29" i="37"/>
  <c r="AB41" i="33"/>
  <c r="W39" i="39"/>
  <c r="AC27" i="33"/>
  <c r="W27" i="33"/>
  <c r="AC19" i="34"/>
  <c r="W19" i="34"/>
  <c r="AB26" i="21"/>
  <c r="U26" i="21"/>
  <c r="G543" i="3"/>
  <c r="G538" i="3"/>
  <c r="G537" i="3"/>
  <c r="G530" i="3"/>
  <c r="BA529" i="3"/>
  <c r="G529" i="3"/>
  <c r="BL528" i="3"/>
  <c r="G522" i="3"/>
  <c r="G514" i="3"/>
  <c r="G513" i="3"/>
  <c r="BL507" i="3"/>
  <c r="BL506" i="3"/>
  <c r="BL505" i="3"/>
  <c r="BA505" i="3"/>
  <c r="BL504" i="3"/>
  <c r="BL503" i="3"/>
  <c r="BA502" i="3"/>
  <c r="BL501" i="3"/>
  <c r="BA500" i="3"/>
  <c r="BL499" i="3"/>
  <c r="BA497" i="3"/>
  <c r="BA496" i="3"/>
  <c r="BL495" i="3"/>
  <c r="BA495" i="3"/>
  <c r="AZ495" i="3" s="1"/>
  <c r="G494" i="3"/>
  <c r="BA493" i="3"/>
  <c r="G493" i="3"/>
  <c r="BA492" i="3"/>
  <c r="BA491" i="3"/>
  <c r="BL490" i="3"/>
  <c r="BA490" i="3"/>
  <c r="BA489" i="3"/>
  <c r="BA488" i="3"/>
  <c r="BA487" i="3"/>
  <c r="BA486" i="3"/>
  <c r="BL485" i="3"/>
  <c r="AZ485" i="3" s="1"/>
  <c r="BA485" i="3"/>
  <c r="G485" i="3"/>
  <c r="BA484" i="3"/>
  <c r="BL483" i="3"/>
  <c r="BA482" i="3"/>
  <c r="BL481" i="3"/>
  <c r="BA481" i="3"/>
  <c r="BA20" i="3"/>
  <c r="BL19" i="3"/>
  <c r="BA19" i="3"/>
  <c r="G18" i="3"/>
  <c r="G16" i="3"/>
  <c r="BL14" i="3"/>
  <c r="G415" i="3"/>
  <c r="G459" i="3"/>
  <c r="G475" i="3"/>
  <c r="BA311" i="3"/>
  <c r="AZ311" i="3" s="1"/>
  <c r="BL326" i="3"/>
  <c r="AB43" i="34"/>
  <c r="F19" i="39"/>
  <c r="S19" i="39" s="1"/>
  <c r="F16" i="35"/>
  <c r="AA16" i="35" s="1"/>
  <c r="W30" i="33"/>
  <c r="AZ352" i="3"/>
  <c r="AZ336" i="3"/>
  <c r="AZ320" i="3"/>
  <c r="AZ326" i="3"/>
  <c r="AC33" i="21"/>
  <c r="U36" i="37"/>
  <c r="F38" i="37"/>
  <c r="S38" i="37" s="1"/>
  <c r="J25" i="35"/>
  <c r="AC25" i="35" s="1"/>
  <c r="F46" i="33"/>
  <c r="U24" i="36"/>
  <c r="W31" i="35"/>
  <c r="U22" i="36"/>
  <c r="BL568" i="3"/>
  <c r="BL566" i="3"/>
  <c r="BA561" i="3"/>
  <c r="G561" i="3"/>
  <c r="G554" i="3"/>
  <c r="BL553" i="3"/>
  <c r="BA553" i="3"/>
  <c r="G546" i="3"/>
  <c r="G545" i="3"/>
  <c r="G540" i="3"/>
  <c r="BL535" i="3"/>
  <c r="G398" i="3"/>
  <c r="G406" i="3"/>
  <c r="G422" i="3"/>
  <c r="G442" i="3"/>
  <c r="G450" i="3"/>
  <c r="G462" i="3"/>
  <c r="G309" i="3"/>
  <c r="G325" i="3"/>
  <c r="G341" i="3"/>
  <c r="G206" i="3"/>
  <c r="G233" i="3"/>
  <c r="G241" i="3"/>
  <c r="G253" i="3"/>
  <c r="BA263" i="3"/>
  <c r="BA271" i="3"/>
  <c r="BL273" i="3"/>
  <c r="BA275" i="3"/>
  <c r="BL277" i="3"/>
  <c r="BL281" i="3"/>
  <c r="BL289" i="3"/>
  <c r="G118" i="3"/>
  <c r="G154" i="3"/>
  <c r="G23" i="3"/>
  <c r="G27" i="3"/>
  <c r="BA27" i="3"/>
  <c r="G62" i="3"/>
  <c r="G67" i="3"/>
  <c r="BA74" i="3"/>
  <c r="G87" i="3"/>
  <c r="BA87" i="3"/>
  <c r="G90" i="3"/>
  <c r="G98" i="3"/>
  <c r="AB31" i="59"/>
  <c r="AB33" i="59"/>
  <c r="U34" i="34"/>
  <c r="AC36" i="33"/>
  <c r="F14" i="35"/>
  <c r="AA14" i="35" s="1"/>
  <c r="AZ374" i="3"/>
  <c r="AZ14" i="3"/>
  <c r="J12" i="37"/>
  <c r="BL484" i="3"/>
  <c r="BL492" i="3"/>
  <c r="G506" i="3"/>
  <c r="BL544" i="3"/>
  <c r="H38" i="37"/>
  <c r="H25" i="36"/>
  <c r="AB25" i="36" s="1"/>
  <c r="J13" i="35"/>
  <c r="AC13" i="35" s="1"/>
  <c r="F30" i="33"/>
  <c r="F34" i="36"/>
  <c r="U29" i="36"/>
  <c r="U31" i="35"/>
  <c r="J12" i="21"/>
  <c r="W12" i="21" s="1"/>
  <c r="G570" i="3"/>
  <c r="G566" i="3"/>
  <c r="K145" i="21"/>
  <c r="BA392" i="3"/>
  <c r="G396" i="3"/>
  <c r="G408" i="3"/>
  <c r="G412" i="3"/>
  <c r="G416" i="3"/>
  <c r="G456" i="3"/>
  <c r="G460" i="3"/>
  <c r="G468" i="3"/>
  <c r="G472" i="3"/>
  <c r="G476" i="3"/>
  <c r="BL152" i="3"/>
  <c r="D77" i="59"/>
  <c r="G375" i="3"/>
  <c r="G383" i="3"/>
  <c r="G207" i="3"/>
  <c r="G227" i="3"/>
  <c r="G113" i="3"/>
  <c r="G137" i="3"/>
  <c r="G153" i="3"/>
  <c r="G176" i="3"/>
  <c r="AC23" i="34"/>
  <c r="W23" i="34"/>
  <c r="AA41" i="40"/>
  <c r="S41" i="40"/>
  <c r="AA45" i="34"/>
  <c r="S45" i="34"/>
  <c r="AC44" i="33"/>
  <c r="W44" i="33"/>
  <c r="U14" i="33"/>
  <c r="AB14" i="33"/>
  <c r="AB32" i="36"/>
  <c r="U32" i="36"/>
  <c r="AB29" i="35"/>
  <c r="U29" i="35"/>
  <c r="BL530" i="3"/>
  <c r="AZ530" i="3" s="1"/>
  <c r="BA522" i="3"/>
  <c r="BA512" i="3"/>
  <c r="BA508" i="3"/>
  <c r="BA507" i="3"/>
  <c r="U32" i="34"/>
  <c r="AB33" i="40"/>
  <c r="U33" i="40"/>
  <c r="S34" i="33"/>
  <c r="AA34" i="33"/>
  <c r="S39" i="39"/>
  <c r="AA39" i="39"/>
  <c r="AB32" i="37"/>
  <c r="U32" i="37"/>
  <c r="AC36" i="35"/>
  <c r="W36" i="35"/>
  <c r="H9" i="35"/>
  <c r="F9" i="35"/>
  <c r="H45" i="33"/>
  <c r="J45" i="33"/>
  <c r="F14" i="34"/>
  <c r="J14" i="34"/>
  <c r="H14" i="34"/>
  <c r="J32" i="34"/>
  <c r="F32" i="34"/>
  <c r="AB12" i="35"/>
  <c r="U12" i="35"/>
  <c r="J24" i="35"/>
  <c r="H24" i="35"/>
  <c r="H36" i="35"/>
  <c r="F36" i="35"/>
  <c r="U30" i="35"/>
  <c r="AB30" i="35"/>
  <c r="AC8" i="36"/>
  <c r="W8" i="36"/>
  <c r="AB23" i="36"/>
  <c r="U23" i="36"/>
  <c r="AB31" i="36"/>
  <c r="U31" i="36"/>
  <c r="AC35" i="37"/>
  <c r="W35" i="37"/>
  <c r="H25" i="37"/>
  <c r="J25" i="37"/>
  <c r="F25" i="37"/>
  <c r="J41" i="40"/>
  <c r="AC41" i="40" s="1"/>
  <c r="H41" i="40"/>
  <c r="AA37" i="33"/>
  <c r="S37" i="33"/>
  <c r="H87" i="35"/>
  <c r="I87" i="35" s="1"/>
  <c r="J87" i="35" s="1"/>
  <c r="K87" i="35" s="1"/>
  <c r="L87" i="35" s="1"/>
  <c r="M87" i="35" s="1"/>
  <c r="J29" i="35"/>
  <c r="AC29" i="35" s="1"/>
  <c r="W30" i="36"/>
  <c r="AC30" i="36"/>
  <c r="BL569" i="3"/>
  <c r="BA569" i="3"/>
  <c r="BA568" i="3"/>
  <c r="AZ568" i="3" s="1"/>
  <c r="BL567" i="3"/>
  <c r="BA566" i="3"/>
  <c r="BL565" i="3"/>
  <c r="BA564" i="3"/>
  <c r="BA560" i="3"/>
  <c r="BA559" i="3"/>
  <c r="BA558" i="3"/>
  <c r="BL557" i="3"/>
  <c r="BA557" i="3"/>
  <c r="BL555" i="3"/>
  <c r="BA555" i="3"/>
  <c r="BA554" i="3"/>
  <c r="BA552" i="3"/>
  <c r="BL551" i="3"/>
  <c r="BA550" i="3"/>
  <c r="BL549" i="3"/>
  <c r="BA549" i="3"/>
  <c r="BA548" i="3"/>
  <c r="BL547" i="3"/>
  <c r="BA547" i="3"/>
  <c r="BL545" i="3"/>
  <c r="BA545" i="3"/>
  <c r="BA544" i="3"/>
  <c r="BL543" i="3"/>
  <c r="BA543" i="3"/>
  <c r="BA534" i="3"/>
  <c r="BL533" i="3"/>
  <c r="BL531" i="3"/>
  <c r="BA531" i="3"/>
  <c r="AA30" i="40"/>
  <c r="S30" i="40"/>
  <c r="W27" i="36"/>
  <c r="AC27" i="36"/>
  <c r="BL529" i="3"/>
  <c r="BA528" i="3"/>
  <c r="AZ528" i="3" s="1"/>
  <c r="BA506" i="3"/>
  <c r="BA504" i="3"/>
  <c r="AA23" i="35"/>
  <c r="S23" i="35"/>
  <c r="AB16" i="36"/>
  <c r="U16" i="36"/>
  <c r="AA14" i="21"/>
  <c r="S14" i="21"/>
  <c r="W27" i="35"/>
  <c r="AC27" i="35"/>
  <c r="AB26" i="36"/>
  <c r="U26" i="36"/>
  <c r="H33" i="36"/>
  <c r="J33" i="36"/>
  <c r="W33" i="36" s="1"/>
  <c r="AB8" i="37"/>
  <c r="U8" i="37"/>
  <c r="AB30" i="37"/>
  <c r="U30" i="37"/>
  <c r="F9" i="37"/>
  <c r="J9" i="37"/>
  <c r="H27" i="37"/>
  <c r="J27" i="37"/>
  <c r="J16" i="39"/>
  <c r="AC16" i="39" s="1"/>
  <c r="H16" i="39"/>
  <c r="H44" i="39"/>
  <c r="U44" i="39" s="1"/>
  <c r="F44" i="39"/>
  <c r="S44" i="39" s="1"/>
  <c r="E121" i="39"/>
  <c r="F121" i="39" s="1"/>
  <c r="G121" i="39" s="1"/>
  <c r="H121" i="39" s="1"/>
  <c r="I121" i="39" s="1"/>
  <c r="J121" i="39" s="1"/>
  <c r="K121" i="39" s="1"/>
  <c r="L121" i="39" s="1"/>
  <c r="M121" i="39" s="1"/>
  <c r="F41" i="39"/>
  <c r="AA41" i="39" s="1"/>
  <c r="H41" i="39"/>
  <c r="AB41" i="39" s="1"/>
  <c r="F15" i="40"/>
  <c r="J15" i="40"/>
  <c r="W15" i="40" s="1"/>
  <c r="H35" i="40"/>
  <c r="J35" i="40"/>
  <c r="AC35" i="40" s="1"/>
  <c r="S40" i="33"/>
  <c r="AA40" i="33"/>
  <c r="W18" i="36"/>
  <c r="AC18" i="36"/>
  <c r="U38" i="39"/>
  <c r="AB38" i="39"/>
  <c r="F29" i="35"/>
  <c r="S29" i="35" s="1"/>
  <c r="AB15" i="37"/>
  <c r="U15" i="37"/>
  <c r="H9" i="37"/>
  <c r="S29" i="21"/>
  <c r="AA29" i="21"/>
  <c r="U36" i="34"/>
  <c r="AB36" i="34"/>
  <c r="W13" i="37"/>
  <c r="U19" i="40"/>
  <c r="AB19" i="40"/>
  <c r="W17" i="33"/>
  <c r="AC17" i="33"/>
  <c r="AC25" i="36"/>
  <c r="S21" i="40"/>
  <c r="AA21" i="40"/>
  <c r="F24" i="35"/>
  <c r="AA24" i="35" s="1"/>
  <c r="S41" i="34"/>
  <c r="AA41" i="34"/>
  <c r="BL560" i="3"/>
  <c r="AZ560" i="3" s="1"/>
  <c r="F45" i="33"/>
  <c r="S36" i="34"/>
  <c r="AA36" i="34"/>
  <c r="H28" i="33"/>
  <c r="U28" i="33" s="1"/>
  <c r="F28" i="33"/>
  <c r="AC34" i="34"/>
  <c r="W34" i="34"/>
  <c r="AC39" i="34"/>
  <c r="W39" i="34"/>
  <c r="AB44" i="34"/>
  <c r="U44" i="34"/>
  <c r="BL487" i="3"/>
  <c r="AZ487" i="3" s="1"/>
  <c r="AB19" i="37"/>
  <c r="U19" i="37"/>
  <c r="U40" i="40"/>
  <c r="AB40" i="40"/>
  <c r="BB5" i="3"/>
  <c r="E5" i="6" s="1"/>
  <c r="D12" i="11" s="1"/>
  <c r="C12" i="11" s="1"/>
  <c r="F102" i="39"/>
  <c r="J29" i="39" s="1"/>
  <c r="AB40" i="21"/>
  <c r="U40" i="21"/>
  <c r="W40" i="34"/>
  <c r="AC40" i="34"/>
  <c r="AZ379" i="3"/>
  <c r="AZ363" i="3"/>
  <c r="U35" i="34"/>
  <c r="AB35" i="34"/>
  <c r="BL486" i="3"/>
  <c r="AB25" i="35"/>
  <c r="U25" i="35"/>
  <c r="S27" i="36"/>
  <c r="AA27" i="36"/>
  <c r="W14" i="21"/>
  <c r="AC14" i="21"/>
  <c r="AA26" i="21"/>
  <c r="S26" i="21"/>
  <c r="H14" i="37"/>
  <c r="J14" i="37"/>
  <c r="F16" i="40"/>
  <c r="J16" i="40"/>
  <c r="W16" i="40" s="1"/>
  <c r="AA31" i="35"/>
  <c r="S31" i="35"/>
  <c r="AA38" i="39"/>
  <c r="S38" i="39"/>
  <c r="BA567" i="3"/>
  <c r="BA563" i="3"/>
  <c r="BL559" i="3"/>
  <c r="BA556" i="3"/>
  <c r="G556" i="3"/>
  <c r="W19" i="40"/>
  <c r="AC39" i="40"/>
  <c r="W29" i="40"/>
  <c r="AC29" i="40"/>
  <c r="W37" i="34"/>
  <c r="AA11" i="34"/>
  <c r="U13" i="33"/>
  <c r="S40" i="21"/>
  <c r="AA40" i="21"/>
  <c r="W11" i="37"/>
  <c r="AC11" i="37"/>
  <c r="AC12" i="37"/>
  <c r="W12" i="37"/>
  <c r="AA23" i="37"/>
  <c r="U42" i="33"/>
  <c r="AB42" i="33"/>
  <c r="S22" i="36"/>
  <c r="AA22" i="36"/>
  <c r="BL502" i="3"/>
  <c r="BL538" i="3"/>
  <c r="W11" i="36"/>
  <c r="AC11" i="36"/>
  <c r="W45" i="21"/>
  <c r="AC45" i="21"/>
  <c r="AA46" i="21"/>
  <c r="S46" i="21"/>
  <c r="W11" i="21"/>
  <c r="AC11" i="21"/>
  <c r="BC5" i="3"/>
  <c r="BL571" i="3"/>
  <c r="BA571" i="3"/>
  <c r="BL570" i="3"/>
  <c r="BP5" i="3"/>
  <c r="J27" i="21"/>
  <c r="H27" i="21"/>
  <c r="H31" i="21"/>
  <c r="U31" i="21" s="1"/>
  <c r="J31" i="21"/>
  <c r="F28" i="34"/>
  <c r="S28" i="34" s="1"/>
  <c r="J28" i="34"/>
  <c r="W28" i="34" s="1"/>
  <c r="H28" i="34"/>
  <c r="AA12" i="37"/>
  <c r="S12" i="37"/>
  <c r="BA503" i="3"/>
  <c r="AZ503" i="3" s="1"/>
  <c r="BL494" i="3"/>
  <c r="AZ19" i="3"/>
  <c r="S20" i="36"/>
  <c r="AA20" i="36"/>
  <c r="S26" i="36"/>
  <c r="AA26" i="36"/>
  <c r="AB30" i="34"/>
  <c r="U30" i="34"/>
  <c r="AZ347" i="3"/>
  <c r="AZ338" i="3"/>
  <c r="AZ361" i="3"/>
  <c r="U25" i="21"/>
  <c r="AB25" i="21"/>
  <c r="BL482" i="3"/>
  <c r="AZ482" i="3" s="1"/>
  <c r="BL496" i="3"/>
  <c r="BL508" i="3"/>
  <c r="BL516" i="3"/>
  <c r="BL532" i="3"/>
  <c r="BL558" i="3"/>
  <c r="S44" i="33"/>
  <c r="AA44" i="33"/>
  <c r="W32" i="36"/>
  <c r="AC32" i="36"/>
  <c r="S31" i="21"/>
  <c r="AA31" i="21"/>
  <c r="C23" i="39"/>
  <c r="H9" i="21"/>
  <c r="AB9" i="21" s="1"/>
  <c r="F70" i="35"/>
  <c r="H20" i="35" s="1"/>
  <c r="J23" i="35"/>
  <c r="H23" i="35"/>
  <c r="W26" i="36"/>
  <c r="AC26" i="36"/>
  <c r="BA542" i="3"/>
  <c r="BL541" i="3"/>
  <c r="AZ541" i="3" s="1"/>
  <c r="BA541" i="3"/>
  <c r="BA540" i="3"/>
  <c r="BL539" i="3"/>
  <c r="BA539" i="3"/>
  <c r="G539" i="3"/>
  <c r="BA538" i="3"/>
  <c r="BL537" i="3"/>
  <c r="BA537" i="3"/>
  <c r="BA536" i="3"/>
  <c r="AZ536" i="3" s="1"/>
  <c r="BA535" i="3"/>
  <c r="AZ535" i="3" s="1"/>
  <c r="BA533" i="3"/>
  <c r="AZ533" i="3" s="1"/>
  <c r="BA515" i="3"/>
  <c r="BA501" i="3"/>
  <c r="BL497" i="3"/>
  <c r="AZ497" i="3" s="1"/>
  <c r="BL491" i="3"/>
  <c r="AZ491" i="3" s="1"/>
  <c r="BA565" i="3"/>
  <c r="AZ565" i="3" s="1"/>
  <c r="BL561" i="3"/>
  <c r="BA551" i="3"/>
  <c r="BA546" i="3"/>
  <c r="H14" i="35"/>
  <c r="U14" i="35" s="1"/>
  <c r="AZ373" i="3"/>
  <c r="AC8" i="37"/>
  <c r="BL20" i="3"/>
  <c r="BL488" i="3"/>
  <c r="BL500" i="3"/>
  <c r="AZ500" i="3" s="1"/>
  <c r="BL534" i="3"/>
  <c r="BL548" i="3"/>
  <c r="AZ548" i="3" s="1"/>
  <c r="BL556" i="3"/>
  <c r="BL564" i="3"/>
  <c r="H26" i="33"/>
  <c r="F44" i="21"/>
  <c r="AB40" i="34"/>
  <c r="F24" i="36"/>
  <c r="AA24" i="36" s="1"/>
  <c r="AC35" i="21"/>
  <c r="S33" i="33"/>
  <c r="D68" i="59"/>
  <c r="O68" i="59"/>
  <c r="C67" i="59"/>
  <c r="O66" i="59" s="1"/>
  <c r="BL527" i="3"/>
  <c r="BA527" i="3"/>
  <c r="BA526" i="3"/>
  <c r="BL525" i="3"/>
  <c r="BA525" i="3"/>
  <c r="BA524" i="3"/>
  <c r="AA3" i="59"/>
  <c r="G19" i="3"/>
  <c r="BL410" i="3"/>
  <c r="BL226" i="3"/>
  <c r="G245" i="3"/>
  <c r="BA245" i="3"/>
  <c r="BL247" i="3"/>
  <c r="BL293" i="3"/>
  <c r="BA115" i="3"/>
  <c r="AZ115" i="3" s="1"/>
  <c r="BL117" i="3"/>
  <c r="BA156" i="3"/>
  <c r="G21" i="3"/>
  <c r="BL72" i="3"/>
  <c r="G74" i="3"/>
  <c r="C87" i="59"/>
  <c r="D87" i="59" s="1"/>
  <c r="O69" i="59"/>
  <c r="AB35" i="59"/>
  <c r="AB37" i="59"/>
  <c r="E40" i="59"/>
  <c r="E41" i="59" s="1"/>
  <c r="BL523" i="3"/>
  <c r="BA523" i="3"/>
  <c r="BL522" i="3"/>
  <c r="AZ522" i="3" s="1"/>
  <c r="BL521" i="3"/>
  <c r="BA521" i="3"/>
  <c r="G521" i="3"/>
  <c r="BA520" i="3"/>
  <c r="BL519" i="3"/>
  <c r="BA519" i="3"/>
  <c r="G519" i="3"/>
  <c r="BL518" i="3"/>
  <c r="BA518" i="3"/>
  <c r="BL517" i="3"/>
  <c r="BA517" i="3"/>
  <c r="G517" i="3"/>
  <c r="BK5" i="3"/>
  <c r="BA516" i="3"/>
  <c r="BL515" i="3"/>
  <c r="BJ5" i="3"/>
  <c r="BA514" i="3"/>
  <c r="BO5" i="3"/>
  <c r="BA513" i="3"/>
  <c r="BS5" i="3"/>
  <c r="BL511" i="3"/>
  <c r="BA511" i="3"/>
  <c r="BA510" i="3"/>
  <c r="G510" i="3"/>
  <c r="BL509" i="3"/>
  <c r="BA509" i="3"/>
  <c r="G503" i="3"/>
  <c r="G490" i="3"/>
  <c r="G482" i="3"/>
  <c r="S22" i="31"/>
  <c r="R22" i="31" s="1"/>
  <c r="B21" i="31" s="1"/>
  <c r="G394" i="3"/>
  <c r="G395" i="3"/>
  <c r="BL406" i="3"/>
  <c r="G407" i="3"/>
  <c r="BL426" i="3"/>
  <c r="BL446" i="3"/>
  <c r="BA452" i="3"/>
  <c r="BA315" i="3"/>
  <c r="AZ315" i="3" s="1"/>
  <c r="G320" i="3"/>
  <c r="G336" i="3"/>
  <c r="BA369" i="3"/>
  <c r="G381" i="3"/>
  <c r="G214" i="3"/>
  <c r="G255" i="3"/>
  <c r="G259" i="3"/>
  <c r="G264" i="3"/>
  <c r="G276" i="3"/>
  <c r="G280" i="3"/>
  <c r="G284" i="3"/>
  <c r="G292" i="3"/>
  <c r="G121" i="3"/>
  <c r="G129" i="3"/>
  <c r="G130" i="3"/>
  <c r="G133" i="3"/>
  <c r="BL137" i="3"/>
  <c r="G141" i="3"/>
  <c r="G145" i="3"/>
  <c r="G149" i="3"/>
  <c r="G61" i="3"/>
  <c r="G76" i="3"/>
  <c r="G80" i="3"/>
  <c r="G84" i="3"/>
  <c r="G85" i="3"/>
  <c r="G93" i="3"/>
  <c r="D78" i="46"/>
  <c r="Q69" i="59"/>
  <c r="X35" i="59"/>
  <c r="F9" i="1"/>
  <c r="AP9" i="1" s="1"/>
  <c r="G401" i="3"/>
  <c r="G414" i="3"/>
  <c r="G418" i="3"/>
  <c r="G426" i="3"/>
  <c r="G438" i="3"/>
  <c r="G446" i="3"/>
  <c r="G454" i="3"/>
  <c r="G458" i="3"/>
  <c r="G466" i="3"/>
  <c r="G474" i="3"/>
  <c r="BA480" i="3"/>
  <c r="BA341" i="3"/>
  <c r="AZ341" i="3" s="1"/>
  <c r="BA367" i="3"/>
  <c r="AZ367" i="3" s="1"/>
  <c r="G388" i="3"/>
  <c r="G209" i="3"/>
  <c r="G213" i="3"/>
  <c r="BA228" i="3"/>
  <c r="G229" i="3"/>
  <c r="BA243" i="3"/>
  <c r="G267" i="3"/>
  <c r="G295" i="3"/>
  <c r="G26" i="3"/>
  <c r="BA29" i="3"/>
  <c r="BL30" i="3"/>
  <c r="BL31" i="3"/>
  <c r="BA36" i="3"/>
  <c r="BL98" i="3"/>
  <c r="BA100" i="3"/>
  <c r="BL102" i="3"/>
  <c r="C52" i="59"/>
  <c r="B56" i="59"/>
  <c r="B57" i="59" s="1"/>
  <c r="S57" i="59" s="1"/>
  <c r="S12" i="21"/>
  <c r="AA12" i="21"/>
  <c r="AC44" i="21"/>
  <c r="W44" i="21"/>
  <c r="AA25" i="36"/>
  <c r="S25" i="36"/>
  <c r="U13" i="34"/>
  <c r="AB13" i="34"/>
  <c r="AA15" i="40"/>
  <c r="S15" i="40"/>
  <c r="AB29" i="33"/>
  <c r="U29" i="33"/>
  <c r="AA28" i="37"/>
  <c r="S28" i="37"/>
  <c r="AA40" i="37"/>
  <c r="S40" i="37"/>
  <c r="AA28" i="34"/>
  <c r="AA47" i="34"/>
  <c r="S47" i="34"/>
  <c r="AB35" i="40"/>
  <c r="U35" i="40"/>
  <c r="AZ525" i="3"/>
  <c r="U29" i="34"/>
  <c r="AB29" i="34"/>
  <c r="S13" i="35"/>
  <c r="AA13" i="35"/>
  <c r="H113" i="21"/>
  <c r="H37" i="21"/>
  <c r="F37" i="21"/>
  <c r="S37" i="21" s="1"/>
  <c r="J37" i="21"/>
  <c r="AZ553" i="3"/>
  <c r="F79" i="21"/>
  <c r="G79" i="21" s="1"/>
  <c r="U45" i="33"/>
  <c r="AB45" i="33"/>
  <c r="BD5" i="3"/>
  <c r="I4" i="6"/>
  <c r="G3" i="46" s="1"/>
  <c r="Z7" i="46" s="1"/>
  <c r="U37" i="33"/>
  <c r="AA30" i="34"/>
  <c r="AC45" i="34"/>
  <c r="AC15" i="33"/>
  <c r="W41" i="40"/>
  <c r="AC12" i="21"/>
  <c r="BL513" i="3"/>
  <c r="AZ563" i="3"/>
  <c r="AC30" i="37"/>
  <c r="BH5" i="3"/>
  <c r="H47" i="34"/>
  <c r="F29" i="34"/>
  <c r="J40" i="37"/>
  <c r="J31" i="33"/>
  <c r="F30" i="21"/>
  <c r="AA38" i="34"/>
  <c r="H43" i="21"/>
  <c r="AB43" i="21" s="1"/>
  <c r="G571" i="3"/>
  <c r="N48" i="39"/>
  <c r="O48" i="39" s="1"/>
  <c r="C64" i="59"/>
  <c r="D63" i="59"/>
  <c r="AB29" i="21"/>
  <c r="U35" i="21"/>
  <c r="W46" i="34"/>
  <c r="S32" i="33"/>
  <c r="U17" i="34"/>
  <c r="H15" i="40"/>
  <c r="AZ494" i="3"/>
  <c r="AZ507" i="3"/>
  <c r="AA33" i="36"/>
  <c r="AC5" i="3"/>
  <c r="S42" i="33"/>
  <c r="AZ358" i="3"/>
  <c r="AZ339" i="3"/>
  <c r="AB19" i="34"/>
  <c r="AC41" i="34"/>
  <c r="BL520" i="3"/>
  <c r="AZ520" i="3" s="1"/>
  <c r="J29" i="34"/>
  <c r="H40" i="37"/>
  <c r="U40" i="37" s="1"/>
  <c r="J29" i="33"/>
  <c r="H30" i="21"/>
  <c r="U30" i="21" s="1"/>
  <c r="S19" i="33"/>
  <c r="AA39" i="37"/>
  <c r="H12" i="21"/>
  <c r="J43" i="21"/>
  <c r="H12" i="36"/>
  <c r="F23" i="36"/>
  <c r="G535" i="3"/>
  <c r="S19" i="40"/>
  <c r="AA39" i="40"/>
  <c r="S23" i="34"/>
  <c r="AC17" i="37"/>
  <c r="C27" i="39"/>
  <c r="W25" i="21"/>
  <c r="AC25" i="33"/>
  <c r="AA13" i="36"/>
  <c r="BN5" i="3"/>
  <c r="W42" i="40"/>
  <c r="AB33" i="34"/>
  <c r="AA31" i="37"/>
  <c r="S46" i="34"/>
  <c r="U11" i="36"/>
  <c r="AA41" i="33"/>
  <c r="W34" i="40"/>
  <c r="W12" i="34"/>
  <c r="AC14" i="40"/>
  <c r="F35" i="40"/>
  <c r="AZ566" i="3"/>
  <c r="F29" i="33"/>
  <c r="AC33" i="36"/>
  <c r="AZ498" i="3"/>
  <c r="AZ508" i="3"/>
  <c r="BL524" i="3"/>
  <c r="BL540" i="3"/>
  <c r="AZ540" i="3" s="1"/>
  <c r="BL546" i="3"/>
  <c r="BL562" i="3"/>
  <c r="AZ562" i="3" s="1"/>
  <c r="U30" i="33"/>
  <c r="H13" i="35"/>
  <c r="J13" i="34"/>
  <c r="U38" i="33"/>
  <c r="G555" i="3"/>
  <c r="C36" i="59"/>
  <c r="D35" i="59"/>
  <c r="AC35" i="33"/>
  <c r="S13" i="34"/>
  <c r="F25" i="39"/>
  <c r="AA25" i="39" s="1"/>
  <c r="BL510" i="3"/>
  <c r="AZ510" i="3" s="1"/>
  <c r="BL526" i="3"/>
  <c r="H28" i="37"/>
  <c r="F9" i="34"/>
  <c r="AZ561" i="3"/>
  <c r="W25" i="40"/>
  <c r="AB37" i="37"/>
  <c r="S29" i="40"/>
  <c r="S23" i="33"/>
  <c r="W38" i="37"/>
  <c r="AB45" i="39"/>
  <c r="AC46" i="21"/>
  <c r="AB34" i="33"/>
  <c r="BL550" i="3"/>
  <c r="J28" i="37"/>
  <c r="H35" i="35"/>
  <c r="H44" i="21"/>
  <c r="S38" i="33"/>
  <c r="J9" i="34"/>
  <c r="AC9" i="34" s="1"/>
  <c r="G527" i="3"/>
  <c r="W36" i="37"/>
  <c r="AB39" i="40"/>
  <c r="AC25" i="34"/>
  <c r="S19" i="37"/>
  <c r="AA46" i="39"/>
  <c r="S24" i="35"/>
  <c r="W28" i="21"/>
  <c r="W34" i="33"/>
  <c r="AC12" i="36"/>
  <c r="BL512" i="3"/>
  <c r="AZ512" i="3" s="1"/>
  <c r="AZ531" i="3"/>
  <c r="S24" i="36"/>
  <c r="AB8" i="34"/>
  <c r="BL514" i="3"/>
  <c r="BL552" i="3"/>
  <c r="AZ552" i="3" s="1"/>
  <c r="F35" i="35"/>
  <c r="J47" i="34"/>
  <c r="S31" i="33"/>
  <c r="F12" i="36"/>
  <c r="BL572" i="3"/>
  <c r="U25" i="36"/>
  <c r="A17" i="51"/>
  <c r="B13" i="63" s="1"/>
  <c r="AB29" i="40"/>
  <c r="S34" i="39"/>
  <c r="AA32" i="37"/>
  <c r="S8" i="36"/>
  <c r="U12" i="34"/>
  <c r="W32" i="33"/>
  <c r="AA11" i="36"/>
  <c r="AZ483" i="3"/>
  <c r="F29" i="39"/>
  <c r="AA29" i="39" s="1"/>
  <c r="AZ486" i="3"/>
  <c r="BL554" i="3"/>
  <c r="AZ554" i="3" s="1"/>
  <c r="BL542" i="3"/>
  <c r="H31" i="33"/>
  <c r="U31" i="33" s="1"/>
  <c r="W43" i="34"/>
  <c r="S10" i="21"/>
  <c r="D43" i="59"/>
  <c r="C44" i="59"/>
  <c r="C45" i="59" s="1"/>
  <c r="G536" i="3"/>
  <c r="G512" i="3"/>
  <c r="G487" i="3"/>
  <c r="G404" i="3"/>
  <c r="BA420" i="3"/>
  <c r="G424" i="3"/>
  <c r="G434" i="3"/>
  <c r="G435" i="3"/>
  <c r="BA440" i="3"/>
  <c r="G444" i="3"/>
  <c r="BA451" i="3"/>
  <c r="BA470" i="3"/>
  <c r="BL472" i="3"/>
  <c r="G473" i="3"/>
  <c r="G315" i="3"/>
  <c r="G367" i="3"/>
  <c r="BL384" i="3"/>
  <c r="G210" i="3"/>
  <c r="G219" i="3"/>
  <c r="BA224" i="3"/>
  <c r="G228" i="3"/>
  <c r="G237" i="3"/>
  <c r="G238" i="3"/>
  <c r="BL238" i="3"/>
  <c r="G247" i="3"/>
  <c r="G257" i="3"/>
  <c r="BA276" i="3"/>
  <c r="BL276" i="3"/>
  <c r="G279" i="3"/>
  <c r="BA287" i="3"/>
  <c r="BL288" i="3"/>
  <c r="G291" i="3"/>
  <c r="G117" i="3"/>
  <c r="G126" i="3"/>
  <c r="BL144" i="3"/>
  <c r="G172" i="3"/>
  <c r="G181" i="3"/>
  <c r="G189" i="3"/>
  <c r="G39" i="3"/>
  <c r="BL53" i="3"/>
  <c r="G55" i="3"/>
  <c r="BA59" i="3"/>
  <c r="BA61" i="3"/>
  <c r="BL63" i="3"/>
  <c r="BA71" i="3"/>
  <c r="G72" i="3"/>
  <c r="G82" i="3"/>
  <c r="BL88" i="3"/>
  <c r="BL89" i="3"/>
  <c r="G102" i="3"/>
  <c r="G110" i="3"/>
  <c r="G111" i="3"/>
  <c r="E80" i="59"/>
  <c r="E79" i="59" s="1"/>
  <c r="U69" i="59"/>
  <c r="F41" i="59"/>
  <c r="V41" i="59" s="1"/>
  <c r="E64" i="59"/>
  <c r="E65" i="59" s="1"/>
  <c r="U65" i="59" s="1"/>
  <c r="G525" i="3"/>
  <c r="G516" i="3"/>
  <c r="BA432" i="3"/>
  <c r="BA459" i="3"/>
  <c r="BL461" i="3"/>
  <c r="BA321" i="3"/>
  <c r="AZ321" i="3" s="1"/>
  <c r="BL351" i="3"/>
  <c r="BA208" i="3"/>
  <c r="BA235" i="3"/>
  <c r="BA251" i="3"/>
  <c r="BL133" i="3"/>
  <c r="BA140" i="3"/>
  <c r="BA67" i="3"/>
  <c r="BA69" i="3"/>
  <c r="B77" i="46"/>
  <c r="C80" i="59"/>
  <c r="P69" i="59"/>
  <c r="D59" i="59"/>
  <c r="Y32" i="59"/>
  <c r="Z32" i="59" s="1"/>
  <c r="AB38" i="59"/>
  <c r="C24" i="59"/>
  <c r="G486" i="3"/>
  <c r="BL390" i="3"/>
  <c r="G402" i="3"/>
  <c r="BA408" i="3"/>
  <c r="G423" i="3"/>
  <c r="G432" i="3"/>
  <c r="G441" i="3"/>
  <c r="G452" i="3"/>
  <c r="BL454" i="3"/>
  <c r="G461" i="3"/>
  <c r="G313" i="3"/>
  <c r="BA318" i="3"/>
  <c r="G331" i="3"/>
  <c r="BL348" i="3"/>
  <c r="AZ348" i="3" s="1"/>
  <c r="G349" i="3"/>
  <c r="G365" i="3"/>
  <c r="BA388" i="3"/>
  <c r="BL207" i="3"/>
  <c r="G208" i="3"/>
  <c r="BA216" i="3"/>
  <c r="G217" i="3"/>
  <c r="G218" i="3"/>
  <c r="G225" i="3"/>
  <c r="BA231" i="3"/>
  <c r="G235" i="3"/>
  <c r="BL272" i="3"/>
  <c r="G275" i="3"/>
  <c r="G290" i="3"/>
  <c r="G170" i="3"/>
  <c r="BL178" i="3"/>
  <c r="AZ178" i="3" s="1"/>
  <c r="G179" i="3"/>
  <c r="G187" i="3"/>
  <c r="G195" i="3"/>
  <c r="BL202" i="3"/>
  <c r="BL203" i="3"/>
  <c r="G29" i="3"/>
  <c r="G37" i="3"/>
  <c r="BA43" i="3"/>
  <c r="G44" i="3"/>
  <c r="G45" i="3"/>
  <c r="G52" i="3"/>
  <c r="G53" i="3"/>
  <c r="G70" i="3"/>
  <c r="G79" i="3"/>
  <c r="BA96" i="3"/>
  <c r="BL96" i="3"/>
  <c r="BL97" i="3"/>
  <c r="G100" i="3"/>
  <c r="C31" i="39"/>
  <c r="AA30" i="59"/>
  <c r="X39" i="59"/>
  <c r="C56" i="59"/>
  <c r="BL400" i="3"/>
  <c r="BL409" i="3"/>
  <c r="BL422" i="3"/>
  <c r="BL430" i="3"/>
  <c r="BL442" i="3"/>
  <c r="BA475" i="3"/>
  <c r="BL477" i="3"/>
  <c r="BA337" i="3"/>
  <c r="AZ337" i="3" s="1"/>
  <c r="BA212" i="3"/>
  <c r="BL215" i="3"/>
  <c r="BA259" i="3"/>
  <c r="BA260" i="3"/>
  <c r="BL260" i="3"/>
  <c r="BL285" i="3"/>
  <c r="BA295" i="3"/>
  <c r="BL296" i="3"/>
  <c r="BL114" i="3"/>
  <c r="AZ114" i="3" s="1"/>
  <c r="BL149" i="3"/>
  <c r="BL160" i="3"/>
  <c r="BL25" i="3"/>
  <c r="BA33" i="3"/>
  <c r="BL34" i="3"/>
  <c r="BL35" i="3"/>
  <c r="BL85" i="3"/>
  <c r="BA104" i="3"/>
  <c r="AB30" i="59"/>
  <c r="AB32" i="59"/>
  <c r="X36" i="59"/>
  <c r="B60" i="59"/>
  <c r="B61" i="59" s="1"/>
  <c r="S61" i="59" s="1"/>
  <c r="S25" i="59"/>
  <c r="G569" i="3"/>
  <c r="G553" i="3"/>
  <c r="G504" i="3"/>
  <c r="G389" i="3"/>
  <c r="G409" i="3"/>
  <c r="BA428" i="3"/>
  <c r="G430" i="3"/>
  <c r="BA437" i="3"/>
  <c r="BL437" i="3"/>
  <c r="BL450" i="3"/>
  <c r="G451" i="3"/>
  <c r="G470" i="3"/>
  <c r="G477" i="3"/>
  <c r="BL302" i="3"/>
  <c r="AZ302" i="3" s="1"/>
  <c r="BA334" i="3"/>
  <c r="G347" i="3"/>
  <c r="G363" i="3"/>
  <c r="G205" i="3"/>
  <c r="BA211" i="3"/>
  <c r="G215" i="3"/>
  <c r="G232" i="3"/>
  <c r="BA240" i="3"/>
  <c r="BL240" i="3"/>
  <c r="G251" i="3"/>
  <c r="G260" i="3"/>
  <c r="BL269" i="3"/>
  <c r="G274" i="3"/>
  <c r="G285" i="3"/>
  <c r="G296" i="3"/>
  <c r="G160" i="3"/>
  <c r="G168" i="3"/>
  <c r="G169" i="3"/>
  <c r="BL175" i="3"/>
  <c r="G185" i="3"/>
  <c r="BA22" i="3"/>
  <c r="BL41" i="3"/>
  <c r="G42" i="3"/>
  <c r="BA55" i="3"/>
  <c r="BL57" i="3"/>
  <c r="BA64" i="3"/>
  <c r="G99" i="3"/>
  <c r="G106" i="3"/>
  <c r="G107" i="3"/>
  <c r="AB27" i="59"/>
  <c r="BA397" i="3"/>
  <c r="BL397" i="3"/>
  <c r="BA424" i="3"/>
  <c r="BL436" i="3"/>
  <c r="BA464" i="3"/>
  <c r="BA220" i="3"/>
  <c r="BA283" i="3"/>
  <c r="BA291" i="3"/>
  <c r="BL136" i="3"/>
  <c r="BL157" i="3"/>
  <c r="AZ157" i="3" s="1"/>
  <c r="BA164" i="3"/>
  <c r="BA166" i="3"/>
  <c r="AZ166" i="3" s="1"/>
  <c r="BA38" i="3"/>
  <c r="BA54" i="3"/>
  <c r="BL65" i="3"/>
  <c r="BA110" i="3"/>
  <c r="BL112" i="3"/>
  <c r="AA29" i="59"/>
  <c r="Y31" i="59"/>
  <c r="Z31" i="59" s="1"/>
  <c r="Y33" i="59"/>
  <c r="Z33" i="59" s="1"/>
  <c r="Y38" i="59"/>
  <c r="Z38" i="59" s="1"/>
  <c r="B72" i="59"/>
  <c r="B71" i="59" s="1"/>
  <c r="G532" i="3"/>
  <c r="G497" i="3"/>
  <c r="BL405" i="3"/>
  <c r="BA414" i="3"/>
  <c r="BL416" i="3"/>
  <c r="G417" i="3"/>
  <c r="BL425" i="3"/>
  <c r="G428" i="3"/>
  <c r="G436" i="3"/>
  <c r="BA444" i="3"/>
  <c r="BL445" i="3"/>
  <c r="G448" i="3"/>
  <c r="BL456" i="3"/>
  <c r="G457" i="3"/>
  <c r="BA297" i="3"/>
  <c r="AZ297" i="3" s="1"/>
  <c r="BA350" i="3"/>
  <c r="G379" i="3"/>
  <c r="G387" i="3"/>
  <c r="G212" i="3"/>
  <c r="G221" i="3"/>
  <c r="G230" i="3"/>
  <c r="G239" i="3"/>
  <c r="G249" i="3"/>
  <c r="G250" i="3"/>
  <c r="BL250" i="3"/>
  <c r="BA267" i="3"/>
  <c r="G268" i="3"/>
  <c r="BA279" i="3"/>
  <c r="BL280" i="3"/>
  <c r="G283" i="3"/>
  <c r="G293" i="3"/>
  <c r="BL121" i="3"/>
  <c r="BA125" i="3"/>
  <c r="BA127" i="3"/>
  <c r="AZ127" i="3" s="1"/>
  <c r="G138" i="3"/>
  <c r="G174" i="3"/>
  <c r="G183" i="3"/>
  <c r="G184" i="3"/>
  <c r="G191" i="3"/>
  <c r="G192" i="3"/>
  <c r="G199" i="3"/>
  <c r="G200" i="3"/>
  <c r="BA204" i="3"/>
  <c r="G33" i="3"/>
  <c r="G48" i="3"/>
  <c r="G49" i="3"/>
  <c r="BL66" i="3"/>
  <c r="G83" i="3"/>
  <c r="G94" i="3"/>
  <c r="C75" i="59"/>
  <c r="D75" i="59" s="1"/>
  <c r="C84" i="59"/>
  <c r="C72" i="59"/>
  <c r="Q68" i="59"/>
  <c r="AB34" i="59"/>
  <c r="AB36" i="59"/>
  <c r="F44" i="59"/>
  <c r="F45" i="59" s="1"/>
  <c r="V45" i="59" s="1"/>
  <c r="E48" i="59"/>
  <c r="E49" i="59" s="1"/>
  <c r="U49" i="59" s="1"/>
  <c r="F60" i="59"/>
  <c r="F61" i="59" s="1"/>
  <c r="V61" i="59" s="1"/>
  <c r="T25" i="59"/>
  <c r="G123" i="21"/>
  <c r="H123" i="21" s="1"/>
  <c r="I123" i="21" s="1"/>
  <c r="J123" i="21" s="1"/>
  <c r="K123" i="21" s="1"/>
  <c r="L123" i="21" s="1"/>
  <c r="M123" i="21" s="1"/>
  <c r="F42" i="21"/>
  <c r="AA42" i="21" s="1"/>
  <c r="AB41" i="21"/>
  <c r="AA41" i="21"/>
  <c r="S11" i="39"/>
  <c r="W15" i="39"/>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BM5" i="3"/>
  <c r="F29" i="6" s="1"/>
  <c r="F30" i="6" s="1"/>
  <c r="B94" i="75"/>
  <c r="B94" i="74"/>
  <c r="B84" i="75"/>
  <c r="B84" i="74"/>
  <c r="AB33" i="33"/>
  <c r="G564" i="3"/>
  <c r="G551" i="3"/>
  <c r="G533" i="3"/>
  <c r="G505" i="3"/>
  <c r="G496" i="3"/>
  <c r="G495" i="3"/>
  <c r="G489" i="3"/>
  <c r="G15" i="3"/>
  <c r="E19" i="6"/>
  <c r="N44" i="39" s="1"/>
  <c r="O44" i="39" s="1"/>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AZ400" i="3" s="1"/>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AZ368" i="3" s="1"/>
  <c r="G370" i="3"/>
  <c r="BA387" i="3"/>
  <c r="BA209" i="3"/>
  <c r="BA217" i="3"/>
  <c r="G222" i="3"/>
  <c r="BL222" i="3"/>
  <c r="BL230" i="3"/>
  <c r="BA232" i="3"/>
  <c r="BL232" i="3"/>
  <c r="BA237" i="3"/>
  <c r="BL239" i="3"/>
  <c r="G242" i="3"/>
  <c r="BL242" i="3"/>
  <c r="BA249" i="3"/>
  <c r="BA252" i="3"/>
  <c r="BL252" i="3"/>
  <c r="BA255" i="3"/>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BA180" i="3"/>
  <c r="C53" i="59"/>
  <c r="D52" i="59"/>
  <c r="D60" i="59"/>
  <c r="C61" i="59"/>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BA159" i="3"/>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O13" i="1" s="1"/>
  <c r="P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S18" i="35"/>
  <c r="AB16" i="35"/>
  <c r="S16" i="35"/>
  <c r="W16" i="35"/>
  <c r="AB14" i="35"/>
  <c r="S14" i="35"/>
  <c r="W14" i="35"/>
  <c r="S8" i="35"/>
  <c r="W11" i="35"/>
  <c r="W13" i="35"/>
  <c r="J12" i="35"/>
  <c r="K1" i="43"/>
  <c r="AB33" i="21"/>
  <c r="U42" i="21"/>
  <c r="S35" i="21"/>
  <c r="AA33" i="21"/>
  <c r="U38" i="21"/>
  <c r="AB36" i="21"/>
  <c r="AC36" i="21"/>
  <c r="AA36" i="21"/>
  <c r="S34" i="21"/>
  <c r="AB34" i="21"/>
  <c r="W32" i="21"/>
  <c r="U39" i="21"/>
  <c r="S39" i="21"/>
  <c r="W39" i="21"/>
  <c r="AA38" i="21"/>
  <c r="W38" i="21"/>
  <c r="AC34" i="21"/>
  <c r="S32" i="21"/>
  <c r="AB32" i="21"/>
  <c r="H23" i="21"/>
  <c r="AB23" i="21" s="1"/>
  <c r="F81" i="21"/>
  <c r="G81" i="21" s="1"/>
  <c r="J19" i="21"/>
  <c r="F77" i="21"/>
  <c r="G77" i="21" s="1"/>
  <c r="AA25" i="21"/>
  <c r="U28" i="21"/>
  <c r="S21" i="21"/>
  <c r="U9" i="21"/>
  <c r="AB11" i="21"/>
  <c r="W9" i="21"/>
  <c r="S8" i="21"/>
  <c r="C18" i="9"/>
  <c r="M43"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13" i="39"/>
  <c r="S47" i="39"/>
  <c r="J36" i="39"/>
  <c r="AB44" i="39"/>
  <c r="AA44" i="39"/>
  <c r="W41" i="39"/>
  <c r="U41" i="39"/>
  <c r="S40" i="39"/>
  <c r="W40" i="39"/>
  <c r="U15" i="39"/>
  <c r="W13" i="39"/>
  <c r="W34" i="39"/>
  <c r="AB33" i="39"/>
  <c r="S33" i="39"/>
  <c r="F100" i="39"/>
  <c r="G100" i="39" s="1"/>
  <c r="J25" i="39"/>
  <c r="AC25" i="39" s="1"/>
  <c r="H25" i="39"/>
  <c r="U25" i="39" s="1"/>
  <c r="F23" i="39"/>
  <c r="H23" i="39"/>
  <c r="AB23" i="39" s="1"/>
  <c r="S31" i="39"/>
  <c r="S29"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36" i="3"/>
  <c r="AZ440" i="3"/>
  <c r="AZ448" i="3"/>
  <c r="AZ456"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AZ421" i="3" s="1"/>
  <c r="BA425" i="3"/>
  <c r="AZ425" i="3" s="1"/>
  <c r="BA429" i="3"/>
  <c r="BL434" i="3"/>
  <c r="AZ434" i="3" s="1"/>
  <c r="BL438" i="3"/>
  <c r="BA441" i="3"/>
  <c r="AZ441" i="3" s="1"/>
  <c r="BA445" i="3"/>
  <c r="BA449" i="3"/>
  <c r="AZ449" i="3" s="1"/>
  <c r="BA453" i="3"/>
  <c r="AZ453"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AZ447" i="3" s="1"/>
  <c r="BA450" i="3"/>
  <c r="AZ450" i="3" s="1"/>
  <c r="BL451" i="3"/>
  <c r="BA454" i="3"/>
  <c r="AZ454" i="3" s="1"/>
  <c r="BL459" i="3"/>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51" i="3"/>
  <c r="AZ457" i="3"/>
  <c r="AZ473" i="3"/>
  <c r="AZ116" i="3"/>
  <c r="BT5" i="3"/>
  <c r="G28" i="6" s="1"/>
  <c r="G30" i="6" s="1"/>
  <c r="BI5" i="3"/>
  <c r="BG5" i="3"/>
  <c r="AZ208" i="3"/>
  <c r="AZ211" i="3"/>
  <c r="AZ219" i="3"/>
  <c r="AZ227" i="3"/>
  <c r="AZ243" i="3"/>
  <c r="AZ251" i="3"/>
  <c r="AZ259" i="3"/>
  <c r="AZ271" i="3"/>
  <c r="AZ287" i="3"/>
  <c r="AZ168" i="3"/>
  <c r="AZ182" i="3"/>
  <c r="AZ186" i="3"/>
  <c r="AZ190" i="3"/>
  <c r="AZ194" i="3"/>
  <c r="AZ198" i="3"/>
  <c r="AZ29" i="3"/>
  <c r="AZ33" i="3"/>
  <c r="AZ54" i="3"/>
  <c r="AZ69" i="3"/>
  <c r="AZ76" i="3"/>
  <c r="AZ80" i="3"/>
  <c r="AZ96"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G6" i="1"/>
  <c r="A25" i="51"/>
  <c r="B18" i="63" s="1"/>
  <c r="G10" i="1"/>
  <c r="G13" i="1"/>
  <c r="C95" i="9"/>
  <c r="C92" i="9" s="1"/>
  <c r="C25" i="12"/>
  <c r="D23" i="15"/>
  <c r="L52" i="37"/>
  <c r="M52" i="37" s="1"/>
  <c r="N52" i="37" s="1"/>
  <c r="O52" i="37" s="1"/>
  <c r="D69" i="39"/>
  <c r="C66" i="40"/>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F50" i="15"/>
  <c r="C4" i="65"/>
  <c r="B39" i="1" s="1"/>
  <c r="L48" i="44"/>
  <c r="F43" i="15"/>
  <c r="J17" i="44"/>
  <c r="J5" i="65"/>
  <c r="M23" i="15"/>
  <c r="F42" i="15"/>
  <c r="M26" i="15"/>
  <c r="F6" i="15"/>
  <c r="F10" i="44"/>
  <c r="M8" i="44"/>
  <c r="M24" i="15"/>
  <c r="L49" i="44"/>
  <c r="I7" i="65"/>
  <c r="M6" i="15"/>
  <c r="J3" i="65"/>
  <c r="M24" i="44"/>
  <c r="F40" i="15"/>
  <c r="J4" i="65"/>
  <c r="F39" i="44"/>
  <c r="E2" i="65"/>
  <c r="F40" i="44"/>
  <c r="F38" i="15"/>
  <c r="M8" i="15"/>
  <c r="L48" i="15"/>
  <c r="I6" i="65"/>
  <c r="M9" i="15"/>
  <c r="M28" i="15"/>
  <c r="F26" i="15"/>
  <c r="F38" i="44"/>
  <c r="J7" i="65"/>
  <c r="F7" i="15"/>
  <c r="F16" i="15"/>
  <c r="F45" i="44"/>
  <c r="M11" i="44"/>
  <c r="F28" i="44"/>
  <c r="M26" i="44"/>
  <c r="M25" i="44"/>
  <c r="L47" i="15"/>
  <c r="M22" i="15"/>
  <c r="M31" i="44"/>
  <c r="I3" i="65"/>
  <c r="F37" i="15"/>
  <c r="F11" i="44"/>
  <c r="I4" i="65"/>
  <c r="F9" i="44"/>
  <c r="J6" i="65"/>
  <c r="F36" i="15"/>
  <c r="M28" i="44"/>
  <c r="F15" i="44"/>
  <c r="J36" i="15"/>
  <c r="F43" i="44"/>
  <c r="F13" i="15"/>
  <c r="F18" i="44"/>
  <c r="M10" i="44"/>
  <c r="F8" i="44"/>
  <c r="M29" i="15"/>
  <c r="M30" i="44"/>
  <c r="S23" i="21" l="1"/>
  <c r="AC23" i="21"/>
  <c r="AZ18" i="3"/>
  <c r="AA43" i="21"/>
  <c r="U43" i="21"/>
  <c r="AA37" i="21"/>
  <c r="S41" i="39"/>
  <c r="S42" i="39"/>
  <c r="AC29" i="39"/>
  <c r="W29" i="39"/>
  <c r="AB31" i="34"/>
  <c r="U31" i="34"/>
  <c r="S13" i="37"/>
  <c r="AA13" i="37"/>
  <c r="H26" i="46"/>
  <c r="B117" i="46"/>
  <c r="B123" i="46" s="1"/>
  <c r="C123" i="46" s="1"/>
  <c r="AZ13" i="3"/>
  <c r="G26" i="46"/>
  <c r="E26" i="46"/>
  <c r="F26" i="46"/>
  <c r="J26" i="46"/>
  <c r="C27" i="15"/>
  <c r="AZ517" i="3"/>
  <c r="AZ519" i="3"/>
  <c r="AZ527" i="3"/>
  <c r="AZ515" i="3"/>
  <c r="AZ490" i="3"/>
  <c r="AB46" i="33"/>
  <c r="U46" i="33"/>
  <c r="AA26" i="33"/>
  <c r="S26" i="33"/>
  <c r="J17" i="21"/>
  <c r="U45" i="34"/>
  <c r="AB45" i="34"/>
  <c r="AA28" i="21"/>
  <c r="S28" i="21"/>
  <c r="AZ538" i="3"/>
  <c r="AZ571" i="3"/>
  <c r="AZ549" i="3"/>
  <c r="W13" i="36"/>
  <c r="AC13" i="36"/>
  <c r="AC34" i="36"/>
  <c r="W34" i="36"/>
  <c r="F67" i="15"/>
  <c r="U20" i="35"/>
  <c r="AB20" i="35"/>
  <c r="W9" i="34"/>
  <c r="H27" i="39"/>
  <c r="AB27" i="39" s="1"/>
  <c r="B20" i="31"/>
  <c r="S34" i="36"/>
  <c r="AA34" i="36"/>
  <c r="AB38" i="37"/>
  <c r="U38" i="37"/>
  <c r="AZ35" i="3"/>
  <c r="AA30" i="33"/>
  <c r="S30" i="33"/>
  <c r="AZ547" i="3"/>
  <c r="R7" i="54"/>
  <c r="B52" i="63" s="1"/>
  <c r="F19" i="21"/>
  <c r="AA19" i="21" s="1"/>
  <c r="AZ268" i="3"/>
  <c r="AZ236" i="3"/>
  <c r="AZ206" i="3"/>
  <c r="AZ176" i="3"/>
  <c r="AZ319" i="3"/>
  <c r="AZ460" i="3"/>
  <c r="AZ465" i="3"/>
  <c r="E29" i="6"/>
  <c r="G35" i="1" s="1"/>
  <c r="C51" i="39"/>
  <c r="H17" i="21"/>
  <c r="AC31" i="21"/>
  <c r="W31" i="21"/>
  <c r="AB14" i="37"/>
  <c r="U14" i="37"/>
  <c r="G102" i="39"/>
  <c r="H29" i="39"/>
  <c r="S9" i="37"/>
  <c r="AA9" i="37"/>
  <c r="AZ564" i="3"/>
  <c r="W25" i="37"/>
  <c r="AC25" i="37"/>
  <c r="S36" i="35"/>
  <c r="AA36" i="35"/>
  <c r="U14" i="34"/>
  <c r="AB14" i="34"/>
  <c r="AB28" i="34"/>
  <c r="U28" i="34"/>
  <c r="AA28" i="33"/>
  <c r="S28" i="33"/>
  <c r="S45" i="33"/>
  <c r="AA45" i="33"/>
  <c r="W27" i="37"/>
  <c r="AC27" i="37"/>
  <c r="U41" i="40"/>
  <c r="AB41" i="40"/>
  <c r="U25" i="37"/>
  <c r="AB25" i="37"/>
  <c r="AB36" i="35"/>
  <c r="U36" i="35"/>
  <c r="W14" i="34"/>
  <c r="AC14" i="34"/>
  <c r="AA9" i="35"/>
  <c r="S9" i="35"/>
  <c r="AZ99" i="3"/>
  <c r="F15" i="21"/>
  <c r="S15" i="21" s="1"/>
  <c r="H19" i="21"/>
  <c r="AB19" i="21" s="1"/>
  <c r="AZ239" i="3"/>
  <c r="F17" i="21"/>
  <c r="AZ509" i="3"/>
  <c r="AZ521" i="3"/>
  <c r="AA44" i="21"/>
  <c r="S44" i="21"/>
  <c r="G70" i="35"/>
  <c r="J20" i="35"/>
  <c r="F20" i="35"/>
  <c r="AB27" i="21"/>
  <c r="U27" i="21"/>
  <c r="AA16" i="40"/>
  <c r="S16" i="40"/>
  <c r="U33" i="36"/>
  <c r="AB33" i="36"/>
  <c r="AZ559" i="3"/>
  <c r="AB24" i="35"/>
  <c r="U24" i="35"/>
  <c r="AA32" i="34"/>
  <c r="S32" i="34"/>
  <c r="S14" i="34"/>
  <c r="AA14" i="34"/>
  <c r="AB9" i="35"/>
  <c r="U9" i="35"/>
  <c r="U26" i="33"/>
  <c r="AB26" i="33"/>
  <c r="AB23" i="35"/>
  <c r="U23" i="35"/>
  <c r="W27" i="21"/>
  <c r="AC27" i="21"/>
  <c r="W14" i="37"/>
  <c r="AC14" i="37"/>
  <c r="U9" i="37"/>
  <c r="AB9" i="37"/>
  <c r="U16" i="39"/>
  <c r="AB16" i="39"/>
  <c r="W9" i="37"/>
  <c r="AC9" i="37"/>
  <c r="AA25" i="37"/>
  <c r="S25" i="37"/>
  <c r="AC24" i="35"/>
  <c r="W24" i="35"/>
  <c r="W32" i="34"/>
  <c r="AC32" i="34"/>
  <c r="W45" i="33"/>
  <c r="AC45" i="33"/>
  <c r="F65" i="15"/>
  <c r="D84" i="59"/>
  <c r="C83" i="59"/>
  <c r="D83" i="59" s="1"/>
  <c r="AA12" i="36"/>
  <c r="S12" i="36"/>
  <c r="AC28" i="37"/>
  <c r="W28" i="37"/>
  <c r="AZ97" i="3"/>
  <c r="AZ429" i="3"/>
  <c r="U42" i="39"/>
  <c r="J15" i="21"/>
  <c r="W15" i="21" s="1"/>
  <c r="AZ252" i="3"/>
  <c r="AZ276" i="3"/>
  <c r="U13" i="35"/>
  <c r="AB13" i="35"/>
  <c r="U47" i="34"/>
  <c r="AB47" i="34"/>
  <c r="A1" i="70"/>
  <c r="H15" i="21"/>
  <c r="AZ284" i="3"/>
  <c r="AC47" i="34"/>
  <c r="W47" i="34"/>
  <c r="W29" i="33"/>
  <c r="AC29" i="33"/>
  <c r="AZ221" i="3"/>
  <c r="S35" i="35"/>
  <c r="AA35" i="35"/>
  <c r="AA29" i="33"/>
  <c r="S29" i="33"/>
  <c r="AA23" i="36"/>
  <c r="S23" i="36"/>
  <c r="W37" i="21"/>
  <c r="AC37" i="21"/>
  <c r="AZ459" i="3"/>
  <c r="AZ439" i="3"/>
  <c r="AZ112" i="3"/>
  <c r="AZ159" i="3"/>
  <c r="D80" i="59"/>
  <c r="C79" i="59"/>
  <c r="D79" i="59" s="1"/>
  <c r="AA9" i="34"/>
  <c r="S9" i="34"/>
  <c r="U12" i="36"/>
  <c r="AB12" i="36"/>
  <c r="AC29" i="34"/>
  <c r="W29" i="34"/>
  <c r="S30" i="21"/>
  <c r="AA30" i="21"/>
  <c r="AZ160" i="3"/>
  <c r="AZ140" i="3"/>
  <c r="AZ218" i="3"/>
  <c r="AZ470" i="3"/>
  <c r="AZ445" i="3"/>
  <c r="AB31" i="33"/>
  <c r="AZ292" i="3"/>
  <c r="U28" i="37"/>
  <c r="AB28" i="37"/>
  <c r="AA35" i="40"/>
  <c r="S35" i="40"/>
  <c r="AC43" i="21"/>
  <c r="W43" i="21"/>
  <c r="AC31" i="33"/>
  <c r="W31" i="33"/>
  <c r="U37" i="21"/>
  <c r="AB37" i="21"/>
  <c r="P29" i="46"/>
  <c r="B72" i="39" s="1"/>
  <c r="S25" i="39"/>
  <c r="U44" i="21"/>
  <c r="AB44" i="21"/>
  <c r="U12" i="21"/>
  <c r="AB12" i="21"/>
  <c r="AC40" i="37"/>
  <c r="W40" i="37"/>
  <c r="BL5" i="3"/>
  <c r="AZ103" i="3"/>
  <c r="AZ48" i="3"/>
  <c r="AZ204" i="3"/>
  <c r="AZ136" i="3"/>
  <c r="AZ438" i="3"/>
  <c r="AZ402" i="3"/>
  <c r="AZ224" i="3"/>
  <c r="F27" i="39"/>
  <c r="AA27" i="39" s="1"/>
  <c r="D18" i="9"/>
  <c r="M44" i="9" s="1"/>
  <c r="AZ180" i="3"/>
  <c r="AZ255" i="3"/>
  <c r="C71" i="59"/>
  <c r="D71" i="59" s="1"/>
  <c r="D72" i="59"/>
  <c r="AZ240" i="3"/>
  <c r="AZ260" i="3"/>
  <c r="C23" i="59"/>
  <c r="D24" i="59"/>
  <c r="U35" i="35"/>
  <c r="AB35" i="35"/>
  <c r="W13" i="34"/>
  <c r="AC13" i="34"/>
  <c r="AB15" i="40"/>
  <c r="U15" i="40"/>
  <c r="O49" i="39"/>
  <c r="S29" i="34"/>
  <c r="AA29" i="34"/>
  <c r="W42" i="21"/>
  <c r="S42" i="21"/>
  <c r="L58" i="15"/>
  <c r="Q61" i="15" s="1"/>
  <c r="L59" i="15"/>
  <c r="Q75" i="15" s="1"/>
  <c r="F64" i="15"/>
  <c r="L56" i="15"/>
  <c r="J53" i="15"/>
  <c r="F1" i="15" s="1"/>
  <c r="J57" i="15"/>
  <c r="J55" i="15" s="1"/>
  <c r="J58" i="15" s="1"/>
  <c r="Q51" i="15" s="1"/>
  <c r="I54" i="15"/>
  <c r="Q72" i="15"/>
  <c r="F48" i="15"/>
  <c r="J1" i="65"/>
  <c r="F63" i="15"/>
  <c r="W23" i="39"/>
  <c r="J27" i="39"/>
  <c r="AC27" i="39" s="1"/>
  <c r="AZ51" i="3"/>
  <c r="E15" i="6"/>
  <c r="E66" i="39" s="1"/>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M11" i="77"/>
  <c r="J10" i="77" s="1"/>
  <c r="F11" i="77"/>
  <c r="S43" i="39"/>
  <c r="AC42" i="39"/>
  <c r="W42" i="39"/>
  <c r="W25"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E61" i="46"/>
  <c r="B59" i="46" s="1"/>
  <c r="E50" i="46"/>
  <c r="B48" i="46" s="1"/>
  <c r="C28" i="46" s="1"/>
  <c r="I123" i="46"/>
  <c r="J123" i="46" s="1"/>
  <c r="K123" i="46" s="1"/>
  <c r="L123" i="46" s="1"/>
  <c r="M123" i="46" s="1"/>
  <c r="E17" i="46"/>
  <c r="C17" i="46" s="1"/>
  <c r="C7" i="46"/>
  <c r="F27" i="6"/>
  <c r="I8" i="6" s="1"/>
  <c r="E58" i="39"/>
  <c r="E10" i="6"/>
  <c r="E14" i="6"/>
  <c r="E65" i="39" s="1"/>
  <c r="E13" i="6"/>
  <c r="E59" i="40" s="1"/>
  <c r="E11" i="6"/>
  <c r="E62" i="39" s="1"/>
  <c r="B38" i="9" s="1"/>
  <c r="E38" i="9" s="1"/>
  <c r="E28" i="6"/>
  <c r="K14" i="1" s="1"/>
  <c r="G5" i="3"/>
  <c r="B3" i="3" s="1"/>
  <c r="AT6" i="3" s="1"/>
  <c r="H7" i="34"/>
  <c r="U7" i="34" s="1"/>
  <c r="F7" i="34"/>
  <c r="AA7" i="34" s="1"/>
  <c r="R49" i="34" s="1"/>
  <c r="J7" i="34"/>
  <c r="W7" i="34" s="1"/>
  <c r="F7" i="21"/>
  <c r="AA7" i="21" s="1"/>
  <c r="S13" i="59"/>
  <c r="F58" i="15"/>
  <c r="H7" i="35"/>
  <c r="U7" i="35" s="1"/>
  <c r="B40" i="1"/>
  <c r="F24" i="79" s="1"/>
  <c r="E64" i="40"/>
  <c r="D66" i="40"/>
  <c r="AC7" i="33"/>
  <c r="V48" i="33" s="1"/>
  <c r="I48" i="33" s="1"/>
  <c r="J7" i="37"/>
  <c r="D71" i="39"/>
  <c r="E69" i="39"/>
  <c r="H7" i="33"/>
  <c r="F7" i="33"/>
  <c r="J46" i="36"/>
  <c r="J7" i="35"/>
  <c r="F7" i="35"/>
  <c r="H7" i="37"/>
  <c r="F7" i="37"/>
  <c r="M19" i="44"/>
  <c r="M13" i="44"/>
  <c r="J12" i="44" s="1"/>
  <c r="F11" i="15"/>
  <c r="M11" i="15"/>
  <c r="F13" i="44"/>
  <c r="C12" i="44" s="1"/>
  <c r="M32" i="46"/>
  <c r="P32" i="46"/>
  <c r="O32" i="46"/>
  <c r="N32" i="46"/>
  <c r="AE6" i="1"/>
  <c r="AE12" i="1"/>
  <c r="AE7" i="1"/>
  <c r="AE9" i="1"/>
  <c r="AE11" i="1"/>
  <c r="F42" i="79"/>
  <c r="M28" i="79"/>
  <c r="M26" i="79"/>
  <c r="M24" i="77"/>
  <c r="M9" i="79"/>
  <c r="F36" i="77"/>
  <c r="C18" i="44"/>
  <c r="F37" i="79"/>
  <c r="F42" i="77"/>
  <c r="F26" i="79"/>
  <c r="C16" i="15"/>
  <c r="M24" i="79"/>
  <c r="J36" i="77"/>
  <c r="M9" i="77"/>
  <c r="F43" i="77"/>
  <c r="M22" i="77"/>
  <c r="F7" i="79"/>
  <c r="F7" i="77"/>
  <c r="F41" i="15"/>
  <c r="M26" i="77"/>
  <c r="F40" i="77"/>
  <c r="F16" i="79"/>
  <c r="M8" i="79"/>
  <c r="J15" i="77"/>
  <c r="F36" i="79"/>
  <c r="F13" i="79"/>
  <c r="F46" i="44"/>
  <c r="F13" i="77"/>
  <c r="M23" i="79"/>
  <c r="F16" i="77"/>
  <c r="F9" i="79"/>
  <c r="F8" i="79"/>
  <c r="L48" i="79"/>
  <c r="M22" i="79"/>
  <c r="M6" i="77"/>
  <c r="F6" i="77"/>
  <c r="J36" i="79"/>
  <c r="F6" i="79"/>
  <c r="M28" i="77"/>
  <c r="M23" i="77"/>
  <c r="L47" i="79"/>
  <c r="F38" i="79"/>
  <c r="L48" i="77"/>
  <c r="F40" i="79"/>
  <c r="F37" i="77"/>
  <c r="J15" i="79"/>
  <c r="M8" i="77"/>
  <c r="F8" i="77"/>
  <c r="F9" i="77"/>
  <c r="F26" i="77"/>
  <c r="L47" i="77"/>
  <c r="F38" i="77"/>
  <c r="M6" i="79"/>
  <c r="M29" i="77"/>
  <c r="E3" i="65"/>
  <c r="AA15" i="21" l="1"/>
  <c r="AC15" i="21"/>
  <c r="U19" i="21"/>
  <c r="E58" i="40"/>
  <c r="L19" i="6"/>
  <c r="L27" i="6" s="1"/>
  <c r="O19" i="6"/>
  <c r="O27" i="6" s="1"/>
  <c r="W27" i="39"/>
  <c r="B119" i="46"/>
  <c r="C119" i="46" s="1"/>
  <c r="D117" i="46"/>
  <c r="D121" i="46"/>
  <c r="E121" i="46" s="1"/>
  <c r="F121" i="46" s="1"/>
  <c r="G121" i="46" s="1"/>
  <c r="H121" i="46" s="1"/>
  <c r="B122" i="46"/>
  <c r="C122" i="46" s="1"/>
  <c r="D119" i="46"/>
  <c r="E119" i="46" s="1"/>
  <c r="F119" i="46" s="1"/>
  <c r="G119" i="46" s="1"/>
  <c r="H119" i="46" s="1"/>
  <c r="D120" i="46"/>
  <c r="E120" i="46" s="1"/>
  <c r="F120" i="46" s="1"/>
  <c r="G120" i="46" s="1"/>
  <c r="H120" i="46" s="1"/>
  <c r="I121" i="46"/>
  <c r="J121" i="46" s="1"/>
  <c r="K121" i="46" s="1"/>
  <c r="L121" i="46" s="1"/>
  <c r="M121" i="46" s="1"/>
  <c r="D122" i="46"/>
  <c r="E122" i="46" s="1"/>
  <c r="F122" i="46" s="1"/>
  <c r="B121" i="46"/>
  <c r="C121" i="46" s="1"/>
  <c r="B120" i="46"/>
  <c r="C120" i="46" s="1"/>
  <c r="G122" i="46"/>
  <c r="H122" i="46" s="1"/>
  <c r="D123" i="46"/>
  <c r="E123" i="46" s="1"/>
  <c r="F123" i="46" s="1"/>
  <c r="G123" i="46" s="1"/>
  <c r="H123" i="46" s="1"/>
  <c r="H7" i="21"/>
  <c r="AB7" i="21" s="1"/>
  <c r="I119" i="46"/>
  <c r="J119" i="46" s="1"/>
  <c r="K119" i="46" s="1"/>
  <c r="L119" i="46" s="1"/>
  <c r="M119" i="46" s="1"/>
  <c r="I122" i="46"/>
  <c r="J122" i="46" s="1"/>
  <c r="K122" i="46" s="1"/>
  <c r="L122" i="46" s="1"/>
  <c r="M122" i="46" s="1"/>
  <c r="I120" i="46"/>
  <c r="J120" i="46" s="1"/>
  <c r="K120" i="46" s="1"/>
  <c r="L120" i="46" s="1"/>
  <c r="M120" i="46" s="1"/>
  <c r="D26" i="46"/>
  <c r="C25" i="46" s="1"/>
  <c r="E61" i="40"/>
  <c r="AC17" i="21"/>
  <c r="W17" i="21"/>
  <c r="J7" i="21"/>
  <c r="AC7" i="21" s="1"/>
  <c r="K15" i="1"/>
  <c r="S19" i="21"/>
  <c r="Q74" i="15"/>
  <c r="Q62" i="15"/>
  <c r="S20" i="35"/>
  <c r="AA20" i="35"/>
  <c r="AC20" i="35"/>
  <c r="W20" i="35"/>
  <c r="AB17" i="21"/>
  <c r="U17" i="21"/>
  <c r="AZ5" i="3"/>
  <c r="E3" i="6" s="1"/>
  <c r="D16" i="43" s="1"/>
  <c r="C16" i="43" s="1"/>
  <c r="S17" i="21"/>
  <c r="AA17" i="21"/>
  <c r="R48" i="21" s="1"/>
  <c r="E48" i="21" s="1"/>
  <c r="U29" i="39"/>
  <c r="AB29" i="39"/>
  <c r="U15" i="21"/>
  <c r="AB15" i="21"/>
  <c r="T48" i="21" s="1"/>
  <c r="G48" i="21" s="1"/>
  <c r="D23" i="59"/>
  <c r="C22" i="59"/>
  <c r="S27" i="39"/>
  <c r="S7" i="34"/>
  <c r="F31" i="6"/>
  <c r="K26" i="1" s="1"/>
  <c r="M26" i="1" s="1"/>
  <c r="N50" i="39"/>
  <c r="O50" i="39" s="1"/>
  <c r="O51" i="39" s="1"/>
  <c r="O52" i="39" s="1"/>
  <c r="Q53" i="15"/>
  <c r="C48" i="15"/>
  <c r="L58" i="79"/>
  <c r="L59" i="79"/>
  <c r="F67" i="79"/>
  <c r="F65" i="79"/>
  <c r="F67" i="77"/>
  <c r="C27" i="77"/>
  <c r="F65" i="77"/>
  <c r="F63" i="79"/>
  <c r="C27" i="79"/>
  <c r="C6" i="79"/>
  <c r="L58" i="77"/>
  <c r="L59" i="77"/>
  <c r="Q72" i="77"/>
  <c r="F17" i="1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D16" i="12"/>
  <c r="D19" i="12" s="1"/>
  <c r="C19" i="12" s="1"/>
  <c r="L38" i="9"/>
  <c r="D45" i="9"/>
  <c r="E57" i="40"/>
  <c r="E60" i="40"/>
  <c r="E16" i="6"/>
  <c r="E30" i="6"/>
  <c r="E64" i="39"/>
  <c r="B37" i="9" s="1"/>
  <c r="E37" i="9" s="1"/>
  <c r="G35" i="9" s="1"/>
  <c r="C43" i="9" s="1"/>
  <c r="K47" i="9" s="1"/>
  <c r="A14" i="55" s="1"/>
  <c r="B65" i="63"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7" i="77"/>
  <c r="M27" i="15"/>
  <c r="M27" i="79"/>
  <c r="M29" i="44"/>
  <c r="C16" i="77"/>
  <c r="V48" i="21" l="1"/>
  <c r="I48" i="21" s="1"/>
  <c r="I52" i="21" s="1"/>
  <c r="J52" i="21" s="1"/>
  <c r="C33" i="46"/>
  <c r="E33" i="46" s="1"/>
  <c r="B14" i="66"/>
  <c r="B1" i="66" s="1"/>
  <c r="C7" i="66" s="1"/>
  <c r="G52" i="21"/>
  <c r="H52" i="21" s="1"/>
  <c r="R49" i="21"/>
  <c r="C49" i="21" s="1"/>
  <c r="B3" i="21" s="1"/>
  <c r="C10" i="77"/>
  <c r="C5" i="77" s="1"/>
  <c r="C38" i="77" s="1"/>
  <c r="G9" i="77"/>
  <c r="C47" i="15"/>
  <c r="C65" i="15" s="1"/>
  <c r="C21" i="59"/>
  <c r="D22" i="59"/>
  <c r="C48" i="79"/>
  <c r="C60" i="79" s="1"/>
  <c r="J24" i="77"/>
  <c r="J26" i="77"/>
  <c r="L37" i="75"/>
  <c r="P37" i="75" s="1"/>
  <c r="J26" i="79"/>
  <c r="J24" i="79"/>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M36" i="46"/>
  <c r="O36" i="46"/>
  <c r="L37" i="46"/>
  <c r="O37" i="46" s="1"/>
  <c r="N36" i="46"/>
  <c r="P36" i="46"/>
  <c r="Q36" i="74"/>
  <c r="M36" i="74"/>
  <c r="P36" i="74"/>
  <c r="O36" i="74"/>
  <c r="L37" i="74"/>
  <c r="N36" i="74"/>
  <c r="D22" i="12"/>
  <c r="C22" i="12" s="1"/>
  <c r="B29" i="1"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T8" i="46"/>
  <c r="V8" i="46" s="1"/>
  <c r="T10" i="46"/>
  <c r="V10" i="46" s="1"/>
  <c r="C16" i="12"/>
  <c r="G43" i="35"/>
  <c r="H43" i="35" s="1"/>
  <c r="T11" i="46"/>
  <c r="V11" i="46" s="1"/>
  <c r="T4" i="46"/>
  <c r="V4" i="46" s="1"/>
  <c r="T12" i="46"/>
  <c r="V12" i="46" s="1"/>
  <c r="T5" i="46"/>
  <c r="V5" i="46" s="1"/>
  <c r="T13" i="46"/>
  <c r="V13" i="46" s="1"/>
  <c r="T6" i="46"/>
  <c r="V6" i="46" s="1"/>
  <c r="T14" i="46"/>
  <c r="V1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AE10" i="1"/>
  <c r="F8" i="67"/>
  <c r="F9" i="67"/>
  <c r="AE8" i="1"/>
  <c r="G53" i="21" l="1"/>
  <c r="H53" i="21" s="1"/>
  <c r="C14" i="66"/>
  <c r="D29" i="6"/>
  <c r="C34" i="46"/>
  <c r="E34" i="46" s="1"/>
  <c r="C48" i="21"/>
  <c r="C59" i="15"/>
  <c r="C47" i="79"/>
  <c r="C59" i="79" s="1"/>
  <c r="C20" i="59"/>
  <c r="T21" i="59"/>
  <c r="D21" i="59"/>
  <c r="C30" i="75"/>
  <c r="B2" i="75" s="1"/>
  <c r="N37" i="75"/>
  <c r="O37" i="75"/>
  <c r="Q37" i="75"/>
  <c r="M37" i="75"/>
  <c r="C30" i="74"/>
  <c r="C31" i="75"/>
  <c r="C31" i="74"/>
  <c r="C47" i="77"/>
  <c r="B2" i="21"/>
  <c r="C10" i="12" s="1"/>
  <c r="C8" i="12"/>
  <c r="M37" i="46"/>
  <c r="Q37" i="46"/>
  <c r="N37" i="46"/>
  <c r="P37" i="46"/>
  <c r="Q37" i="74"/>
  <c r="M37" i="74"/>
  <c r="O37" i="74"/>
  <c r="N37" i="74"/>
  <c r="P37" i="74"/>
  <c r="E40" i="46"/>
  <c r="E12" i="59"/>
  <c r="E11" i="59" s="1"/>
  <c r="E10" i="59" s="1"/>
  <c r="E9" i="59" s="1"/>
  <c r="U9" i="59" s="1"/>
  <c r="U13" i="59"/>
  <c r="E41" i="46"/>
  <c r="G37" i="46"/>
  <c r="I37" i="46" s="1"/>
  <c r="E39" i="46"/>
  <c r="G42" i="46"/>
  <c r="E38" i="46"/>
  <c r="G38" i="46"/>
  <c r="I38" i="46" s="1"/>
  <c r="S12" i="1"/>
  <c r="S11" i="1"/>
  <c r="E6" i="3"/>
  <c r="F8" i="59"/>
  <c r="B9" i="59"/>
  <c r="S9" i="59" s="1"/>
  <c r="D8" i="6"/>
  <c r="E62" i="40"/>
  <c r="D15" i="6"/>
  <c r="D11" i="6"/>
  <c r="K38" i="9"/>
  <c r="E45" i="9"/>
  <c r="D14" i="6"/>
  <c r="D21" i="6"/>
  <c r="D13" i="6"/>
  <c r="E67" i="39"/>
  <c r="D25" i="6"/>
  <c r="D5" i="6"/>
  <c r="D26" i="6"/>
  <c r="D20" i="6"/>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B9" i="67"/>
  <c r="F41" i="79"/>
  <c r="F41" i="77"/>
  <c r="E9" i="67"/>
  <c r="C19" i="44"/>
  <c r="E8" i="67"/>
  <c r="B2" i="66" l="1"/>
  <c r="D7" i="66" s="1"/>
  <c r="J29" i="77"/>
  <c r="F68" i="77"/>
  <c r="C65" i="79"/>
  <c r="C19" i="59"/>
  <c r="D20" i="59"/>
  <c r="F68" i="79"/>
  <c r="J29" i="79"/>
  <c r="D4" i="75"/>
  <c r="B3" i="75"/>
  <c r="B4" i="75"/>
  <c r="C65" i="77"/>
  <c r="C59" i="77"/>
  <c r="B2" i="74"/>
  <c r="D30" i="6"/>
  <c r="F7" i="59"/>
  <c r="B8" i="59"/>
  <c r="E8" i="59"/>
  <c r="A20" i="64"/>
  <c r="A6" i="64"/>
  <c r="A20" i="51"/>
  <c r="B15" i="63" s="1"/>
  <c r="N5" i="54"/>
  <c r="B43" i="63" s="1"/>
  <c r="A6" i="51"/>
  <c r="B7" i="63" s="1"/>
  <c r="D16" i="6"/>
  <c r="I64" i="40"/>
  <c r="H66" i="40"/>
  <c r="H71" i="39"/>
  <c r="I69" i="39"/>
  <c r="N46" i="36"/>
  <c r="B8" i="67"/>
  <c r="C18" i="59" l="1"/>
  <c r="D19" i="59"/>
  <c r="D4" i="74"/>
  <c r="B3" i="74"/>
  <c r="B4" i="74"/>
  <c r="E7" i="59"/>
  <c r="B7" i="59"/>
  <c r="F6" i="59"/>
  <c r="O46" i="36"/>
  <c r="J7" i="36" s="1"/>
  <c r="J64" i="40"/>
  <c r="I66" i="40"/>
  <c r="J69" i="39"/>
  <c r="I71" i="39"/>
  <c r="C17" i="59" l="1"/>
  <c r="D18" i="59"/>
  <c r="H7" i="36"/>
  <c r="AB7" i="36" s="1"/>
  <c r="T36" i="36" s="1"/>
  <c r="G36" i="36" s="1"/>
  <c r="F7" i="36"/>
  <c r="AA7" i="36" s="1"/>
  <c r="R36" i="36" s="1"/>
  <c r="F5" i="59"/>
  <c r="V5" i="59" s="1"/>
  <c r="B6" i="59"/>
  <c r="E6" i="59"/>
  <c r="K69" i="39"/>
  <c r="J71" i="39"/>
  <c r="AC7" i="36"/>
  <c r="V36" i="36" s="1"/>
  <c r="I36" i="36" s="1"/>
  <c r="W7" i="36"/>
  <c r="J66" i="40"/>
  <c r="K64" i="40"/>
  <c r="T17" i="59" l="1"/>
  <c r="D17" i="59"/>
  <c r="C16" i="59"/>
  <c r="U7" i="36"/>
  <c r="S7" i="36"/>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L57" i="77"/>
  <c r="L60" i="77" s="1"/>
  <c r="J9" i="40"/>
  <c r="H9" i="40"/>
  <c r="F9" i="40"/>
  <c r="J9" i="39"/>
  <c r="H9" i="39"/>
  <c r="F9" i="39"/>
  <c r="T13" i="59" l="1"/>
  <c r="C12" i="59"/>
  <c r="D13" i="59"/>
  <c r="Q67" i="77"/>
  <c r="L46" i="77"/>
  <c r="Q58" i="77"/>
  <c r="S9" i="39"/>
  <c r="AA9" i="39"/>
  <c r="W9" i="39"/>
  <c r="AC9" i="39"/>
  <c r="U9" i="40"/>
  <c r="AB9" i="40"/>
  <c r="T44" i="40" s="1"/>
  <c r="G44" i="40" s="1"/>
  <c r="U9" i="39"/>
  <c r="AB9" i="39"/>
  <c r="S9" i="40"/>
  <c r="AA9" i="40"/>
  <c r="R44" i="40" s="1"/>
  <c r="AC9" i="40"/>
  <c r="V44" i="40" s="1"/>
  <c r="I44" i="40" s="1"/>
  <c r="I48" i="40" s="1"/>
  <c r="J48" i="40" s="1"/>
  <c r="W9" i="40"/>
  <c r="C11" i="59" l="1"/>
  <c r="D12" i="59"/>
  <c r="R45" i="40"/>
  <c r="E44" i="40"/>
  <c r="G48" i="40"/>
  <c r="H48" i="40" s="1"/>
  <c r="G49" i="40"/>
  <c r="H49" i="40" s="1"/>
  <c r="C10" i="59" l="1"/>
  <c r="D11" i="59"/>
  <c r="I49" i="40"/>
  <c r="J49" i="40" s="1"/>
  <c r="E49" i="40"/>
  <c r="F49" i="40" s="1"/>
  <c r="E48" i="40"/>
  <c r="F48" i="40" s="1"/>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D9" i="59" l="1"/>
  <c r="C8" i="59"/>
  <c r="T9" i="59"/>
  <c r="B5" i="40"/>
  <c r="B4" i="40"/>
  <c r="B3" i="40"/>
  <c r="C7" i="59" l="1"/>
  <c r="D8" i="59"/>
  <c r="F20" i="43"/>
  <c r="D20" i="43" s="1"/>
  <c r="F26" i="12"/>
  <c r="F26" i="44"/>
  <c r="F24" i="15"/>
  <c r="D7" i="59" l="1"/>
  <c r="C6" i="59"/>
  <c r="C24" i="15"/>
  <c r="C27" i="12"/>
  <c r="D26" i="12" s="1"/>
  <c r="C32" i="12" s="1"/>
  <c r="D30" i="12" s="1"/>
  <c r="C26" i="44"/>
  <c r="C5" i="59" l="1"/>
  <c r="D6" i="59"/>
  <c r="C35" i="44"/>
  <c r="J19" i="15"/>
  <c r="C33" i="15"/>
  <c r="J59" i="15"/>
  <c r="J60" i="15" s="1"/>
  <c r="Q49" i="15" s="1"/>
  <c r="J21" i="44"/>
  <c r="M24" i="75" l="1"/>
  <c r="M24" i="74"/>
  <c r="D5" i="59"/>
  <c r="T5" i="59"/>
  <c r="M24" i="46"/>
  <c r="C60" i="15"/>
  <c r="J28" i="44"/>
  <c r="J31" i="44" s="1"/>
  <c r="Q67" i="44" s="1"/>
  <c r="L47" i="44"/>
  <c r="J26" i="15"/>
  <c r="J29" i="15" s="1"/>
  <c r="Q49" i="44" l="1"/>
  <c r="Q55" i="44" s="1"/>
  <c r="Q58" i="44"/>
  <c r="R12" i="1"/>
  <c r="R11" i="1"/>
  <c r="M23" i="44"/>
  <c r="F37" i="44"/>
  <c r="C36" i="44" l="1"/>
  <c r="C33" i="44" s="1"/>
  <c r="J22" i="44"/>
  <c r="J19" i="44" s="1"/>
  <c r="C5" i="79" l="1"/>
  <c r="C38" i="79" s="1"/>
  <c r="F3" i="35" l="1"/>
  <c r="E23" i="6"/>
  <c r="G9" i="12" l="1"/>
  <c r="K10" i="1"/>
  <c r="D23" i="6"/>
  <c r="D42" i="46"/>
  <c r="G27" i="6"/>
  <c r="G31" i="6" s="1"/>
  <c r="K27" i="1" s="1"/>
  <c r="E22" i="6"/>
  <c r="M29" i="79"/>
  <c r="F43" i="79"/>
  <c r="F70" i="79" l="1"/>
  <c r="M27" i="1"/>
  <c r="M25" i="1" s="1"/>
  <c r="K25" i="1"/>
  <c r="K32" i="1" s="1"/>
  <c r="D22" i="6"/>
  <c r="D27" i="6" s="1"/>
  <c r="D31" i="6" s="1"/>
  <c r="I6" i="6" s="1"/>
  <c r="F9" i="12"/>
  <c r="D3" i="35"/>
  <c r="K9" i="1"/>
  <c r="E27" i="6"/>
  <c r="M10" i="1"/>
  <c r="H42" i="46"/>
  <c r="I42" i="46" s="1"/>
  <c r="C31" i="46" s="1"/>
  <c r="D1" i="46"/>
  <c r="E42" i="46"/>
  <c r="F7" i="67"/>
  <c r="C16" i="79"/>
  <c r="K22" i="6" l="1"/>
  <c r="M22" i="6" s="1"/>
  <c r="I22" i="6" s="1"/>
  <c r="N20" i="6"/>
  <c r="N21" i="6"/>
  <c r="N19" i="6"/>
  <c r="N22" i="6"/>
  <c r="L25" i="1"/>
  <c r="L24" i="1" s="1"/>
  <c r="E4" i="67"/>
  <c r="K16" i="1"/>
  <c r="AP16" i="1"/>
  <c r="F22" i="11" s="1"/>
  <c r="G16" i="1"/>
  <c r="Q16" i="1"/>
  <c r="Q18" i="1" s="1"/>
  <c r="M9" i="1"/>
  <c r="H16" i="1"/>
  <c r="K33" i="1"/>
  <c r="K30" i="1"/>
  <c r="M30" i="1" s="1"/>
  <c r="K28" i="1"/>
  <c r="M28" i="1" s="1"/>
  <c r="O10" i="1"/>
  <c r="P10" i="1" s="1"/>
  <c r="C30" i="46"/>
  <c r="K20" i="6"/>
  <c r="K19" i="6"/>
  <c r="K21" i="6"/>
  <c r="K26" i="6"/>
  <c r="M26" i="6" s="1"/>
  <c r="I26" i="6" s="1"/>
  <c r="K24" i="6"/>
  <c r="M24" i="6" s="1"/>
  <c r="I24" i="6" s="1"/>
  <c r="K25" i="6"/>
  <c r="M25" i="6" s="1"/>
  <c r="I25" i="6" s="1"/>
  <c r="E31" i="6"/>
  <c r="I5" i="6" s="1"/>
  <c r="K23" i="6"/>
  <c r="E7" i="67"/>
  <c r="S9" i="1" l="1"/>
  <c r="N23" i="6"/>
  <c r="P23" i="6" s="1"/>
  <c r="M24" i="1"/>
  <c r="E3" i="67"/>
  <c r="H25" i="6"/>
  <c r="R25" i="6" s="1"/>
  <c r="S25" i="6"/>
  <c r="M19" i="6"/>
  <c r="S6" i="1"/>
  <c r="K27" i="6"/>
  <c r="S24" i="6"/>
  <c r="H24" i="6"/>
  <c r="R24" i="6" s="1"/>
  <c r="S7" i="1"/>
  <c r="M20" i="6"/>
  <c r="I20" i="6" s="1"/>
  <c r="H12" i="39"/>
  <c r="J12" i="39"/>
  <c r="F12" i="39"/>
  <c r="H12" i="40"/>
  <c r="J12" i="40"/>
  <c r="F12" i="40"/>
  <c r="M23" i="6"/>
  <c r="I23" i="6" s="1"/>
  <c r="S10" i="1"/>
  <c r="H26" i="6"/>
  <c r="R26" i="6" s="1"/>
  <c r="S26" i="6"/>
  <c r="S8" i="1"/>
  <c r="M21" i="6"/>
  <c r="I21" i="6" s="1"/>
  <c r="H22" i="6"/>
  <c r="S22" i="6"/>
  <c r="M16" i="1"/>
  <c r="O9" i="1"/>
  <c r="O16" i="1" s="1"/>
  <c r="B2" i="46"/>
  <c r="F21" i="43"/>
  <c r="F33" i="12"/>
  <c r="C34" i="12" s="1"/>
  <c r="D33" i="12" s="1"/>
  <c r="C17" i="77"/>
  <c r="B7" i="67"/>
  <c r="C17" i="79"/>
  <c r="C17" i="15"/>
  <c r="R22" i="6" l="1"/>
  <c r="R9" i="1" s="1"/>
  <c r="B2" i="67"/>
  <c r="N16" i="1"/>
  <c r="F22" i="43" s="1"/>
  <c r="C13" i="43"/>
  <c r="L16" i="1"/>
  <c r="H21" i="6"/>
  <c r="S21" i="6"/>
  <c r="H23" i="6"/>
  <c r="R23" i="6"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S20" i="6"/>
  <c r="S16" i="1"/>
  <c r="T6" i="1" s="1"/>
  <c r="R21" i="6" l="1"/>
  <c r="R8" i="1" s="1"/>
  <c r="R20" i="6"/>
  <c r="R7" i="1" s="1"/>
  <c r="T9" i="1"/>
  <c r="T12" i="1"/>
  <c r="T13" i="1"/>
  <c r="T11" i="1"/>
  <c r="T10" i="1"/>
  <c r="T7" i="1"/>
  <c r="T8" i="1"/>
  <c r="C17" i="43"/>
  <c r="C14" i="43"/>
  <c r="G54" i="39"/>
  <c r="H54" i="39" s="1"/>
  <c r="G53" i="39"/>
  <c r="H53" i="39" s="1"/>
  <c r="C14" i="12"/>
  <c r="C17" i="12"/>
  <c r="E49" i="39"/>
  <c r="R50" i="39"/>
  <c r="S19" i="6"/>
  <c r="S27" i="6" s="1"/>
  <c r="H19" i="6"/>
  <c r="I27" i="6"/>
  <c r="B4" i="67"/>
  <c r="B3" i="67"/>
  <c r="C14" i="15"/>
  <c r="C14" i="77"/>
  <c r="C14" i="79"/>
  <c r="F35" i="77"/>
  <c r="M21" i="15"/>
  <c r="M21" i="77"/>
  <c r="F35" i="15"/>
  <c r="C16" i="44"/>
  <c r="F62" i="77" l="1"/>
  <c r="C61" i="77" s="1"/>
  <c r="C58" i="77" s="1"/>
  <c r="C34" i="77"/>
  <c r="C31" i="77" s="1"/>
  <c r="J20" i="77"/>
  <c r="J17" i="77" s="1"/>
  <c r="C34" i="15"/>
  <c r="C31" i="15" s="1"/>
  <c r="F62" i="15"/>
  <c r="C61" i="15" s="1"/>
  <c r="C58" i="15" s="1"/>
  <c r="B5" i="68"/>
  <c r="D14" i="68" s="1"/>
  <c r="J20" i="15"/>
  <c r="J17" i="15" s="1"/>
  <c r="C18" i="12"/>
  <c r="C18" i="43"/>
  <c r="C19" i="43" s="1"/>
  <c r="C20" i="43" s="1"/>
  <c r="C15" i="15"/>
  <c r="C18" i="15"/>
  <c r="C18" i="79"/>
  <c r="C15" i="79"/>
  <c r="C17" i="44"/>
  <c r="C20" i="44"/>
  <c r="C15" i="77"/>
  <c r="C18" i="77"/>
  <c r="C49" i="39"/>
  <c r="C50" i="39"/>
  <c r="T16" i="1"/>
  <c r="H27" i="6"/>
  <c r="R19" i="6"/>
  <c r="R10" i="1" s="1"/>
  <c r="I54" i="39"/>
  <c r="J54" i="39" s="1"/>
  <c r="E53" i="39"/>
  <c r="F53" i="39" s="1"/>
  <c r="E54" i="39"/>
  <c r="F54" i="39" s="1"/>
  <c r="F35" i="79"/>
  <c r="M21" i="79"/>
  <c r="J20" i="79" l="1"/>
  <c r="J17" i="79" s="1"/>
  <c r="F62" i="79"/>
  <c r="C61" i="79" s="1"/>
  <c r="C58" i="79" s="1"/>
  <c r="C34" i="79"/>
  <c r="C31" i="79" s="1"/>
  <c r="P20" i="6"/>
  <c r="P22" i="6"/>
  <c r="P21" i="6"/>
  <c r="P19" i="6"/>
  <c r="C19" i="15"/>
  <c r="C20" i="15" s="1"/>
  <c r="C26" i="15" s="1"/>
  <c r="C19" i="77"/>
  <c r="C20" i="77" s="1"/>
  <c r="C23" i="77" s="1"/>
  <c r="C21" i="44"/>
  <c r="C22" i="44" s="1"/>
  <c r="C28" i="44" s="1"/>
  <c r="C19" i="79"/>
  <c r="C20" i="79" s="1"/>
  <c r="C26" i="79" s="1"/>
  <c r="C21" i="43"/>
  <c r="C23" i="43" s="1"/>
  <c r="C27" i="43" s="1"/>
  <c r="B2" i="43" s="1"/>
  <c r="B64" i="39"/>
  <c r="F64" i="39" s="1"/>
  <c r="B63" i="39"/>
  <c r="F63" i="39" s="1"/>
  <c r="B60" i="39"/>
  <c r="F60" i="39" s="1"/>
  <c r="B66" i="39"/>
  <c r="F66" i="39" s="1"/>
  <c r="B65" i="39"/>
  <c r="F65" i="39" s="1"/>
  <c r="B58" i="39"/>
  <c r="F58" i="39" s="1"/>
  <c r="B62" i="39"/>
  <c r="F62" i="39" s="1"/>
  <c r="B59" i="39"/>
  <c r="F59" i="39" s="1"/>
  <c r="B61" i="39"/>
  <c r="F61" i="39" s="1"/>
  <c r="R6" i="1"/>
  <c r="R16" i="1" s="1"/>
  <c r="R27" i="6"/>
  <c r="N27" i="6" l="1"/>
  <c r="P27" i="6"/>
  <c r="F67" i="39"/>
  <c r="B2" i="39" s="1"/>
  <c r="B3" i="39" s="1"/>
  <c r="C23" i="79"/>
  <c r="C29" i="79" s="1"/>
  <c r="C13" i="79" s="1"/>
  <c r="C23" i="15"/>
  <c r="C29" i="15" s="1"/>
  <c r="C13" i="15" s="1"/>
  <c r="C26" i="77"/>
  <c r="C29" i="77" s="1"/>
  <c r="B5" i="43"/>
  <c r="B4" i="43"/>
  <c r="B3" i="43"/>
  <c r="C25" i="44"/>
  <c r="C31" i="44" s="1"/>
  <c r="C19" i="9"/>
  <c r="C20" i="9"/>
  <c r="B5" i="39" l="1"/>
  <c r="B4" i="39"/>
  <c r="J14" i="15"/>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Q50" i="77"/>
  <c r="J59" i="77"/>
  <c r="J60" i="77" s="1"/>
  <c r="Q49" i="77" s="1"/>
  <c r="C36" i="77"/>
  <c r="C55" i="79"/>
  <c r="C64" i="79" s="1"/>
  <c r="C37" i="79"/>
  <c r="J35" i="79"/>
  <c r="Q71" i="79"/>
  <c r="J13" i="15"/>
  <c r="J23" i="15" s="1"/>
  <c r="C38" i="44"/>
  <c r="C15" i="44"/>
  <c r="J16" i="44"/>
  <c r="Q51" i="44"/>
  <c r="Q71" i="15"/>
  <c r="C37" i="15"/>
  <c r="C55" i="15"/>
  <c r="C64" i="15" s="1"/>
  <c r="J35" i="15"/>
  <c r="C21" i="9"/>
  <c r="C30" i="15" l="1"/>
  <c r="C39" i="15" s="1"/>
  <c r="C40" i="15" s="1"/>
  <c r="E11" i="68"/>
  <c r="E7" i="68" s="1"/>
  <c r="C27" i="68" s="1"/>
  <c r="D27" i="68" s="1"/>
  <c r="D26" i="68" s="1"/>
  <c r="D32" i="68" s="1"/>
  <c r="D38" i="68" s="1"/>
  <c r="D39" i="68" s="1"/>
  <c r="C57" i="77"/>
  <c r="C66" i="77" s="1"/>
  <c r="C67" i="77" s="1"/>
  <c r="C70" i="77" s="1"/>
  <c r="Q71" i="77"/>
  <c r="C37" i="77"/>
  <c r="C30" i="77" s="1"/>
  <c r="C39" i="77" s="1"/>
  <c r="C57" i="15"/>
  <c r="C66" i="15" s="1"/>
  <c r="C67" i="15" s="1"/>
  <c r="C70" i="15" s="1"/>
  <c r="J22" i="77"/>
  <c r="J16" i="77" s="1"/>
  <c r="J25" i="77" s="1"/>
  <c r="C57" i="79"/>
  <c r="C66" i="79" s="1"/>
  <c r="C67" i="79" s="1"/>
  <c r="C70" i="79" s="1"/>
  <c r="C30" i="79"/>
  <c r="C39" i="79" s="1"/>
  <c r="J39" i="79" s="1"/>
  <c r="J40" i="79" s="1"/>
  <c r="J13" i="79"/>
  <c r="J23" i="79" s="1"/>
  <c r="J16" i="79" s="1"/>
  <c r="J25" i="79" s="1"/>
  <c r="J35" i="77"/>
  <c r="J15" i="44"/>
  <c r="J25" i="44" s="1"/>
  <c r="J24" i="44"/>
  <c r="C39" i="44"/>
  <c r="C32" i="44" s="1"/>
  <c r="C42" i="44" s="1"/>
  <c r="Q72" i="44"/>
  <c r="C43" i="44"/>
  <c r="J16" i="15"/>
  <c r="J25" i="15" s="1"/>
  <c r="L51" i="15"/>
  <c r="Q70" i="15" l="1"/>
  <c r="Q69" i="15" s="1"/>
  <c r="J39" i="15"/>
  <c r="J40" i="15" s="1"/>
  <c r="E27" i="68"/>
  <c r="E26" i="68" s="1"/>
  <c r="E32" i="68" s="1"/>
  <c r="E38" i="68" s="1"/>
  <c r="E39" i="68" s="1"/>
  <c r="C40" i="68" s="1"/>
  <c r="B2" i="68" s="1"/>
  <c r="C40" i="77"/>
  <c r="C46" i="77" s="1"/>
  <c r="C40" i="79"/>
  <c r="C46" i="79" s="1"/>
  <c r="Q70" i="79"/>
  <c r="Q69" i="79" s="1"/>
  <c r="J39" i="77"/>
  <c r="J40" i="77" s="1"/>
  <c r="Q70" i="77"/>
  <c r="Q69" i="77" s="1"/>
  <c r="J18" i="44"/>
  <c r="J27" i="44" s="1"/>
  <c r="L57" i="15"/>
  <c r="L60" i="15" s="1"/>
  <c r="Q68" i="15"/>
  <c r="Q71" i="44"/>
  <c r="Q70" i="44" s="1"/>
  <c r="C44" i="44"/>
  <c r="C45" i="44" s="1"/>
  <c r="C46" i="15"/>
  <c r="C43" i="15"/>
  <c r="Q48" i="15"/>
  <c r="Q54" i="15" s="1"/>
  <c r="Q57" i="15"/>
  <c r="J42" i="15"/>
  <c r="J43" i="15" s="1"/>
  <c r="Q66" i="15"/>
  <c r="L51" i="79"/>
  <c r="L51" i="77"/>
  <c r="J42" i="79" l="1"/>
  <c r="J43" i="79" s="1"/>
  <c r="B2" i="77"/>
  <c r="E10" i="12" s="1"/>
  <c r="C43" i="77"/>
  <c r="Q57" i="77"/>
  <c r="Q63" i="77" s="1"/>
  <c r="Q48" i="77"/>
  <c r="Q54" i="77" s="1"/>
  <c r="Q66" i="77"/>
  <c r="Q76" i="77" s="1"/>
  <c r="J42" i="77"/>
  <c r="J43" i="77" s="1"/>
  <c r="Q57" i="79"/>
  <c r="Q63" i="79" s="1"/>
  <c r="B2" i="79"/>
  <c r="G10" i="12" s="1"/>
  <c r="Q68" i="77"/>
  <c r="Q68" i="79"/>
  <c r="Q48" i="79"/>
  <c r="Q54" i="79" s="1"/>
  <c r="Q66" i="79"/>
  <c r="Q76" i="79" s="1"/>
  <c r="C43" i="79"/>
  <c r="C41" i="68"/>
  <c r="B2" i="44"/>
  <c r="L52" i="44"/>
  <c r="Q58" i="15"/>
  <c r="Q63" i="15" s="1"/>
  <c r="Q67" i="15"/>
  <c r="Q76" i="15" s="1"/>
  <c r="L46" i="15"/>
  <c r="B2" i="15" s="1"/>
  <c r="B3" i="15" s="1"/>
  <c r="D10" i="12"/>
  <c r="B3" i="68"/>
  <c r="D8" i="12" s="1"/>
  <c r="B3" i="77" l="1"/>
  <c r="E8" i="12" s="1"/>
  <c r="B3" i="79"/>
  <c r="G8" i="12" s="1"/>
  <c r="M10" i="12" s="1"/>
  <c r="Q69" i="44"/>
  <c r="L58" i="44"/>
  <c r="L61" i="44" s="1"/>
  <c r="B5" i="44"/>
  <c r="B4" i="44"/>
  <c r="B3" i="44"/>
  <c r="Q68" i="44" l="1"/>
  <c r="Q77" i="44" s="1"/>
  <c r="Q59" i="44"/>
  <c r="Q64" i="44" s="1"/>
  <c r="B2" i="35" l="1"/>
  <c r="B3" i="35" l="1"/>
  <c r="F8" i="12" s="1"/>
  <c r="M9" i="12" s="1"/>
  <c r="F10" i="12"/>
  <c r="C6" i="12" s="1"/>
  <c r="C24" i="12" l="1"/>
  <c r="C29" i="12"/>
  <c r="M31" i="1" l="1"/>
  <c r="M32" i="1" l="1"/>
  <c r="L32" i="1" s="1"/>
  <c r="M33" i="1"/>
  <c r="L33" i="1" s="1"/>
  <c r="C11" i="11"/>
  <c r="C10" i="11" s="1"/>
  <c r="C18" i="11" l="1"/>
  <c r="C17" i="11"/>
  <c r="C19" i="11" l="1"/>
  <c r="C20" i="11" s="1"/>
  <c r="C21" i="11" s="1"/>
  <c r="C22" i="11" s="1"/>
  <c r="C23" i="11" s="1"/>
  <c r="B2" i="11" s="1"/>
  <c r="C20" i="12"/>
  <c r="B4" i="11" l="1"/>
  <c r="B3" i="11"/>
  <c r="B5" i="11"/>
  <c r="C23" i="12"/>
  <c r="C35" i="12" s="1"/>
  <c r="C33" i="12" s="1"/>
  <c r="C28" i="12" l="1"/>
  <c r="C26" i="12" s="1"/>
  <c r="C31" i="12" s="1"/>
  <c r="C30" i="12" s="1"/>
  <c r="C36" i="12" s="1"/>
  <c r="B2" i="12" s="1"/>
  <c r="D19" i="9"/>
  <c r="L44" i="9" l="1"/>
  <c r="D22" i="9"/>
  <c r="G19" i="9"/>
  <c r="B5" i="12"/>
  <c r="B4" i="12"/>
  <c r="B3" i="12"/>
  <c r="D21" i="9"/>
  <c r="D20" i="9"/>
  <c r="G20" i="9" l="1"/>
  <c r="G21" i="9"/>
  <c r="N43" i="9"/>
  <c r="G22" i="9"/>
  <c r="C32" i="9"/>
  <c r="C35" i="9" l="1"/>
  <c r="F42" i="9" s="1"/>
  <c r="O43" i="9"/>
  <c r="O38" i="9"/>
  <c r="C34" i="9"/>
  <c r="C33" i="9"/>
  <c r="C42" i="9"/>
  <c r="D14" i="66" l="1"/>
  <c r="D10" i="66" s="1"/>
  <c r="D63" i="9"/>
  <c r="N68" i="9"/>
  <c r="Q72" i="9" s="1"/>
  <c r="R5" i="54"/>
  <c r="B48" i="63" s="1"/>
  <c r="C44" i="9"/>
  <c r="E42" i="9"/>
  <c r="P5" i="54" s="1"/>
  <c r="B46" i="63" s="1"/>
  <c r="M38" i="9"/>
  <c r="K27" i="9" s="1"/>
  <c r="K26" i="9"/>
  <c r="K25" i="9"/>
  <c r="D42" i="9"/>
  <c r="Q5" i="54" s="1"/>
  <c r="B47" i="63" s="1"/>
  <c r="N38" i="9"/>
  <c r="P38" i="9" l="1"/>
  <c r="K28" i="9"/>
  <c r="D73" i="9"/>
  <c r="N73" i="9" s="1"/>
  <c r="C82" i="9"/>
  <c r="C81" i="9" s="1"/>
  <c r="C85" i="9" s="1"/>
  <c r="C86" i="9" s="1"/>
  <c r="D72" i="9" s="1"/>
  <c r="D71" i="9"/>
  <c r="D66" i="9" s="1"/>
  <c r="N72" i="9" s="1"/>
  <c r="C96" i="9"/>
  <c r="C91" i="9" s="1"/>
  <c r="C103" i="9"/>
  <c r="D70" i="9"/>
  <c r="C90" i="9"/>
  <c r="C111" i="9"/>
  <c r="C104" i="9" s="1"/>
  <c r="D44" i="9"/>
  <c r="G14" i="66"/>
  <c r="B6" i="66" s="1"/>
  <c r="O39" i="9"/>
  <c r="E44" i="9"/>
  <c r="F44" i="9"/>
  <c r="N69" i="9"/>
  <c r="F14" i="66"/>
  <c r="B5" i="66"/>
  <c r="E14" i="66"/>
  <c r="C97" i="9" l="1"/>
  <c r="C98" i="9" s="1"/>
  <c r="E98" i="9" s="1"/>
  <c r="E99" i="9" s="1"/>
  <c r="M86" i="9"/>
  <c r="N86" i="9" s="1"/>
  <c r="M87" i="9"/>
  <c r="N87" i="9" s="1"/>
  <c r="M83" i="9"/>
  <c r="N83" i="9" s="1"/>
  <c r="M88" i="9"/>
  <c r="N88" i="9" s="1"/>
  <c r="M85" i="9"/>
  <c r="N85" i="9" s="1"/>
  <c r="M84" i="9"/>
  <c r="N84" i="9" s="1"/>
  <c r="C6" i="66"/>
  <c r="D6" i="66"/>
  <c r="D5" i="66"/>
  <c r="C5" i="66"/>
  <c r="C113" i="9"/>
  <c r="R6" i="54"/>
  <c r="B50" i="63" s="1"/>
  <c r="K29" i="9"/>
  <c r="K30" i="9" s="1"/>
  <c r="C114" i="9" l="1"/>
  <c r="E114" i="9" s="1"/>
  <c r="E115" i="9" s="1"/>
  <c r="C115" i="9"/>
  <c r="D76" i="9" s="1"/>
  <c r="D74" i="9" s="1"/>
  <c r="N74" i="9" s="1"/>
  <c r="O77" i="9" s="1"/>
  <c r="N89" i="9"/>
  <c r="O89" i="9" s="1"/>
  <c r="C99" i="9"/>
  <c r="O78" i="9" l="1"/>
  <c r="Q77" i="9"/>
  <c r="O79" i="9"/>
  <c r="O81" i="9" l="1"/>
  <c r="I14" i="66"/>
  <c r="B8" i="66" s="1"/>
  <c r="O80" i="9"/>
  <c r="C46" i="9"/>
  <c r="D46" i="9" l="1"/>
  <c r="F46" i="9"/>
  <c r="E46" i="9"/>
  <c r="O41" i="9"/>
  <c r="R8" i="54" s="1"/>
  <c r="B54" i="63" s="1"/>
  <c r="K33" i="9"/>
  <c r="D8" i="66"/>
  <c r="C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<sst xmlns="http://schemas.openxmlformats.org/spreadsheetml/2006/main" count="12761" uniqueCount="4329">
  <si>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</si>
  <si>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</si>
  <si>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</si>
  <si>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</si>
  <si>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</si>
  <si>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</si>
  <si>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</si>
  <si>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</si>
  <si>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</si>
  <si>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</si>
  <si>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</si>
  <si>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</si>
  <si>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</si>
  <si>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</si>
  <si>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</si>
  <si>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</si>
  <si>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</si>
  <si>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</si>
  <si>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</si>
  <si>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</si>
  <si>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</si>
  <si>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</si>
  <si>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</si>
  <si>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</si>
  <si>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</si>
  <si>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</si>
  <si>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</si>
  <si>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</si>
  <si>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</si>
  <si>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</si>
  <si>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</si>
  <si>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</si>
  <si>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</si>
  <si>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</si>
  <si>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</si>
  <si>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</si>
  <si>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</si>
  <si>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</si>
  <si>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</si>
  <si>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</si>
  <si>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</si>
  <si>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</si>
  <si>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</si>
  <si>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</si>
  <si>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</si>
  <si>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</si>
  <si>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</si>
  <si>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</si>
  <si>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</si>
  <si>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</si>
  <si>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</si>
  <si>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</si>
  <si>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</si>
  <si>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</si>
  <si>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</si>
  <si>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</si>
  <si>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</si>
  <si>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</si>
  <si>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</si>
  <si>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</si>
  <si>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</si>
  <si>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</si>
  <si>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</si>
  <si>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</si>
  <si>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</si>
  <si>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</si>
  <si>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</si>
  <si>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</si>
  <si>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</si>
  <si>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</si>
  <si>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</si>
  <si>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</si>
  <si>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</si>
  <si>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</si>
  <si>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</si>
  <si>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</si>
  <si>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</si>
  <si>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</si>
  <si>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</si>
  <si>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</si>
  <si>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</si>
  <si>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</si>
  <si>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</si>
  <si>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</si>
  <si>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</si>
  <si>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</si>
  <si>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</si>
  <si>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</si>
  <si>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</si>
  <si>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</si>
  <si>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</si>
  <si>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</si>
  <si>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</si>
  <si>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</si>
  <si>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</si>
  <si>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</si>
  <si>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</si>
  <si>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</si>
  <si>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</si>
  <si>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</si>
  <si>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</si>
  <si>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</si>
  <si>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</si>
  <si>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</si>
  <si>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</si>
  <si>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</si>
  <si>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</si>
  <si>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</si>
  <si>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</si>
  <si>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</si>
  <si>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</si>
  <si>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</si>
  <si>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</si>
  <si>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</si>
  <si>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</si>
  <si>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</si>
  <si>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</si>
  <si>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</si>
  <si>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</si>
  <si>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</si>
  <si>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</si>
  <si>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</si>
  <si>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</si>
  <si>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</si>
  <si>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</si>
  <si>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</si>
  <si>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</si>
  <si>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</si>
  <si>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</si>
  <si>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</si>
  <si>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</si>
  <si>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</si>
  <si>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</si>
  <si>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</si>
  <si>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</si>
  <si>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</si>
  <si>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</si>
  <si>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</si>
  <si>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</si>
  <si>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</si>
  <si>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</si>
  <si>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</si>
  <si>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</si>
  <si>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</si>
  <si>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</si>
  <si>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</si>
  <si>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</si>
  <si>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</si>
  <si>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</si>
  <si>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</si>
  <si>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</si>
  <si>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</si>
  <si>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</si>
  <si>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</si>
  <si>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</si>
  <si>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</si>
  <si>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</si>
  <si>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</si>
  <si>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</si>
  <si>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</si>
  <si>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</si>
  <si>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</si>
  <si>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</si>
  <si>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</si>
  <si>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</si>
  <si>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</si>
  <si>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</si>
  <si>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</si>
  <si>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</si>
  <si>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</si>
  <si>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</si>
  <si>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</si>
  <si>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</si>
  <si>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</si>
  <si>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</si>
  <si>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</si>
  <si>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</si>
  <si>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</si>
  <si>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</si>
  <si>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</si>
  <si>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</si>
  <si>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</si>
  <si>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</si>
  <si>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</si>
  <si>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</si>
  <si>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</si>
  <si>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</si>
  <si>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</si>
  <si>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</si>
  <si>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</si>
  <si>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</si>
  <si>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</si>
  <si>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</si>
  <si>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</si>
  <si>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</si>
  <si>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</si>
  <si>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</si>
  <si>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</si>
  <si>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</si>
  <si>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</si>
  <si>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</si>
  <si>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</si>
  <si>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</si>
  <si>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</si>
  <si>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</si>
  <si>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</si>
  <si>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</si>
  <si>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</si>
  <si>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</si>
  <si>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</si>
  <si>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</si>
  <si>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</si>
  <si>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</si>
  <si>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</si>
  <si>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</si>
  <si>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</si>
  <si>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</si>
  <si>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</si>
  <si>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</si>
  <si>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</si>
  <si>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</si>
  <si>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</si>
  <si>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</si>
  <si>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</si>
  <si>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</si>
  <si>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</si>
  <si>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</si>
  <si>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</si>
  <si>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</si>
  <si>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</si>
  <si>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</si>
  <si>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</si>
  <si>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</si>
  <si>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</si>
  <si>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</si>
  <si>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</si>
  <si>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</si>
  <si>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</si>
  <si>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</si>
  <si>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</si>
  <si>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</si>
  <si>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</si>
  <si>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</si>
  <si>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</si>
  <si>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</si>
  <si>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</si>
  <si>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</si>
  <si>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</si>
  <si>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</si>
  <si>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</si>
  <si>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</si>
  <si>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</si>
  <si>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</si>
  <si>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</si>
  <si>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</si>
  <si>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</si>
  <si>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</si>
  <si>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</si>
  <si>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</si>
  <si>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</si>
  <si>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</si>
  <si>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</si>
  <si>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</si>
  <si>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</si>
  <si>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</si>
  <si>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</si>
  <si>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</si>
  <si>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</si>
  <si>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</si>
  <si>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</si>
  <si>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</si>
  <si>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</si>
  <si>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</si>
  <si>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</si>
  <si>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</si>
  <si>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</si>
  <si>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</si>
  <si>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</si>
  <si>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</si>
  <si>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</si>
  <si>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</si>
  <si>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</si>
  <si>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</si>
  <si>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</si>
  <si>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</si>
  <si>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</si>
  <si>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</si>
  <si>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</si>
  <si>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</si>
  <si>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</si>
  <si>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</si>
  <si>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</si>
  <si>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</si>
  <si>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</si>
  <si>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</si>
  <si>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</si>
  <si>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</si>
  <si>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</si>
  <si>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</si>
  <si>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</si>
  <si>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</si>
  <si>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</si>
  <si>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</si>
  <si>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</si>
  <si>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</si>
  <si>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</si>
  <si>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</si>
  <si>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</si>
  <si>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</si>
  <si>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</si>
  <si>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</si>
  <si>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</si>
  <si>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</si>
  <si>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</si>
  <si>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</si>
  <si>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</si>
  <si>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</si>
  <si>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</si>
  <si>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</si>
  <si>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</si>
  <si>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</si>
  <si>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</si>
  <si>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</si>
  <si>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</si>
  <si>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</si>
  <si>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</si>
  <si>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</si>
  <si>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</si>
  <si>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</si>
  <si>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</si>
  <si>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</si>
  <si>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</si>
  <si>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</si>
  <si>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</si>
  <si>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</si>
  <si>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</si>
  <si>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</si>
  <si>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</si>
  <si>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</si>
  <si>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</si>
  <si>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</si>
  <si>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</si>
  <si>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</si>
  <si>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</si>
  <si>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</si>
  <si>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</si>
  <si>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</si>
  <si>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</si>
  <si>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</si>
  <si>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</si>
  <si>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</si>
  <si>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</si>
  <si>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</si>
  <si>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</si>
  <si>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</si>
  <si>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</si>
  <si>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</si>
  <si>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</si>
  <si>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</si>
  <si>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</si>
  <si>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</si>
  <si>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</si>
  <si>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</si>
  <si>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</si>
  <si>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</si>
  <si>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</si>
  <si>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</si>
  <si>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</si>
  <si>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</si>
  <si>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</si>
  <si>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</si>
  <si>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</si>
  <si>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</si>
  <si>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</si>
  <si>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</si>
  <si>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</si>
  <si>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</si>
  <si>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</si>
  <si>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</si>
  <si>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</si>
  <si>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</si>
  <si>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</si>
  <si>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</si>
  <si>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</si>
  <si>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</si>
  <si>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</si>
  <si>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</si>
  <si>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</si>
  <si>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</si>
  <si>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</si>
  <si>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</si>
  <si>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</si>
  <si>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</si>
  <si>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</si>
  <si>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</si>
  <si>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</si>
  <si>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</si>
  <si>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</si>
  <si>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</si>
  <si>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</si>
  <si>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</si>
  <si>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</si>
  <si>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</si>
  <si>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</si>
  <si>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</si>
  <si>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</si>
  <si>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</si>
  <si>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</si>
  <si>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</si>
  <si>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</si>
  <si>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</si>
  <si>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</si>
  <si>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</si>
  <si>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</si>
  <si>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</si>
  <si>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</si>
  <si>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</si>
  <si>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</si>
  <si>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</si>
  <si>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</si>
  <si>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</si>
  <si>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</si>
  <si>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</si>
  <si>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</si>
  <si>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</si>
  <si>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</si>
  <si>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</si>
  <si>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</si>
  <si>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</si>
  <si>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</si>
  <si>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</si>
  <si>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</si>
  <si>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</si>
  <si>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</si>
  <si>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</si>
  <si>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</si>
  <si>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</si>
  <si>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</si>
  <si>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</si>
  <si>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</si>
  <si>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</si>
  <si>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</si>
  <si>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</si>
  <si>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</si>
  <si>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</si>
  <si>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</si>
  <si>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</si>
  <si>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</si>
  <si>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</si>
  <si>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</si>
  <si>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</si>
  <si>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</si>
  <si>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</si>
  <si>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</si>
  <si>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</si>
  <si>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</si>
  <si>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</si>
  <si>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</si>
  <si>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</si>
  <si>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</si>
  <si>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</si>
  <si>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</si>
  <si>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</si>
  <si>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</si>
  <si>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</si>
  <si>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</si>
  <si>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</si>
  <si>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</si>
  <si>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</si>
  <si>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</si>
  <si>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</si>
  <si>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</si>
  <si>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</si>
  <si>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</si>
  <si>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</si>
  <si>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</si>
  <si>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</si>
  <si>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</si>
  <si>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</si>
  <si>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</si>
  <si>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</si>
  <si>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</si>
  <si>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</si>
  <si>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</si>
  <si>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</si>
  <si>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</si>
  <si>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</si>
  <si>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</si>
  <si>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</si>
  <si>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</si>
  <si>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</si>
  <si>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</si>
  <si>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</si>
  <si>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</si>
  <si>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</si>
  <si>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</si>
  <si>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</si>
  <si>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</si>
  <si>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</si>
  <si>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</si>
  <si>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</si>
  <si>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</si>
  <si>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</si>
  <si>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</si>
  <si>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</si>
  <si>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</si>
  <si>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</si>
  <si>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</si>
  <si>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</si>
  <si>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</si>
  <si>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</si>
  <si>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</si>
  <si>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</si>
  <si>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</si>
  <si>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</si>
  <si>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</si>
  <si>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</si>
  <si>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</si>
  <si>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</si>
  <si>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</si>
  <si>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</si>
  <si>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</si>
  <si>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</si>
  <si>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</si>
  <si>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</si>
  <si>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</si>
  <si>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</si>
  <si>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</si>
  <si>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</si>
  <si>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</si>
  <si>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</si>
  <si>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</si>
  <si>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</si>
  <si>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</si>
  <si>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</si>
  <si>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</si>
  <si>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</si>
  <si>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</si>
  <si>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</si>
  <si>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</si>
  <si>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</si>
  <si>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</si>
  <si>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</si>
  <si>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</si>
  <si>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</si>
  <si>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</si>
  <si>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</si>
  <si>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</si>
  <si>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</si>
  <si>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</si>
  <si>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</si>
  <si>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</si>
  <si>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</si>
  <si>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</si>
  <si>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</si>
  <si>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</si>
  <si>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</si>
  <si>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</si>
  <si>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</si>
  <si>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</si>
  <si>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</si>
  <si>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</si>
  <si>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</si>
  <si>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</si>
  <si>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</si>
  <si>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</si>
  <si>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</si>
  <si>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</si>
  <si>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</si>
  <si>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</si>
  <si>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</si>
  <si>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</si>
  <si>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</si>
  <si>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</si>
  <si>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</si>
  <si>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</si>
  <si>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</si>
  <si>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</si>
  <si>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</si>
  <si>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</si>
  <si>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</si>
  <si>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</si>
  <si>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</si>
  <si>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</si>
  <si>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</si>
  <si>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</si>
  <si>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</si>
  <si>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</si>
  <si>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</si>
  <si>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</si>
  <si>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</si>
  <si>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</si>
  <si>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</si>
  <si>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</si>
  <si>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</si>
  <si>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</si>
  <si>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</si>
  <si>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</si>
  <si>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</si>
  <si>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</si>
  <si>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</si>
  <si>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</si>
  <si>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</si>
  <si>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</si>
  <si>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</si>
  <si>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</si>
  <si>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</si>
  <si>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</si>
  <si>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</si>
  <si>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</si>
  <si>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</si>
  <si>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</si>
  <si>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</si>
  <si>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</si>
  <si>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</si>
  <si>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</si>
  <si>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</si>
  <si>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</si>
  <si>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</si>
  <si>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</si>
  <si>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</si>
  <si>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</si>
  <si>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</si>
  <si>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</si>
  <si>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</si>
  <si>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</si>
  <si>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</si>
  <si>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</si>
  <si>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</si>
  <si>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</si>
  <si>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</si>
  <si>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</si>
  <si>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</si>
  <si>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</si>
  <si>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</si>
  <si>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</si>
  <si>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</si>
  <si>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</si>
  <si>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</si>
  <si>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</si>
  <si>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</si>
  <si>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</si>
  <si>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</si>
  <si>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</si>
  <si>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</si>
  <si>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</si>
  <si>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</si>
  <si>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</si>
  <si>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</si>
  <si>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</si>
  <si>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</si>
  <si>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</si>
  <si>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</si>
  <si>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</si>
  <si>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</si>
  <si>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</si>
  <si>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</si>
  <si>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</si>
  <si>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</si>
  <si>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</si>
  <si>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</si>
  <si>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</si>
  <si>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</si>
  <si>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</si>
  <si>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</si>
  <si>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</si>
  <si>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</si>
  <si>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</si>
  <si>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</si>
  <si>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</si>
  <si>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</si>
  <si>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</si>
  <si>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</si>
  <si>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</si>
  <si>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</si>
  <si>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</si>
  <si>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</si>
  <si>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</si>
  <si>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</si>
  <si>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</si>
  <si>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</si>
  <si>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</si>
  <si>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</si>
  <si>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</si>
  <si>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</si>
  <si>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</si>
  <si>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</si>
  <si>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</si>
  <si>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</si>
  <si>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</si>
  <si>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</si>
  <si>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</si>
  <si>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</si>
  <si>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</si>
  <si>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</si>
  <si>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</si>
  <si>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</si>
  <si>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</si>
  <si>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</si>
  <si>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</si>
  <si>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</si>
  <si>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</si>
  <si>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</si>
  <si>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</si>
  <si>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</si>
  <si>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</si>
  <si>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</si>
  <si>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</si>
  <si>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</si>
  <si>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</si>
  <si>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</si>
  <si>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</si>
  <si>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</si>
  <si>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</si>
  <si>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</si>
  <si>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</si>
  <si>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</si>
  <si>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</si>
  <si>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</si>
  <si>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</si>
  <si>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</si>
  <si>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</si>
  <si>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</si>
  <si>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</si>
  <si>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</si>
  <si>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</si>
  <si>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</si>
  <si>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</si>
  <si>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</si>
  <si>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</si>
  <si>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</si>
  <si>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</si>
  <si>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</si>
  <si>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</si>
  <si>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</si>
  <si>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</si>
  <si>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</si>
  <si>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</si>
  <si>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</si>
  <si>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</si>
  <si>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</si>
  <si>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</si>
  <si>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</si>
  <si>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</si>
  <si>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</si>
  <si>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</si>
  <si>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</si>
  <si>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</si>
  <si>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</si>
  <si>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</si>
  <si>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</si>
  <si>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</si>
  <si>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</si>
  <si>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</si>
  <si>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</si>
  <si>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</si>
  <si>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</si>
  <si>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</si>
  <si>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</si>
  <si>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</si>
  <si>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</si>
  <si>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</si>
  <si>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</si>
  <si>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</si>
  <si>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</si>
  <si>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</si>
  <si>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</si>
  <si>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</si>
  <si>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</si>
  <si>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</si>
  <si>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</si>
  <si>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</si>
  <si>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</si>
  <si>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</si>
  <si>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</si>
  <si>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</si>
  <si>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</si>
  <si>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</si>
  <si>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</si>
  <si>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</si>
  <si>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</si>
  <si>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</si>
  <si>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</si>
  <si>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</si>
  <si>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</si>
  <si>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</si>
  <si>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</si>
  <si>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</si>
  <si>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</si>
  <si>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</si>
  <si>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</si>
  <si>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</si>
  <si>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</si>
  <si>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</si>
  <si>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</si>
  <si>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</si>
  <si>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</si>
  <si>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</si>
  <si>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</si>
  <si>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</si>
  <si>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</si>
  <si>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</si>
  <si>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</si>
  <si>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</si>
  <si>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</si>
  <si>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</si>
  <si>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</si>
  <si>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</si>
  <si>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</si>
  <si>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</si>
  <si>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</si>
  <si>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</si>
  <si>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</si>
  <si>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</si>
  <si>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</si>
  <si>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</si>
  <si>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</si>
  <si>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</si>
  <si>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</si>
  <si>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</si>
  <si>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</si>
  <si>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</si>
  <si>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</si>
  <si>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</si>
  <si>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</si>
  <si>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</si>
  <si>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</si>
  <si>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</si>
  <si>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</si>
  <si>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</si>
  <si>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</si>
  <si>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</si>
  <si>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</si>
  <si>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</si>
  <si>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</si>
  <si>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</si>
  <si>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</si>
  <si>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</si>
  <si>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</si>
  <si>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</si>
  <si>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</si>
  <si>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</si>
  <si>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</si>
  <si>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</si>
  <si>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</si>
  <si>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</si>
  <si>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</si>
  <si>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</si>
  <si>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</si>
  <si>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</si>
  <si>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</si>
  <si>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</si>
  <si>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</si>
  <si>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</si>
  <si>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</si>
  <si>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</si>
  <si>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</si>
  <si>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</si>
  <si>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</si>
  <si>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</si>
  <si>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</si>
  <si>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</si>
  <si>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</si>
  <si>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</si>
  <si>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</si>
  <si>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</si>
  <si>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</si>
  <si>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</si>
  <si>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</si>
  <si>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</si>
  <si>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</si>
  <si>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</si>
  <si>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</si>
  <si>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</si>
  <si>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</si>
  <si>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</si>
  <si>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</si>
  <si>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</si>
  <si>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</si>
  <si>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</si>
  <si>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</si>
  <si>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</si>
  <si>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</si>
  <si>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</si>
  <si>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</si>
  <si>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</si>
  <si>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</si>
  <si>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</si>
  <si>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</si>
  <si>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</si>
  <si>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</si>
  <si>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</si>
  <si>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</si>
  <si>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</si>
  <si>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</si>
  <si>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</si>
  <si>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</si>
  <si>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</si>
  <si>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</si>
  <si>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</si>
  <si>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</si>
  <si>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</si>
  <si>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</si>
  <si>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</si>
  <si>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</si>
  <si>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</si>
  <si>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</si>
  <si>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</si>
  <si>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</si>
  <si>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</si>
  <si>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</si>
  <si>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</si>
  <si>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</si>
  <si>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</si>
  <si>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</si>
  <si>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</si>
  <si>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</si>
  <si>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</si>
  <si>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</si>
  <si>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</si>
  <si>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</si>
  <si>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</si>
  <si>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</si>
  <si>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</si>
  <si>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</si>
  <si>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</si>
  <si>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</si>
  <si>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</si>
  <si>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</si>
  <si>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</si>
  <si>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</si>
  <si>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</si>
  <si>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</si>
  <si>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</si>
  <si>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</si>
  <si>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</si>
  <si>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</si>
  <si>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</si>
  <si>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</si>
  <si>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</si>
  <si>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</si>
  <si>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</si>
  <si>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</si>
  <si>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</si>
  <si>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</si>
  <si>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</si>
  <si>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</si>
  <si>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</si>
  <si>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</si>
  <si>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</si>
  <si>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</si>
  <si>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</si>
  <si>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</si>
  <si>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</si>
  <si>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</si>
  <si>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</si>
  <si>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</si>
  <si>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</si>
  <si>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</si>
  <si>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</si>
  <si>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</si>
  <si>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</si>
  <si>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</si>
  <si>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</si>
  <si>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</si>
  <si>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</si>
  <si>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</si>
  <si>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</si>
  <si>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</si>
  <si>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</si>
  <si>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</si>
  <si>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</si>
  <si>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</si>
  <si>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</si>
  <si>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</si>
  <si>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</si>
  <si>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</si>
  <si>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</si>
  <si>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</si>
  <si>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</si>
  <si>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</si>
  <si>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</si>
  <si>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</si>
  <si>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</si>
  <si>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</si>
  <si>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</si>
  <si>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</si>
  <si>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</si>
  <si>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</si>
  <si>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</si>
  <si>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</si>
  <si>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</si>
  <si>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</si>
  <si>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</si>
  <si>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</si>
  <si>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</si>
  <si>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</si>
  <si>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</si>
  <si>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</si>
  <si>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</si>
  <si>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</si>
  <si>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</si>
  <si>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</si>
  <si>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</si>
  <si>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</si>
  <si>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</si>
  <si>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</si>
  <si>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</si>
  <si>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</si>
  <si>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</si>
  <si>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</si>
  <si>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</si>
  <si>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</si>
  <si>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</si>
  <si>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</si>
  <si>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</si>
  <si>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</si>
  <si>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</si>
  <si>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</si>
  <si>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</si>
  <si>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</si>
  <si>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</si>
  <si>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</si>
  <si>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</si>
  <si>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</si>
  <si>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</si>
  <si>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</si>
  <si>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</si>
  <si>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</si>
  <si>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</si>
  <si>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</si>
  <si>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</si>
  <si>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</si>
  <si>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</si>
  <si>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</si>
  <si>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</si>
  <si>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</si>
  <si>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</si>
  <si>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</si>
  <si>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</si>
  <si>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</si>
  <si>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</si>
  <si>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</si>
  <si>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</si>
  <si>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</si>
  <si>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</si>
  <si>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</si>
  <si>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</si>
  <si>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</si>
  <si>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</si>
  <si>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</si>
  <si>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</si>
  <si>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</si>
  <si>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</si>
  <si>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</si>
  <si>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</si>
  <si>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</si>
  <si>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</si>
  <si>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</si>
  <si>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</si>
  <si>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</si>
  <si>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</si>
  <si>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</si>
  <si>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</si>
  <si>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</si>
  <si>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</si>
  <si>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</si>
  <si>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</si>
  <si>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</si>
  <si>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</si>
  <si>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</si>
  <si>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</si>
  <si>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</si>
  <si>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</si>
  <si>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</si>
  <si>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</si>
  <si>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</si>
  <si>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</si>
  <si>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</si>
  <si>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</si>
  <si>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</si>
  <si>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</si>
  <si>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</si>
  <si>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</si>
  <si>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</si>
  <si>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</si>
  <si>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</si>
  <si>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</si>
  <si>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</si>
  <si>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</si>
  <si>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</si>
  <si>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</si>
  <si>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</si>
  <si>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</si>
  <si>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</si>
  <si>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</si>
  <si>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</si>
  <si>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</si>
  <si>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</si>
  <si>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</si>
  <si>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</si>
  <si>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</si>
  <si>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</si>
  <si>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</si>
  <si>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</si>
  <si>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</si>
  <si>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</si>
  <si>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</si>
  <si>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</si>
  <si>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</si>
  <si>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</si>
  <si>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</si>
  <si>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</si>
  <si>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</si>
  <si>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</si>
  <si>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</si>
  <si>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</si>
  <si>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</si>
  <si>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</si>
  <si>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</si>
  <si>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</si>
  <si>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</si>
  <si>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</si>
  <si>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</si>
  <si>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</si>
  <si>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</si>
  <si>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</si>
  <si>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</si>
  <si>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</si>
  <si>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</si>
  <si>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</si>
  <si>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</si>
  <si>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</si>
  <si>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</si>
  <si>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</si>
  <si>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</si>
  <si>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</si>
  <si>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</si>
  <si>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</si>
  <si>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</si>
  <si>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</si>
  <si>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</si>
  <si>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</si>
  <si>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</si>
  <si>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</si>
  <si>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</si>
  <si>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</si>
  <si>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</si>
  <si>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</si>
  <si>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</si>
  <si>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</si>
  <si>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</si>
  <si>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</si>
  <si>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</si>
  <si>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</si>
  <si>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</si>
  <si>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</si>
  <si>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</si>
  <si>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</si>
  <si>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</si>
  <si>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</si>
  <si>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</si>
  <si>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</si>
  <si>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</si>
  <si>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</si>
  <si>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</si>
  <si>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</si>
  <si>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</si>
  <si>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</si>
  <si>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</si>
  <si>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</si>
  <si>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</si>
  <si>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</si>
  <si>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</si>
  <si>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</si>
  <si>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</si>
  <si>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</si>
  <si>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</si>
  <si>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</si>
  <si>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</si>
  <si>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</si>
  <si>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</si>
  <si>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</si>
  <si>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</si>
  <si>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</si>
  <si>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</si>
  <si>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</si>
  <si>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</si>
  <si>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</si>
  <si>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</si>
  <si>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</si>
  <si>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</si>
  <si>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</si>
  <si>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</si>
  <si>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</si>
  <si>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</si>
  <si>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</si>
  <si>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</si>
  <si>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</si>
  <si>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</si>
  <si>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</si>
  <si>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</si>
  <si>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</si>
  <si>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</si>
  <si>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</si>
  <si>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</si>
  <si>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</si>
  <si>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</si>
  <si>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</si>
  <si>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</si>
  <si>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</si>
  <si>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</si>
  <si>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</si>
  <si>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</si>
  <si>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</si>
  <si>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</si>
  <si>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</si>
  <si>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</si>
  <si>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</si>
  <si>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</si>
  <si>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</si>
  <si>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</si>
  <si>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</si>
  <si>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</si>
  <si>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</si>
  <si>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</si>
  <si>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</si>
  <si>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</si>
  <si>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</si>
  <si>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</si>
  <si>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</si>
  <si>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</si>
  <si>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</si>
  <si>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</si>
  <si>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</si>
  <si>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</si>
  <si>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</si>
  <si>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</si>
  <si>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</si>
  <si>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</si>
  <si>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</si>
  <si>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</si>
  <si>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</si>
  <si>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</si>
  <si>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</si>
  <si>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</si>
  <si>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</si>
  <si>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</si>
  <si>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</si>
  <si>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</si>
  <si>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</si>
  <si>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</si>
  <si>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</si>
  <si>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</si>
  <si>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</si>
  <si>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</si>
  <si>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</si>
  <si>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</si>
  <si>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</si>
  <si>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</si>
  <si>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</si>
  <si>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</si>
  <si>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</si>
  <si>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</si>
  <si>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</si>
  <si>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</si>
  <si>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</si>
  <si>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</si>
  <si>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</si>
  <si>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</si>
  <si>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</si>
  <si>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</si>
  <si>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</si>
  <si>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</si>
  <si>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</si>
  <si>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</si>
  <si>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</si>
  <si>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</si>
  <si>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</si>
  <si>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</si>
  <si>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</si>
  <si>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</si>
  <si>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</si>
  <si>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</si>
  <si>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</si>
  <si>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</si>
  <si>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</si>
  <si>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</si>
  <si>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</si>
  <si>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</si>
  <si>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</si>
  <si>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</si>
  <si>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</si>
  <si>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</si>
  <si>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</si>
  <si>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</si>
  <si>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</si>
  <si>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</si>
  <si>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</si>
  <si>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</si>
  <si>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</si>
  <si>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</si>
  <si>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</si>
  <si>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</si>
  <si>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</si>
  <si>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</si>
  <si>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</si>
  <si>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</si>
  <si>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</si>
  <si>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</si>
  <si>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</si>
  <si>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</si>
  <si>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</si>
  <si>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</si>
  <si>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</si>
  <si>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</si>
  <si>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</si>
  <si>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</si>
  <si>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</si>
  <si>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</si>
  <si>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</si>
  <si>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</si>
  <si>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</si>
  <si>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</si>
  <si>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</si>
  <si>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</si>
  <si>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</si>
  <si>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</si>
  <si>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</si>
  <si>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</si>
  <si>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</si>
  <si>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</si>
  <si>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</si>
  <si>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</si>
  <si>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</si>
  <si>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</si>
  <si>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</si>
  <si>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</si>
  <si>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</si>
  <si>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</si>
  <si>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</si>
  <si>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</si>
  <si>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</si>
  <si>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</si>
  <si>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</si>
  <si>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</si>
  <si>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</si>
  <si>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</si>
  <si>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</si>
  <si>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</si>
  <si>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</si>
  <si>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</si>
  <si>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</si>
  <si>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</si>
  <si>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</si>
  <si>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</si>
  <si>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</si>
  <si>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</si>
  <si>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</si>
  <si>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</si>
  <si>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</si>
  <si>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</si>
  <si>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</si>
  <si>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</si>
  <si>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</si>
  <si>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</si>
  <si>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</si>
  <si>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</si>
  <si>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</si>
  <si>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</si>
  <si>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</si>
  <si>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</si>
  <si>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</si>
  <si>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</si>
  <si>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</si>
  <si>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</si>
  <si>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</si>
  <si>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</si>
  <si>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</si>
  <si>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</si>
  <si>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</si>
  <si>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</si>
  <si>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</si>
  <si>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</si>
  <si>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</si>
  <si>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</si>
  <si>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</si>
  <si>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</si>
  <si>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</si>
  <si>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</si>
  <si>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</si>
  <si>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</si>
  <si>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</si>
  <si>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</si>
  <si>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</si>
  <si>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</si>
  <si>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</si>
  <si>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</si>
  <si>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</si>
  <si>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</si>
  <si>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</si>
  <si>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</si>
  <si>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</si>
  <si>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</si>
  <si>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</si>
  <si>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</si>
  <si>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</si>
  <si>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</si>
  <si>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</si>
  <si>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</si>
  <si>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</si>
  <si>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</si>
  <si>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</si>
  <si>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</si>
  <si>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</si>
  <si>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</si>
  <si>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</si>
  <si>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</si>
  <si>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</si>
  <si>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</si>
  <si>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</si>
  <si>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</si>
  <si>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</si>
  <si>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</si>
  <si>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</si>
  <si>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</si>
  <si>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</si>
  <si>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</si>
  <si>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</si>
  <si>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</si>
  <si>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</si>
  <si>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</si>
  <si>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</si>
  <si>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</si>
  <si>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</si>
  <si>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</si>
  <si>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</si>
  <si>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</si>
  <si>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</si>
  <si>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</si>
  <si>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</si>
  <si>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</si>
  <si>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</si>
  <si>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</si>
  <si>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</si>
  <si>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</si>
  <si>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</si>
  <si>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</si>
  <si>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</si>
  <si>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</si>
  <si>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</si>
  <si>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</si>
  <si>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</si>
  <si>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</si>
  <si>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</si>
  <si>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</si>
  <si>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</si>
  <si>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</si>
  <si>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</si>
  <si>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</si>
  <si>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</si>
  <si>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</si>
  <si>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</si>
  <si>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</si>
  <si>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</si>
  <si>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</si>
  <si>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</si>
  <si>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</si>
  <si>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</si>
  <si>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</si>
  <si>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</si>
  <si>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</si>
  <si>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</si>
  <si>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</si>
  <si>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</si>
  <si>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</si>
  <si>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</si>
  <si>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</si>
  <si>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</si>
  <si>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</si>
  <si>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</si>
  <si>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</si>
  <si>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</si>
  <si>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</si>
  <si>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</si>
  <si>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</si>
  <si>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</si>
  <si>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</si>
  <si>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</si>
  <si>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</si>
  <si>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</si>
  <si>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</si>
  <si>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</si>
  <si>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</si>
  <si>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</si>
  <si>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</si>
  <si>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</si>
  <si>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</si>
  <si>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</si>
  <si>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</si>
  <si>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</si>
  <si>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</si>
  <si>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</si>
  <si>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</si>
  <si>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</si>
  <si>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</si>
  <si>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</si>
  <si>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</si>
  <si>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</si>
  <si>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</si>
  <si>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</si>
  <si>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</si>
  <si>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</si>
  <si>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</si>
  <si>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</si>
  <si>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</si>
  <si>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</si>
  <si>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</si>
  <si>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</si>
  <si>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</si>
  <si>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</si>
  <si>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</si>
  <si>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</si>
  <si>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</si>
  <si>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</si>
  <si>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</si>
  <si>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</si>
  <si>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</si>
  <si>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</si>
  <si>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</si>
  <si>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</si>
  <si>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</si>
  <si>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</si>
  <si>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</si>
  <si>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</si>
  <si>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</si>
  <si>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</si>
  <si>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</si>
  <si>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</si>
  <si>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</si>
  <si>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</si>
  <si>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</si>
  <si>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</si>
  <si>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</si>
  <si>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</si>
  <si>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</si>
  <si>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</si>
  <si>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</si>
  <si>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</si>
  <si>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</si>
  <si>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</si>
  <si>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</si>
  <si>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</si>
  <si>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</si>
  <si>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</si>
  <si>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</si>
  <si>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</si>
  <si>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</si>
  <si>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</si>
  <si>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</si>
  <si>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</si>
  <si>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</si>
  <si>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</si>
  <si>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</si>
  <si>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</si>
  <si>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</si>
  <si>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</si>
  <si>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</si>
  <si>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</si>
  <si>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</si>
  <si>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</si>
  <si>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</si>
  <si>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</si>
  <si>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</si>
  <si>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</si>
  <si>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</si>
  <si>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</si>
  <si>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</si>
  <si>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</si>
  <si>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</si>
  <si>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</si>
  <si>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</si>
  <si>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</si>
  <si>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</si>
  <si>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</si>
  <si>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</si>
  <si>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</si>
  <si>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</si>
  <si>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</si>
  <si>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</si>
  <si>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</si>
  <si>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</si>
  <si>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</si>
  <si>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</si>
  <si>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</si>
  <si>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</si>
  <si>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</si>
  <si>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</si>
  <si>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</si>
  <si>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</si>
  <si>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</si>
  <si>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</si>
  <si>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</si>
  <si>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</si>
  <si>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</si>
  <si>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</si>
  <si>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</si>
  <si>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</si>
  <si>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</si>
  <si>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</si>
  <si>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</si>
  <si>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</si>
  <si>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</si>
  <si>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</si>
  <si>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</si>
  <si>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</si>
  <si>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</si>
  <si>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</si>
  <si>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</si>
  <si>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</si>
  <si>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</si>
  <si>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</si>
  <si>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</si>
  <si>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</si>
  <si>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</si>
  <si>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</si>
  <si>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</si>
  <si>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</si>
  <si>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</si>
  <si>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</si>
  <si>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</si>
  <si>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</si>
  <si>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</si>
  <si>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</si>
  <si>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</si>
  <si>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</si>
  <si>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</si>
  <si>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</si>
  <si>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</si>
  <si>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</si>
  <si>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</si>
  <si>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</si>
  <si>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</si>
  <si>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</si>
  <si>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</si>
  <si>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</si>
  <si>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</si>
  <si>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</si>
  <si>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</si>
  <si>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</si>
  <si>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</si>
  <si>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</si>
  <si>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</si>
  <si>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</si>
  <si>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</si>
  <si>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</si>
  <si>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</si>
  <si>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</si>
  <si>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</si>
  <si>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</si>
  <si>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</si>
  <si>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</si>
  <si>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</si>
  <si>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</si>
  <si>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</si>
  <si>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</si>
  <si>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</si>
  <si>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</si>
  <si>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</si>
  <si>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</si>
  <si>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</si>
  <si>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</si>
  <si>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</si>
  <si>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</si>
  <si>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</si>
  <si>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</si>
  <si>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</si>
  <si>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</si>
  <si>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</si>
  <si>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</si>
  <si>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</si>
  <si>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</si>
  <si>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</si>
  <si>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</si>
  <si>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</si>
  <si>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</si>
  <si>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</si>
  <si>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</si>
  <si>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</si>
  <si>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</si>
  <si>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</si>
  <si>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</si>
  <si>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</si>
  <si>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</si>
  <si>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</si>
  <si>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</si>
  <si>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</si>
  <si>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</si>
  <si>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</si>
  <si>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</si>
  <si>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</si>
  <si>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</si>
  <si>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</si>
  <si>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</si>
  <si>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</si>
  <si>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</si>
  <si>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</si>
  <si>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</si>
  <si>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</si>
  <si>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</si>
  <si>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</si>
  <si>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</si>
  <si>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</si>
  <si>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</si>
  <si>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</si>
  <si>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</si>
  <si>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</si>
  <si>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</si>
  <si>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</si>
  <si>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</si>
  <si>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</si>
  <si>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</si>
  <si>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</si>
  <si>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</si>
  <si>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</si>
  <si>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</si>
  <si>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</si>
  <si>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</si>
  <si>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</si>
  <si>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</si>
  <si>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</si>
  <si>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</si>
  <si>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</si>
  <si>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</si>
  <si>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</si>
  <si>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</si>
  <si>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</si>
  <si>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</si>
  <si>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</si>
  <si>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</si>
  <si>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</si>
  <si>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</si>
  <si>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</si>
  <si>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</si>
  <si>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</si>
  <si>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</si>
  <si>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</si>
  <si>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</si>
  <si>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</si>
  <si>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</si>
  <si>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</si>
  <si>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</si>
  <si>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</si>
  <si>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</si>
  <si>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</si>
  <si>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</si>
  <si>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</si>
  <si>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</si>
  <si>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</si>
  <si>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</si>
  <si>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</si>
  <si>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</si>
  <si>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</si>
  <si>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</si>
  <si>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</si>
  <si>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</si>
  <si>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</si>
  <si>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</si>
  <si>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</si>
  <si>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</si>
  <si>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</si>
  <si>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</si>
  <si>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</si>
  <si>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</si>
  <si>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</si>
  <si>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</si>
  <si>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</si>
  <si>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</si>
  <si>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</si>
  <si>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</si>
  <si>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</si>
  <si>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</si>
  <si>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</si>
  <si>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</si>
  <si>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</si>
  <si>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</si>
  <si>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</si>
  <si>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</si>
  <si>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</si>
  <si>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</si>
  <si>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</si>
  <si>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</si>
  <si>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</si>
  <si>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</si>
  <si>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</si>
  <si>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</si>
  <si>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</si>
  <si>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</si>
  <si>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</si>
  <si>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</si>
  <si>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</si>
  <si>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</si>
  <si>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</si>
  <si>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</si>
  <si>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</si>
  <si>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</si>
  <si>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</si>
  <si>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</si>
  <si>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</si>
  <si>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</si>
  <si>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</si>
  <si>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</si>
  <si>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</si>
  <si>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</si>
  <si>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</si>
  <si>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</si>
  <si>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</si>
  <si>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</si>
  <si>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</si>
  <si>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</si>
  <si>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</si>
  <si>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</si>
  <si>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</si>
  <si>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</si>
  <si>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</si>
  <si>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</si>
  <si>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</si>
  <si>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</si>
  <si>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</si>
  <si>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</si>
  <si>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</si>
  <si>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</si>
  <si>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</si>
  <si>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</si>
  <si>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</si>
  <si>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</si>
  <si>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</si>
  <si>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</si>
  <si>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</si>
  <si>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</si>
  <si>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</si>
  <si>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</si>
  <si>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</si>
  <si>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</si>
  <si>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</si>
  <si>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</si>
  <si>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</si>
  <si>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</si>
  <si>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</si>
  <si>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</si>
  <si>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</si>
  <si>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</si>
  <si>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</si>
  <si>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</si>
  <si>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</si>
  <si>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</si>
  <si>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</si>
  <si>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</si>
  <si>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</si>
  <si>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</si>
  <si>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</si>
  <si>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</si>
  <si>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</si>
  <si>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</si>
  <si>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</si>
  <si>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</si>
  <si>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</si>
  <si>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</si>
  <si>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</si>
  <si>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</si>
  <si>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</si>
  <si>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</si>
  <si>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</si>
  <si>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</si>
  <si>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</si>
  <si>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</si>
  <si>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</si>
  <si>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</si>
  <si>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</si>
  <si>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</si>
  <si>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</si>
  <si>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</si>
  <si>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</si>
  <si>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</si>
  <si>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</si>
  <si>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</si>
  <si>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</si>
  <si>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</si>
  <si>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</si>
  <si>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</si>
  <si>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</si>
  <si>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</si>
  <si>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</si>
  <si>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</si>
  <si>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</si>
  <si>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</si>
  <si>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</si>
  <si>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</si>
  <si>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</si>
  <si>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</si>
  <si>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</si>
  <si>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</si>
  <si>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</si>
  <si>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</si>
  <si>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</si>
  <si>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</si>
  <si>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</si>
  <si>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</si>
  <si>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</si>
  <si>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</si>
  <si>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</si>
  <si>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</si>
  <si>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</si>
  <si>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</si>
  <si>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</si>
  <si>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</si>
  <si>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</si>
  <si>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</si>
  <si>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</si>
  <si>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</si>
  <si>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</si>
  <si>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</si>
  <si>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</si>
  <si>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</si>
  <si>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</si>
  <si>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</si>
  <si>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</si>
  <si>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</si>
  <si>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</si>
  <si>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</si>
  <si>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</si>
  <si>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</si>
  <si>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</si>
  <si>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</si>
  <si>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</si>
  <si>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</si>
  <si>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</si>
  <si>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</si>
  <si>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</si>
  <si>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</si>
  <si>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</si>
  <si>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</si>
  <si>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</si>
  <si>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</si>
  <si>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</si>
  <si>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</si>
  <si>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</si>
  <si>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</si>
  <si>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</si>
  <si>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</si>
  <si>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</si>
  <si>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</si>
  <si>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</si>
  <si>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</si>
  <si>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</si>
  <si>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</si>
  <si>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</si>
  <si>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</si>
  <si>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</si>
  <si>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</si>
  <si>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</si>
  <si>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</si>
  <si>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</si>
  <si>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</si>
  <si>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</si>
  <si>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</si>
  <si>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</si>
  <si>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</si>
  <si>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</si>
  <si>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</si>
  <si>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</si>
  <si>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</si>
  <si>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</si>
  <si>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</si>
  <si>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</si>
  <si>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</si>
  <si>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</si>
  <si>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</si>
  <si>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</si>
  <si>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</si>
  <si>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</si>
  <si>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</si>
  <si>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</si>
  <si>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</si>
  <si>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</si>
  <si>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</si>
  <si>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</si>
  <si>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</si>
  <si>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</si>
  <si>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</si>
  <si>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</si>
  <si>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</si>
  <si>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</si>
  <si>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</si>
  <si>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</si>
  <si>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</si>
  <si>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</si>
  <si>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</si>
  <si>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</si>
  <si>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</si>
  <si>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</si>
  <si>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</si>
  <si>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</si>
  <si>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</si>
  <si>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</si>
  <si>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</si>
  <si>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</si>
  <si>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</si>
  <si>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</si>
  <si>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</si>
  <si>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</si>
  <si>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</si>
  <si>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</si>
  <si>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</si>
  <si>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</si>
  <si>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</si>
  <si>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</si>
  <si>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</si>
  <si>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</si>
  <si>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</si>
  <si>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</si>
  <si>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</si>
  <si>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</si>
  <si>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</si>
  <si>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</si>
  <si>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</si>
  <si>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</si>
  <si>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</si>
  <si>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</si>
  <si>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</si>
  <si>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</si>
  <si>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</si>
  <si>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</si>
  <si>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</si>
  <si>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</si>
  <si>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</si>
  <si>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</si>
  <si>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</si>
  <si>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</si>
  <si>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</si>
  <si>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</si>
  <si>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</si>
  <si>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</si>
  <si>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</si>
  <si>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</si>
  <si>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</si>
  <si>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</si>
  <si>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</si>
  <si>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</si>
  <si>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</si>
  <si>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</si>
  <si>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</si>
  <si>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</si>
  <si>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</si>
  <si>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</si>
  <si>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</si>
  <si>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</si>
  <si>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</si>
  <si>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</si>
  <si>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</si>
  <si>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</si>
  <si>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</si>
  <si>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</si>
  <si>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</si>
  <si>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</si>
  <si>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</si>
  <si>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</si>
  <si>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</si>
  <si>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</si>
  <si>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</si>
  <si>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</si>
  <si>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</si>
  <si>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</si>
  <si>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</si>
  <si>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</si>
  <si>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</si>
  <si>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</si>
  <si>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</si>
  <si>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</si>
  <si>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</si>
  <si>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</si>
  <si>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</si>
  <si>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</si>
  <si>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</si>
  <si>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</si>
  <si>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</si>
  <si>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</si>
  <si>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</si>
  <si>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</si>
  <si>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</si>
  <si>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</si>
  <si>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</si>
  <si>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</si>
  <si>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</si>
  <si>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</si>
  <si>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</si>
  <si>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</si>
  <si>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</si>
  <si>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</si>
  <si>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</si>
  <si>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</si>
  <si>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</si>
  <si>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</si>
  <si>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</si>
  <si>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</si>
  <si>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</si>
  <si>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</si>
  <si>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</si>
  <si>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</si>
  <si>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</si>
  <si>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</si>
  <si>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</si>
  <si>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</si>
  <si>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</si>
  <si>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</si>
  <si>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</si>
  <si>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</si>
  <si>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</si>
  <si>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</si>
  <si>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</si>
  <si>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</si>
  <si>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</si>
  <si>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</si>
  <si>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</si>
  <si>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</si>
  <si>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</si>
  <si>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</si>
  <si>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</si>
  <si>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</si>
  <si>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</si>
  <si>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</si>
  <si>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</si>
  <si>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</si>
  <si>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</si>
  <si>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</si>
  <si>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</si>
  <si>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</si>
  <si>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</si>
  <si>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</si>
  <si>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</si>
  <si>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</si>
  <si>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</si>
  <si>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</si>
  <si>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</si>
  <si>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</si>
  <si>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</si>
  <si>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</si>
  <si>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</si>
  <si>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</si>
  <si>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</si>
  <si>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</si>
  <si>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</si>
  <si>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</si>
  <si>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</si>
  <si>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</si>
  <si>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</si>
  <si>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</si>
  <si>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</si>
  <si>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</si>
  <si>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</si>
  <si>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</si>
  <si>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</si>
  <si>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</si>
  <si>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</si>
  <si>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</si>
  <si>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</si>
  <si>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</si>
  <si>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</si>
  <si>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</si>
  <si>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</si>
  <si>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</si>
  <si>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</si>
  <si>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</si>
  <si>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</si>
  <si>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</si>
  <si>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</si>
  <si>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</si>
  <si>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</si>
  <si>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</si>
  <si>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</si>
  <si>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</si>
  <si>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</si>
  <si>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</si>
  <si>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</si>
  <si>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</si>
  <si>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</si>
  <si>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</si>
  <si>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</si>
  <si>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</si>
  <si>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</si>
  <si>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</si>
  <si>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</si>
  <si>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</si>
  <si>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</si>
  <si>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</si>
  <si>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</si>
  <si>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</si>
  <si>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</si>
  <si>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</si>
  <si>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</si>
  <si>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</si>
  <si>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</si>
  <si>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</si>
  <si>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</si>
  <si>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</si>
  <si>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</si>
  <si>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</si>
  <si>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</si>
  <si>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</si>
  <si>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</si>
  <si>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</si>
  <si>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</si>
  <si>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</si>
  <si>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</si>
  <si>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</si>
  <si>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</si>
  <si>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</si>
  <si>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</si>
  <si>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</si>
  <si>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</si>
  <si>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</si>
  <si>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</si>
  <si>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</si>
  <si>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</si>
  <si>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</si>
  <si>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</si>
  <si>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</si>
  <si>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</si>
  <si>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</si>
  <si>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</si>
  <si>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</si>
  <si>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</si>
  <si>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</si>
  <si>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</si>
  <si>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</si>
  <si>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</si>
  <si>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</si>
  <si>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</si>
  <si>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</si>
  <si>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</si>
  <si>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</si>
  <si>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</si>
  <si>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</si>
  <si>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</si>
  <si>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</si>
  <si>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</si>
  <si>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</si>
  <si>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</si>
  <si>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</si>
  <si>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</si>
  <si>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</si>
  <si>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</si>
  <si>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</si>
  <si>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</si>
  <si>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</si>
  <si>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</si>
  <si>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</si>
  <si>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</si>
  <si>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</si>
  <si>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</si>
  <si>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</si>
  <si>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</si>
  <si>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</si>
  <si>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</si>
  <si>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</si>
  <si>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</si>
  <si>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</si>
  <si>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</si>
  <si>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</si>
  <si>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</si>
  <si>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</si>
  <si>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</si>
  <si>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</si>
  <si>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</si>
  <si>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</si>
  <si>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</si>
  <si>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</si>
  <si>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</si>
  <si>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</si>
  <si>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</si>
  <si>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</si>
  <si>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</si>
  <si>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</si>
  <si>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</si>
  <si>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</si>
  <si>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</si>
  <si>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</si>
  <si>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</si>
  <si>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</si>
  <si>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</si>
  <si>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</si>
  <si>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</si>
  <si>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</si>
  <si>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</si>
  <si>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</si>
  <si>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</si>
  <si>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</si>
  <si>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</si>
  <si>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</si>
  <si>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</si>
  <si>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</si>
  <si>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</si>
  <si>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</si>
  <si>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</si>
  <si>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</si>
  <si>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</si>
  <si>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</si>
  <si>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</si>
  <si>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</si>
  <si>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</si>
  <si>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</si>
  <si>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</si>
  <si>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</si>
  <si>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</si>
  <si>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</si>
  <si>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</si>
  <si>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</si>
  <si>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</si>
  <si>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</si>
  <si>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</si>
  <si>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</si>
  <si>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</si>
  <si>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</si>
  <si>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</si>
  <si>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</si>
  <si>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</si>
  <si>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</si>
  <si>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</si>
  <si>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</si>
  <si>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</si>
  <si>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</si>
  <si>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</si>
  <si>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</si>
  <si>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</si>
  <si>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</si>
  <si>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</si>
  <si>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</si>
  <si>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</si>
  <si>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</si>
  <si>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</si>
  <si>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</si>
  <si>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</si>
  <si>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</si>
  <si>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</si>
  <si>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</si>
  <si>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</si>
  <si>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</si>
  <si>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</si>
  <si>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</si>
  <si>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</si>
  <si>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</si>
  <si>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</si>
  <si>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</si>
  <si>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</si>
  <si>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</si>
  <si>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</si>
  <si>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</si>
  <si>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</si>
  <si>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</si>
  <si>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</si>
  <si>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</si>
  <si>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</si>
  <si>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</si>
  <si>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</si>
  <si>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</si>
  <si>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</si>
  <si>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</si>
  <si>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</si>
  <si>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</si>
  <si>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</si>
  <si>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</si>
  <si>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</si>
  <si>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</si>
  <si>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</si>
  <si>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</si>
  <si>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</si>
  <si>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</si>
  <si>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</si>
  <si>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</si>
  <si>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</si>
  <si>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</si>
  <si>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</si>
  <si>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</si>
  <si>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</si>
  <si>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</si>
  <si>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</si>
  <si>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</si>
  <si>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</si>
  <si>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</si>
  <si>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</si>
  <si>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</si>
  <si>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</si>
  <si>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</si>
  <si>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</si>
  <si>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</si>
  <si>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</si>
  <si>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</si>
  <si>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</si>
  <si>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</si>
  <si>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</si>
  <si>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</si>
  <si>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</si>
  <si>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</si>
  <si>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</si>
  <si>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</si>
  <si>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</si>
  <si>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</si>
  <si>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</si>
  <si>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</si>
  <si>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</si>
  <si>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</si>
  <si>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</si>
  <si>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</si>
  <si>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</si>
  <si>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</si>
  <si>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</si>
  <si>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</si>
  <si>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</si>
  <si>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</si>
  <si>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</si>
  <si>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</si>
  <si>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</si>
  <si>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</si>
  <si>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</si>
  <si>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</si>
  <si>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</si>
  <si>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</si>
  <si>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</si>
  <si>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</si>
  <si>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</si>
  <si>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</si>
  <si>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</si>
  <si>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</si>
  <si>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</si>
  <si>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</si>
  <si>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</si>
  <si>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</si>
  <si>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</si>
  <si>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</si>
  <si>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</si>
  <si>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</si>
  <si>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</si>
  <si>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</si>
  <si>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</si>
  <si>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</si>
  <si>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</si>
  <si>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</si>
  <si>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</si>
  <si>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</si>
  <si>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</si>
  <si>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</si>
  <si>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</si>
  <si>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</si>
  <si>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</si>
  <si>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</si>
  <si>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</si>
  <si>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</si>
  <si>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</si>
  <si>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</si>
  <si>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</si>
  <si>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</si>
  <si>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</si>
  <si>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</si>
  <si>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</si>
  <si>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</si>
  <si>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</si>
  <si>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</si>
  <si>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</si>
  <si>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</si>
  <si>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</si>
  <si>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</si>
  <si>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</si>
  <si>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</si>
  <si>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</si>
  <si>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</si>
  <si>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</si>
  <si>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</si>
  <si>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</si>
  <si>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</si>
  <si>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</si>
  <si>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</si>
  <si>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</si>
  <si>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</si>
  <si>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</si>
  <si>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</si>
  <si>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</si>
  <si>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</si>
  <si>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</si>
  <si>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</si>
  <si>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</si>
  <si>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</si>
  <si>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</si>
  <si>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</si>
  <si>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</si>
  <si>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</si>
  <si>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</si>
  <si>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</si>
  <si>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</si>
  <si>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</si>
  <si>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</si>
  <si>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</si>
  <si>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</si>
  <si>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</si>
  <si>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</si>
  <si>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</si>
  <si>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</si>
  <si>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</si>
  <si>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</si>
  <si>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</si>
  <si>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</si>
  <si>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</si>
  <si>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</si>
  <si>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</si>
  <si>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</si>
  <si>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</si>
  <si>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</si>
  <si>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</si>
  <si>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</si>
  <si>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</si>
  <si>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</si>
  <si>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</si>
  <si>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</si>
  <si>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</si>
  <si>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</si>
  <si>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</si>
  <si>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</si>
  <si>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</si>
  <si>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</si>
  <si>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</si>
  <si>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</si>
  <si>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</si>
  <si>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</si>
  <si>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</si>
  <si>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</si>
  <si>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</si>
  <si>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</si>
  <si>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</si>
  <si>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</si>
  <si>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</si>
  <si>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</si>
  <si>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</si>
  <si>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</si>
  <si>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</si>
  <si>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</si>
  <si>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</si>
  <si>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</si>
  <si>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</si>
  <si>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</si>
  <si>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</si>
  <si>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</si>
  <si>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</si>
  <si>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</si>
  <si>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</si>
  <si>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</si>
  <si>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</si>
  <si>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</si>
  <si>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</si>
  <si>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</si>
  <si>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</si>
  <si>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</si>
  <si>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</si>
  <si>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</si>
  <si>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</si>
  <si>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</si>
  <si>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</si>
  <si>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</si>
  <si>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</si>
  <si>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</si>
  <si>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</si>
  <si>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</si>
  <si>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</si>
  <si>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</si>
  <si>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</si>
  <si>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</si>
  <si>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</si>
  <si>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</si>
  <si>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</si>
  <si>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</si>
  <si>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</si>
  <si>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</si>
  <si>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</si>
  <si>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</si>
  <si>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</si>
  <si>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</si>
  <si>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</si>
  <si>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</si>
  <si>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</si>
  <si>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</si>
  <si>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</si>
  <si>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</si>
  <si>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</si>
  <si>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</si>
  <si>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</si>
  <si>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</si>
  <si>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</si>
  <si>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</si>
  <si>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</si>
  <si>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</si>
  <si>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</si>
  <si>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</si>
  <si>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</si>
  <si>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</si>
  <si>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</si>
  <si>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</si>
  <si>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</si>
  <si>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</si>
  <si>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</si>
  <si>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</si>
  <si>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</si>
  <si>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</si>
  <si>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</si>
  <si>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</si>
  <si>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</si>
  <si>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</si>
  <si>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</si>
  <si>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</si>
  <si>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</si>
  <si>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</si>
  <si>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</si>
  <si>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</si>
  <si>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</si>
  <si>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</si>
  <si>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</si>
  <si>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</si>
  <si>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</si>
  <si>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</si>
  <si>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</si>
  <si>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</si>
  <si>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</si>
  <si>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</si>
  <si>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</si>
  <si>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</si>
  <si>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</si>
  <si>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</si>
  <si>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</si>
  <si>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</si>
  <si>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</si>
  <si>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</si>
  <si>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</si>
  <si>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</si>
  <si>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</si>
  <si>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</si>
  <si>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</si>
  <si>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</si>
  <si>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</si>
  <si>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</si>
  <si>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</si>
  <si>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</si>
  <si>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</si>
  <si>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</si>
  <si>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</si>
  <si>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</si>
  <si>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</si>
  <si>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</si>
  <si>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</si>
  <si>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</si>
  <si>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</si>
  <si>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</si>
  <si>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</si>
  <si>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</si>
  <si>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</si>
  <si>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</si>
  <si>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</si>
  <si>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</si>
  <si>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</si>
  <si>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</si>
  <si>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</si>
  <si>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</si>
  <si>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</si>
  <si>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</si>
  <si>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</si>
  <si>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</si>
  <si>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</si>
  <si>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</si>
  <si>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</si>
  <si>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</si>
  <si>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</si>
  <si>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</si>
  <si>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</si>
  <si>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</si>
  <si>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</si>
  <si>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</si>
  <si>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</si>
  <si>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</si>
  <si>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</si>
  <si>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</si>
  <si>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</si>
  <si>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</si>
  <si>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</si>
  <si>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</si>
  <si>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</si>
  <si>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</si>
  <si>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</si>
  <si>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</si>
  <si>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</si>
  <si>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</si>
  <si>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</si>
  <si>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</si>
  <si>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</si>
  <si>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</si>
  <si>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</si>
  <si>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</si>
  <si>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</si>
  <si>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</si>
  <si>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</si>
  <si>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</si>
  <si>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</si>
  <si>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</si>
  <si>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</si>
  <si>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</si>
  <si>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</si>
  <si>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</si>
  <si>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</si>
  <si>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</si>
  <si>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</si>
  <si>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</si>
  <si>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</si>
  <si>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</si>
  <si>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</si>
  <si>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</si>
  <si>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</si>
  <si>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</si>
  <si>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</si>
  <si>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</si>
  <si>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</si>
  <si>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</si>
  <si>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</si>
  <si>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</si>
  <si>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</si>
  <si>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</si>
  <si>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</si>
  <si>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</si>
  <si>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</si>
  <si>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</si>
  <si>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</si>
  <si>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</si>
  <si>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</si>
  <si>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</si>
  <si>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</si>
  <si>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</si>
  <si>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</si>
  <si>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</si>
  <si>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</si>
  <si>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</si>
  <si>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</si>
  <si>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</si>
  <si>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</si>
  <si>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</si>
  <si>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</si>
  <si>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</si>
  <si>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</si>
  <si>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</si>
  <si>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</si>
  <si>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</si>
  <si>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</si>
  <si>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</si>
  <si>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</si>
  <si>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</si>
  <si>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</si>
  <si>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</si>
  <si>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</si>
  <si>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</si>
  <si>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</si>
  <si>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</si>
  <si>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</si>
  <si>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</si>
  <si>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</si>
  <si>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</si>
  <si>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</si>
  <si>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</si>
  <si>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</si>
  <si>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</si>
  <si>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</si>
  <si>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</si>
  <si>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</si>
  <si>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</si>
  <si>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</si>
  <si>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</si>
  <si>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</si>
  <si>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</si>
  <si>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</si>
  <si>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</si>
  <si>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</si>
  <si>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</si>
  <si>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</si>
  <si>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</si>
  <si>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</si>
  <si>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</si>
  <si>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</si>
  <si>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</si>
  <si>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</si>
  <si>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</si>
  <si>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</si>
  <si>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</si>
  <si>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</si>
  <si>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</si>
  <si>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</si>
  <si>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</si>
  <si>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</si>
  <si>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</si>
  <si>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</si>
  <si>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</si>
  <si>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</si>
  <si>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</si>
  <si>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</si>
  <si>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</si>
  <si>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</si>
  <si>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</si>
  <si>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</si>
  <si>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</si>
  <si>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</si>
  <si>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</si>
  <si>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</si>
  <si>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</si>
  <si>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</si>
  <si>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</si>
  <si>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</si>
  <si>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</si>
  <si>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</si>
  <si>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</si>
  <si>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</si>
  <si>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</si>
  <si>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</si>
  <si>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</si>
  <si>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</si>
  <si>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</si>
  <si>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</si>
  <si>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</si>
  <si>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</si>
  <si>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</si>
  <si>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</si>
  <si>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</si>
  <si>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</si>
  <si>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</si>
  <si>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</si>
  <si>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</si>
  <si>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</si>
  <si>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</si>
  <si>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</si>
  <si>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</si>
  <si>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</si>
  <si>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</si>
  <si>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</si>
  <si>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</si>
  <si>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</si>
  <si>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</si>
  <si>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</si>
  <si>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</si>
  <si>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</si>
  <si>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</si>
  <si>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</si>
  <si>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</si>
  <si>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</si>
  <si>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</si>
  <si>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</si>
  <si>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</si>
  <si>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</si>
  <si>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</si>
  <si>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</si>
  <si>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</si>
  <si>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</si>
  <si>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</si>
  <si>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</si>
  <si>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</si>
  <si>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</si>
  <si>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</si>
  <si>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</si>
  <si>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</si>
  <si>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</si>
  <si>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</si>
  <si>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</si>
  <si>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</si>
  <si>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</si>
  <si>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</si>
  <si>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</si>
  <si>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</si>
  <si>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</si>
  <si>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</si>
  <si>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</si>
  <si>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</si>
  <si>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</si>
  <si>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</si>
  <si>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</si>
  <si>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</si>
  <si>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</si>
  <si>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</si>
  <si>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</si>
  <si>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</si>
  <si>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</si>
  <si>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</si>
  <si>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</si>
  <si>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</si>
  <si>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</si>
  <si>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</si>
  <si>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</si>
  <si>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</si>
  <si>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</si>
  <si>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</si>
  <si>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</si>
  <si>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</si>
  <si>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</si>
  <si>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</si>
  <si>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</si>
  <si>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</si>
  <si>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</si>
  <si>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</si>
  <si>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</si>
  <si>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</si>
  <si>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</si>
  <si>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</si>
  <si>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</si>
  <si>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</si>
  <si>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</si>
  <si>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</si>
  <si>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</si>
  <si>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</si>
  <si>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</si>
  <si>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</si>
  <si>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</si>
  <si>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</si>
  <si>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</si>
  <si>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</si>
  <si>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</si>
  <si>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</si>
  <si>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</si>
  <si>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</si>
  <si>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</si>
  <si>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</si>
  <si>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</si>
  <si>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</si>
  <si>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</si>
  <si>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</si>
  <si>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</si>
  <si>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</si>
  <si>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</si>
  <si>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</si>
  <si>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</si>
  <si>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</si>
  <si>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</si>
  <si>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</si>
  <si>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</si>
  <si>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</si>
  <si>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</si>
  <si>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</si>
  <si>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</si>
  <si>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</si>
  <si>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</si>
  <si>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</si>
  <si>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</si>
  <si>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</si>
  <si>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</si>
  <si>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</si>
  <si>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</si>
  <si>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</si>
  <si>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</si>
  <si>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</si>
  <si>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</si>
  <si>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</si>
  <si>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</si>
  <si>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</si>
  <si>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</si>
  <si>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</si>
  <si>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</si>
  <si>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</si>
  <si>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</si>
  <si>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</si>
  <si>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</si>
  <si>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</si>
  <si>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</si>
  <si>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</si>
  <si>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</si>
  <si>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</si>
  <si>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</si>
  <si>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</si>
  <si>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</si>
  <si>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</si>
  <si>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</si>
  <si>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</si>
  <si>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</si>
  <si>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</si>
  <si>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</si>
  <si>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</si>
  <si>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</si>
  <si>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</si>
  <si>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</si>
  <si>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</si>
  <si>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</si>
  <si>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</si>
  <si>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</si>
  <si>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</si>
  <si>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</si>
  <si>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</si>
  <si>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</si>
  <si>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</si>
  <si>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</si>
  <si>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</si>
  <si>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</si>
  <si>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</si>
  <si>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</si>
  <si>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</si>
  <si>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</si>
  <si>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</si>
  <si>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</si>
  <si>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</si>
  <si>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</si>
  <si>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</si>
  <si>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</si>
  <si>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</si>
  <si>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</si>
  <si>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</si>
  <si>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</si>
  <si>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</si>
  <si>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</si>
  <si>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</si>
  <si>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</si>
  <si>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</si>
  <si>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</si>
  <si>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</si>
  <si>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</si>
  <si>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</si>
  <si>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</si>
  <si>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</si>
  <si>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</si>
  <si>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</si>
  <si>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</si>
  <si>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</si>
  <si>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</si>
  <si>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</si>
  <si>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</si>
  <si>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</si>
  <si>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</si>
  <si>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</si>
  <si>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</si>
  <si>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</si>
  <si>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</si>
  <si>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</si>
  <si>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</si>
  <si>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</si>
  <si>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</si>
  <si>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</si>
  <si>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</si>
  <si>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</si>
  <si>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</si>
  <si>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</si>
  <si>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</si>
  <si>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</si>
  <si>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</si>
  <si>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</si>
  <si>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</si>
  <si>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</si>
  <si>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</si>
  <si>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</si>
  <si>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</si>
  <si>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</si>
  <si>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</si>
  <si>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</si>
  <si>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</si>
  <si>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</si>
  <si>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</si>
  <si>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</si>
  <si>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</si>
  <si>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</si>
  <si>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</si>
  <si>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</si>
  <si>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</si>
  <si>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</si>
  <si>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</si>
  <si>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</si>
  <si>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</si>
  <si>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</si>
  <si>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</si>
  <si>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</si>
  <si>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</si>
  <si>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</si>
  <si>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</si>
  <si>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</si>
  <si>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</si>
  <si>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</si>
  <si>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</si>
  <si>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</si>
  <si>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</si>
  <si>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</si>
  <si>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</si>
  <si>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</si>
  <si>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</si>
  <si>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</si>
  <si>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</si>
  <si>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</si>
  <si>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</si>
  <si>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</si>
  <si>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</si>
  <si>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</si>
  <si>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</si>
  <si>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</si>
  <si>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</si>
  <si>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</si>
  <si>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</si>
  <si>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</si>
  <si>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</si>
  <si>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</si>
  <si>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</si>
  <si>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</si>
  <si>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</si>
  <si>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</si>
  <si>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</si>
  <si>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</si>
  <si>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</si>
  <si>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</si>
  <si>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</si>
  <si>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</si>
  <si>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</si>
  <si>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</si>
  <si>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</si>
  <si>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</si>
  <si>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</si>
  <si>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</si>
  <si>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</si>
  <si>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</si>
  <si>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</si>
  <si>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</si>
  <si>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</si>
  <si>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</si>
  <si>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</si>
  <si>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</si>
  <si>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</si>
  <si>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</si>
  <si>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</si>
  <si>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</si>
  <si>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</si>
  <si>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</si>
  <si>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</si>
  <si>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</si>
  <si>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</si>
  <si>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</si>
  <si>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</si>
  <si>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</si>
  <si>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</si>
  <si>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</si>
  <si>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</si>
  <si>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</si>
  <si>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</si>
  <si>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</si>
  <si>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</si>
  <si>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</si>
  <si>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</si>
  <si>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</si>
  <si>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</si>
  <si>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</si>
  <si>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</si>
  <si>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</si>
  <si>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</si>
  <si>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</si>
  <si>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</si>
  <si>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</si>
  <si>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</si>
  <si>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</si>
  <si>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</si>
  <si>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</si>
  <si>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</si>
  <si>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</si>
  <si>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</si>
  <si>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</si>
  <si>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</si>
  <si>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</si>
  <si>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</si>
  <si>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</si>
  <si>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</si>
  <si>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</si>
  <si>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</si>
  <si>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</si>
  <si>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</si>
  <si>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</si>
  <si>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</si>
  <si>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</si>
  <si>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</si>
  <si>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</si>
  <si>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</si>
  <si>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</si>
  <si>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</si>
  <si>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</si>
  <si>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</si>
  <si>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</si>
  <si>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</si>
  <si>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</si>
  <si>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</si>
  <si>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</si>
  <si>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</si>
  <si>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</si>
  <si>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</si>
  <si>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</si>
  <si>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</si>
  <si>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</si>
  <si>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</si>
  <si>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</si>
  <si>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</si>
  <si>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</si>
  <si>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</si>
  <si>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</si>
  <si>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</si>
  <si>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</si>
  <si>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</si>
  <si>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</si>
  <si>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</si>
  <si>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</si>
  <si>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</si>
  <si>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</si>
  <si>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</si>
  <si>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</si>
  <si>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</si>
  <si>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</si>
  <si>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</si>
  <si>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</si>
  <si>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</si>
  <si>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</si>
  <si>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</si>
  <si>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</si>
  <si>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</si>
  <si>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</si>
  <si>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</si>
  <si>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</si>
  <si>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</si>
  <si>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</si>
  <si>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</si>
  <si>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</si>
  <si>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</si>
  <si>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</si>
  <si>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</si>
  <si>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</si>
  <si>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</si>
  <si>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</si>
  <si>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</si>
  <si>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</si>
  <si>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</si>
  <si>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</si>
  <si>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</si>
  <si>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</si>
  <si>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</si>
  <si>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</si>
  <si>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</si>
  <si>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</si>
  <si>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</si>
  <si>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</si>
  <si>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</si>
  <si>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</si>
  <si>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</si>
  <si>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</si>
  <si>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</si>
  <si>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</si>
  <si>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</si>
  <si>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</si>
  <si>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</si>
  <si>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</si>
  <si>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</si>
  <si>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</si>
  <si>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</si>
  <si>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</si>
  <si>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</si>
  <si>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</si>
  <si>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</si>
  <si>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</si>
  <si>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</si>
  <si>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</si>
  <si>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</si>
  <si>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</si>
  <si>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</si>
  <si>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</si>
  <si>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</si>
  <si>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</si>
  <si>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</si>
  <si>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</si>
  <si>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</si>
  <si>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</si>
  <si>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</si>
  <si>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</si>
  <si>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</si>
  <si>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</si>
  <si>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</si>
  <si>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</si>
  <si>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</si>
  <si>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</si>
  <si>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</si>
  <si>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</si>
  <si>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</si>
  <si>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</si>
  <si>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</si>
  <si>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</si>
  <si>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</si>
  <si>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</si>
  <si>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</si>
  <si>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</si>
  <si>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</si>
  <si>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</si>
  <si>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</si>
  <si>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</si>
  <si>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</si>
  <si>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</si>
  <si>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</si>
  <si>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</si>
  <si>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</si>
  <si>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</si>
  <si>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</si>
  <si>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</si>
  <si>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</si>
  <si>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</si>
  <si>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</si>
  <si>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</si>
  <si>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</si>
  <si>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</si>
  <si>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</si>
  <si>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</si>
  <si>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</si>
  <si>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</si>
  <si>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</si>
  <si>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</si>
  <si>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</si>
  <si>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</si>
  <si>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</si>
  <si>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</si>
  <si>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</si>
  <si>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</si>
  <si>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</si>
  <si>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</si>
  <si>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</si>
  <si>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</si>
  <si>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</si>
  <si>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</si>
  <si>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</si>
  <si>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</si>
  <si>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</si>
  <si>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</si>
  <si>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</si>
  <si>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</si>
  <si>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</si>
  <si>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</si>
  <si>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</si>
  <si>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</si>
  <si>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</si>
  <si>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</si>
  <si>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</si>
  <si>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主体</t>
  </si>
  <si>
    <t>装修</t>
  </si>
  <si>
    <t>综合平均</t>
  </si>
  <si>
    <t>一般</t>
  </si>
  <si>
    <t>较差</t>
  </si>
  <si>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</si>
  <si>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</si>
  <si>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</si>
  <si>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</si>
  <si>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</si>
  <si>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</si>
  <si>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</si>
  <si>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</si>
  <si>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</si>
  <si>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</si>
  <si>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</si>
  <si>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</si>
  <si>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</si>
  <si>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</si>
  <si>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</si>
  <si>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</si>
  <si>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</si>
  <si>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</si>
  <si>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</si>
  <si>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</si>
  <si>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</si>
  <si>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</si>
  <si>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</si>
  <si>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</si>
  <si>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</si>
  <si>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</si>
  <si>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</si>
  <si>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</si>
  <si>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</si>
  <si>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</si>
  <si>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</si>
  <si>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</si>
  <si>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</si>
  <si>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</si>
  <si>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</si>
  <si>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</si>
  <si>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</si>
  <si>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</si>
  <si>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</si>
  <si>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</si>
  <si>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</si>
  <si>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</si>
  <si>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</si>
  <si>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</si>
  <si>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</si>
  <si>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</si>
  <si>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</si>
  <si>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</si>
  <si>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</si>
  <si>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</si>
  <si>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</si>
  <si>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</si>
  <si>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</si>
  <si>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</si>
  <si>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</si>
  <si>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</si>
  <si>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</si>
  <si>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</si>
  <si>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</si>
  <si>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</si>
  <si>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</si>
  <si>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</si>
  <si>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</si>
  <si>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</si>
  <si>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</si>
  <si>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</si>
  <si>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</si>
  <si>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</si>
  <si>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</si>
  <si>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</si>
  <si>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</si>
  <si>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</si>
  <si>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</si>
  <si>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</si>
  <si>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</si>
  <si>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</si>
  <si>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</si>
  <si>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</si>
  <si>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</si>
  <si>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</si>
  <si>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</si>
  <si>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</si>
  <si>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</si>
  <si>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</si>
  <si>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</si>
  <si>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</si>
  <si>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</si>
  <si>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</si>
  <si>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</si>
  <si>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</si>
  <si>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</si>
  <si>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</si>
  <si>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</si>
  <si>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</si>
  <si>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</si>
  <si>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</si>
  <si>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</si>
  <si>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</si>
  <si>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</si>
  <si>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</si>
  <si>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</si>
  <si>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</si>
  <si>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</si>
  <si>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</si>
  <si>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</si>
  <si>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</si>
  <si>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</si>
  <si>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</si>
  <si>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</si>
  <si>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</si>
  <si>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</si>
  <si>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</si>
  <si>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</si>
  <si>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</si>
  <si>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</si>
  <si>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</si>
  <si>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</si>
  <si>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</si>
  <si>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</si>
  <si>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</si>
  <si>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</si>
  <si>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</si>
  <si>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</si>
  <si>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</si>
  <si>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</si>
  <si>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</si>
  <si>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</si>
  <si>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</si>
  <si>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</si>
  <si>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</si>
  <si>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</si>
  <si>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</si>
  <si>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</si>
  <si>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</si>
  <si>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</si>
  <si>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</si>
  <si>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</si>
  <si>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</si>
  <si>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</si>
  <si>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</si>
  <si>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</si>
  <si>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</si>
  <si>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</si>
  <si>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</si>
  <si>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</si>
  <si>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</si>
  <si>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</si>
  <si>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</si>
  <si>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</si>
  <si>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</si>
  <si>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</si>
  <si>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</si>
  <si>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</si>
  <si>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</si>
  <si>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</si>
  <si>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</si>
  <si>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</si>
  <si>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</si>
  <si>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</si>
  <si>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</si>
  <si>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</si>
  <si>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</si>
  <si>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</si>
  <si>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</si>
  <si>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</si>
  <si>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</si>
  <si>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</si>
  <si>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</si>
  <si>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</si>
  <si>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</si>
  <si>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</si>
  <si>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</si>
  <si>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</si>
  <si>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</si>
  <si>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</si>
  <si>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</si>
  <si>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</si>
  <si>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</si>
  <si>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</si>
  <si>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</si>
  <si>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</si>
  <si>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</si>
  <si>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</si>
  <si>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</si>
  <si>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</si>
  <si>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</si>
  <si>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</si>
  <si>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</si>
  <si>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</si>
  <si>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</si>
  <si>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</si>
  <si>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</si>
  <si>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</si>
  <si>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</si>
  <si>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</si>
  <si>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</si>
  <si>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</si>
  <si>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</si>
  <si>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</si>
  <si>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</si>
  <si>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</si>
  <si>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</si>
  <si>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</si>
  <si>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</si>
  <si>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</si>
  <si>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</si>
  <si>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</si>
  <si>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</si>
  <si>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</si>
  <si>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</si>
  <si>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</si>
  <si>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</si>
  <si>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</si>
  <si>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</si>
  <si>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</si>
  <si>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</si>
  <si>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</si>
  <si>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</si>
  <si>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</si>
  <si>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</si>
  <si>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</si>
  <si>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</si>
  <si>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</si>
  <si>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</si>
  <si>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</si>
  <si>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</si>
  <si>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</si>
  <si>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</si>
  <si>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</si>
  <si>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</si>
  <si>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</si>
  <si>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</si>
  <si>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</si>
  <si>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</si>
  <si>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</si>
  <si>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</si>
  <si>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</si>
  <si>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</si>
  <si>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</si>
  <si>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</si>
  <si>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</si>
  <si>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</si>
  <si>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</si>
  <si>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</si>
  <si>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</si>
  <si>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</si>
  <si>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</si>
  <si>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</si>
  <si>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</si>
  <si>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</si>
  <si>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</si>
  <si>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</si>
  <si>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</si>
  <si>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</si>
  <si>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</si>
  <si>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</si>
  <si>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</si>
  <si>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</si>
  <si>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</si>
  <si>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</si>
  <si>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</si>
  <si>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</si>
  <si>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</si>
  <si>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</si>
  <si>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</si>
  <si>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</si>
  <si>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</si>
  <si>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</si>
  <si>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</si>
  <si>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</si>
  <si>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</si>
  <si>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</si>
  <si>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</si>
  <si>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</si>
  <si>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</si>
  <si>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</si>
  <si>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</si>
  <si>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</si>
  <si>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</si>
  <si>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</si>
  <si>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</si>
  <si>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</si>
  <si>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</si>
  <si>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</si>
  <si>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</si>
  <si>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</si>
  <si>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</si>
  <si>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</si>
  <si>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</si>
  <si>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</si>
  <si>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</si>
  <si>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</si>
  <si>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</si>
  <si>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</si>
  <si>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</si>
  <si>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</si>
  <si>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</si>
  <si>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</si>
  <si>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</si>
  <si>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</si>
  <si>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</si>
  <si>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</si>
  <si>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</si>
  <si>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</si>
  <si>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</si>
  <si>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</si>
  <si>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</si>
  <si>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</si>
  <si>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</si>
  <si>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</si>
  <si>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</si>
  <si>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</si>
  <si>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</si>
  <si>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</si>
  <si>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</si>
  <si>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</si>
  <si>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</si>
  <si>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</si>
  <si>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</si>
  <si>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</si>
  <si>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</si>
  <si>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</si>
  <si>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</si>
  <si>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</si>
  <si>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</si>
  <si>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</si>
  <si>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</si>
  <si>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</si>
  <si>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</si>
  <si>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</si>
  <si>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</si>
  <si>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</si>
  <si>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</si>
  <si>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</si>
  <si>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</si>
  <si>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</si>
  <si>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</si>
  <si>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</si>
  <si>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</si>
  <si>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</si>
  <si>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</si>
  <si>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</si>
  <si>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</si>
  <si>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</si>
  <si>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</si>
  <si>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</si>
  <si>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</si>
  <si>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</si>
  <si>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</si>
  <si>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</si>
  <si>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</si>
  <si>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</si>
  <si>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</si>
  <si>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</si>
  <si>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</si>
  <si>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</si>
  <si>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</si>
  <si>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</si>
  <si>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</si>
  <si>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</si>
  <si>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</si>
  <si>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</si>
  <si>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</si>
  <si>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</si>
  <si>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</si>
  <si>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</si>
  <si>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</si>
  <si>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</si>
  <si>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</si>
  <si>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</si>
  <si>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</si>
  <si>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</si>
  <si>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</si>
  <si>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</si>
  <si>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</si>
  <si>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</si>
  <si>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</si>
  <si>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</si>
  <si>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</si>
  <si>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</si>
  <si>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</si>
  <si>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</si>
  <si>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</si>
  <si>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</si>
  <si>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</si>
  <si>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</si>
  <si>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</si>
  <si>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</si>
  <si>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</si>
  <si>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</si>
  <si>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</si>
  <si>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</si>
  <si>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</si>
  <si>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</si>
  <si>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</si>
  <si>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</si>
  <si>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</si>
  <si>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</si>
  <si>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</si>
  <si>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</si>
  <si>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</si>
  <si>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</si>
  <si>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</si>
  <si>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</si>
  <si>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</si>
  <si>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</si>
  <si>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</si>
  <si>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</si>
  <si>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</si>
  <si>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</si>
  <si>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</si>
  <si>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</si>
  <si>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</si>
  <si>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</si>
  <si>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</si>
  <si>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</si>
  <si>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</si>
  <si>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</si>
  <si>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</si>
  <si>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</si>
  <si>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</si>
  <si>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</si>
  <si>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</si>
  <si>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</si>
  <si>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</si>
  <si>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</si>
  <si>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</si>
  <si>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</si>
  <si>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</si>
  <si>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</si>
  <si>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</si>
  <si>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</si>
  <si>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</si>
  <si>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</si>
  <si>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</si>
  <si>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</si>
  <si>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</si>
  <si>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</si>
  <si>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</si>
  <si>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</si>
  <si>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</si>
  <si>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</si>
  <si>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</si>
  <si>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</si>
  <si>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</si>
  <si>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</si>
  <si>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</si>
  <si>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</si>
  <si>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</si>
  <si>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</si>
  <si>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</si>
  <si>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</si>
  <si>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</si>
  <si>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</si>
  <si>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</si>
  <si>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</si>
  <si>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</si>
  <si>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</si>
  <si>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</si>
  <si>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</si>
  <si>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</si>
  <si>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</si>
  <si>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</si>
  <si>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</si>
  <si>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</si>
  <si>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</si>
  <si>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</si>
  <si>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</si>
  <si>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</si>
  <si>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</si>
  <si>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</si>
  <si>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</si>
  <si>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</si>
  <si>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</si>
  <si>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</si>
  <si>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</si>
  <si>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</si>
  <si>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</si>
  <si>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</si>
  <si>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</si>
  <si>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</si>
  <si>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</si>
  <si>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</si>
  <si>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</si>
  <si>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</si>
  <si>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</si>
  <si>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</si>
  <si>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</si>
  <si>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</si>
  <si>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</si>
  <si>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</si>
  <si>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</si>
  <si>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</si>
  <si>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</si>
  <si>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</si>
  <si>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</si>
  <si>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</si>
  <si>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</si>
  <si>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</si>
  <si>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</si>
  <si>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</si>
  <si>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</si>
  <si>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</si>
  <si>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</si>
  <si>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</si>
  <si>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</si>
  <si>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</si>
  <si>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</si>
  <si>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</si>
  <si>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</si>
  <si>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</si>
  <si>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</si>
  <si>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</si>
  <si>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</si>
  <si>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</si>
  <si>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</si>
  <si>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</si>
  <si>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</si>
  <si>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</si>
  <si>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</si>
  <si>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</si>
  <si>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</si>
  <si>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</si>
  <si>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</si>
  <si>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</si>
  <si>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</si>
  <si>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</si>
  <si>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</si>
  <si>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</si>
  <si>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</si>
  <si>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</si>
  <si>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</si>
  <si>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</si>
  <si>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</si>
  <si>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</si>
  <si>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</si>
  <si>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</si>
  <si>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</si>
  <si>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</si>
  <si>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</si>
  <si>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</si>
  <si>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</si>
  <si>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</si>
  <si>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</si>
  <si>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</si>
  <si>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</si>
  <si>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</si>
  <si>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</si>
  <si>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</si>
  <si>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</si>
  <si>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</si>
  <si>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</si>
  <si>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</si>
  <si>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</si>
  <si>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</si>
  <si>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</si>
  <si>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</si>
  <si>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</si>
  <si>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</si>
  <si>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</si>
  <si>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</si>
  <si>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</si>
  <si>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</si>
  <si>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</si>
  <si>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</si>
  <si>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</si>
  <si>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</si>
  <si>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</si>
  <si>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</si>
  <si>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</si>
  <si>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</si>
  <si>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</si>
  <si>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</si>
  <si>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</si>
  <si>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</si>
  <si>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</si>
  <si>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</si>
  <si>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</si>
  <si>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</si>
  <si>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</si>
  <si>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</si>
  <si>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</si>
  <si>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</si>
  <si>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</si>
  <si>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</si>
  <si>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</si>
  <si>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</si>
  <si>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</si>
  <si>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</si>
  <si>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</si>
  <si>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</si>
  <si>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</si>
  <si>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</si>
  <si>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</si>
  <si>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</si>
  <si>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</si>
  <si>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</si>
  <si>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</si>
  <si>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</si>
  <si>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</si>
  <si>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</si>
  <si>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</si>
  <si>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</si>
  <si>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</si>
  <si>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</si>
  <si>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</si>
  <si>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</si>
  <si>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</si>
  <si>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</si>
  <si>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</si>
  <si>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</si>
  <si>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</si>
  <si>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</si>
  <si>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</si>
  <si>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</si>
  <si>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</si>
  <si>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</si>
  <si>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</si>
  <si>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</si>
  <si>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</si>
  <si>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</si>
  <si>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</si>
  <si>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</si>
  <si>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</si>
  <si>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</si>
  <si>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</si>
  <si>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</si>
  <si>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</si>
  <si>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</si>
  <si>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</si>
  <si>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</si>
  <si>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</si>
  <si>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</si>
  <si>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</si>
  <si>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</si>
  <si>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</si>
  <si>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</si>
  <si>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</si>
  <si>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</si>
  <si>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</si>
  <si>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</si>
  <si>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</si>
  <si>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</si>
  <si>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</si>
  <si>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</si>
  <si>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</si>
  <si>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</si>
  <si>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</si>
  <si>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</si>
  <si>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</si>
  <si>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</si>
  <si>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</si>
  <si>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</si>
  <si>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</si>
  <si>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</si>
  <si>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</si>
  <si>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</si>
  <si>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</si>
  <si>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</si>
  <si>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</si>
  <si>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</si>
  <si>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</si>
  <si>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</si>
  <si>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</si>
  <si>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</si>
  <si>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</si>
  <si>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</si>
  <si>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</si>
  <si>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</si>
  <si>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</si>
  <si>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</si>
  <si>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</si>
  <si>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</si>
  <si>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</si>
  <si>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</si>
  <si>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</si>
  <si>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</si>
  <si>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</si>
  <si>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</si>
  <si>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</si>
  <si>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</si>
  <si>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</si>
  <si>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楼面地价</t>
  </si>
  <si>
    <t>六通</t>
  </si>
  <si>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</si>
  <si>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</si>
  <si>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</si>
  <si>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</si>
  <si>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</si>
  <si>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</si>
  <si>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</si>
  <si>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</si>
  <si>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</si>
  <si>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</si>
  <si>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</si>
  <si>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</si>
  <si>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</si>
  <si>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</si>
  <si>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</si>
  <si>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</si>
  <si>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</si>
  <si>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</si>
  <si>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和悦春风</t>
    <phoneticPr fontId="224" type="noConversion"/>
  </si>
  <si>
    <t>比较法-住宅、综合</t>
  </si>
  <si>
    <t>剩余法-待开发</t>
  </si>
  <si>
    <t>住宅</t>
    <phoneticPr fontId="21"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</si>
  <si>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</si>
  <si>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</si>
  <si>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</si>
  <si>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</si>
  <si>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</si>
  <si>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</si>
  <si>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</si>
  <si>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</si>
  <si>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</si>
  <si>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</si>
  <si>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</si>
  <si>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</si>
  <si>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</si>
  <si>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</si>
  <si>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</si>
  <si>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</si>
  <si>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</si>
  <si>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</si>
  <si>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</si>
  <si>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</si>
  <si>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</si>
  <si>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</si>
  <si>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</si>
  <si>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</si>
  <si>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</si>
  <si>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</si>
  <si>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</si>
  <si>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</si>
  <si>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</si>
  <si>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</si>
  <si>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</si>
  <si>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</si>
  <si>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</si>
  <si>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</si>
  <si>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</si>
  <si>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</si>
  <si>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</si>
  <si>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</si>
  <si>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</si>
  <si>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</si>
  <si>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</si>
  <si>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</si>
  <si>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</si>
  <si>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</si>
  <si>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</si>
  <si>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</si>
  <si>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</si>
  <si>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</si>
  <si>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</si>
  <si>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</si>
  <si>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</si>
  <si>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</si>
  <si>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</si>
  <si>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</si>
  <si>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</si>
  <si>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</si>
  <si>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</si>
  <si>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</si>
  <si>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t>改善型</t>
    <phoneticPr fontId="21" type="noConversion"/>
  </si>
  <si>
    <t>改善型</t>
    <phoneticPr fontId="21" type="noConversion"/>
  </si>
  <si>
    <t>刚需型</t>
    <phoneticPr fontId="21" type="noConversion"/>
  </si>
  <si>
    <t>刚需型</t>
    <phoneticPr fontId="21" type="noConversion"/>
  </si>
  <si>
    <t>出让金+开发费</t>
  </si>
  <si>
    <t>保证金</t>
    <phoneticPr fontId="224" type="noConversion"/>
  </si>
  <si>
    <t>地价款</t>
    <phoneticPr fontId="224" type="noConversion"/>
  </si>
  <si>
    <t>估价对象</t>
    <phoneticPr fontId="224" type="noConversion"/>
  </si>
  <si>
    <t>不含人防建安</t>
    <phoneticPr fontId="3" type="noConversion"/>
  </si>
  <si>
    <t>含人防合计</t>
    <phoneticPr fontId="3" type="noConversion"/>
  </si>
  <si>
    <t>商业</t>
    <phoneticPr fontId="224" type="noConversion"/>
  </si>
  <si>
    <r>
      <t>2</t>
    </r>
    <r>
      <rPr>
        <sz val="10"/>
        <color indexed="8"/>
        <rFont val="宋体"/>
        <family val="3"/>
        <charset val="134"/>
      </rPr>
      <t>层</t>
    </r>
    <phoneticPr fontId="3" type="noConversion"/>
  </si>
  <si>
    <t>租金</t>
    <phoneticPr fontId="3" type="noConversion"/>
  </si>
  <si>
    <t>楼层</t>
    <phoneticPr fontId="3" type="noConversion"/>
  </si>
  <si>
    <r>
      <rPr>
        <sz val="10"/>
        <color indexed="8"/>
        <rFont val="宋体"/>
        <family val="3"/>
        <charset val="134"/>
      </rPr>
      <t>设定共</t>
    </r>
    <r>
      <rPr>
        <sz val="10"/>
        <color indexed="8"/>
        <rFont val="Arial"/>
        <family val="2"/>
      </rPr>
      <t>2</t>
    </r>
    <r>
      <rPr>
        <sz val="10"/>
        <color indexed="8"/>
        <rFont val="宋体"/>
        <family val="3"/>
        <charset val="134"/>
      </rPr>
      <t>层</t>
    </r>
    <phoneticPr fontId="3" type="noConversion"/>
  </si>
  <si>
    <t>系数</t>
    <phoneticPr fontId="3" type="noConversion"/>
  </si>
  <si>
    <t>璟贤瑞庭</t>
  </si>
  <si>
    <t>中建T5未来住区</t>
  </si>
  <si>
    <t>大兴区瀛海镇区级统筹集建地YZ00-0803-2006、2029、2031地块F81集体产业用地</t>
  </si>
  <si>
    <t>京规自集使挂(兴)[2023]004号</t>
  </si>
  <si>
    <t>2023-04-24</t>
  </si>
  <si>
    <t>大兴发展·亦生悦</t>
  </si>
  <si>
    <t>北京市房山区良乡大学城主园区FS00-0120-0023地块R2二类居住用地</t>
  </si>
  <si>
    <t>京土储挂(房)[2022]077号</t>
  </si>
  <si>
    <t>2022年第5批次</t>
  </si>
  <si>
    <t>2023-02-07</t>
  </si>
  <si>
    <t>中建智地置业有限公司</t>
  </si>
  <si>
    <t>中建房山·国贤府</t>
  </si>
  <si>
    <t>北京经济技术开发区亦庄新城0303街区F1C-1、F1S-1、F1R-1、F1A-1地块B4综合性商业金融服务业用地、S4社会停车场用地、R2二类居住用地、A334托幼用地</t>
  </si>
  <si>
    <t>路东区</t>
  </si>
  <si>
    <t>京土储挂(开)[2022]078号</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</si>
  <si>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</si>
  <si>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</si>
  <si>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</si>
  <si>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</si>
  <si>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北京越新房地产开发有限公司</t>
  </si>
  <si>
    <t>京土储挂(兴临空)〔2023〕064号</t>
    <phoneticPr fontId="224" type="noConversion"/>
  </si>
  <si>
    <t>https://j.map.baidu.com/da/yYGi</t>
    <phoneticPr fontId="224" type="noConversion"/>
  </si>
  <si>
    <t>序号</t>
    <phoneticPr fontId="224" type="noConversion"/>
  </si>
  <si>
    <t>车位</t>
    <phoneticPr fontId="224" type="noConversion"/>
  </si>
  <si>
    <t>区县：大兴区；分析周期：2023年11月 至 2024年11月；物业类型：普通住宅</t>
  </si>
  <si>
    <t>成交套数</t>
  </si>
  <si>
    <t>成交面积(㎡)</t>
  </si>
  <si>
    <t>成交价格</t>
  </si>
  <si>
    <t>成交金额(万元)</t>
  </si>
  <si>
    <t>批准上市套数</t>
  </si>
  <si>
    <t>批准上市面积(㎡)</t>
  </si>
  <si>
    <t>可售套数</t>
  </si>
  <si>
    <t>可售面积(㎡)</t>
  </si>
  <si>
    <t>橡树湾（红橡润园）</t>
  </si>
  <si>
    <t>中建玖玥府</t>
  </si>
  <si>
    <t>星光都荟合苑</t>
  </si>
  <si>
    <t>亦玺佳苑</t>
  </si>
  <si>
    <t>德贤华府</t>
  </si>
  <si>
    <t>壹品兴创御璟星城</t>
  </si>
  <si>
    <t>中骏金辉·未来云城</t>
  </si>
  <si>
    <t>保利绿城·和锦诚园</t>
  </si>
  <si>
    <t>德茂</t>
  </si>
  <si>
    <t>中海兴叁號院</t>
  </si>
  <si>
    <t>旧宫北</t>
  </si>
  <si>
    <t>中铁兴创·逸境</t>
  </si>
  <si>
    <t>和悦春风</t>
  </si>
  <si>
    <t>庞各庄镇</t>
  </si>
  <si>
    <t>壹品兴创颐和公馆</t>
  </si>
  <si>
    <t>榆垡镇</t>
  </si>
  <si>
    <t>福兴雅筑</t>
  </si>
  <si>
    <t>熙悦雲上</t>
  </si>
  <si>
    <t>御璟星城·元启</t>
  </si>
  <si>
    <t>合生me悦</t>
  </si>
  <si>
    <t>住总如院</t>
  </si>
  <si>
    <t>采育镇</t>
  </si>
  <si>
    <t>中海云筑</t>
  </si>
  <si>
    <t>京能·丽墅</t>
  </si>
  <si>
    <t>兴创荣墅</t>
  </si>
  <si>
    <t>住星嘉园</t>
  </si>
  <si>
    <t>中海京叁號院</t>
  </si>
  <si>
    <t>亦庄核心区北部</t>
  </si>
  <si>
    <t>绿地·海珀云翡</t>
  </si>
  <si>
    <t>大兴新城</t>
  </si>
  <si>
    <t>京能｜电建·洺悦湾</t>
  </si>
  <si>
    <t>小红门</t>
  </si>
  <si>
    <t>和成璟园</t>
  </si>
  <si>
    <t>路东区北部</t>
  </si>
  <si>
    <t>国锐·金嵿</t>
  </si>
  <si>
    <t>熙悦宸著</t>
  </si>
  <si>
    <t>中铁华侨城·和园</t>
  </si>
  <si>
    <t>中冶·德贤公馆</t>
  </si>
  <si>
    <t>中国铁建·花语金郡</t>
  </si>
  <si>
    <t>中旅·亦府</t>
  </si>
  <si>
    <t>兴念雅苑</t>
  </si>
  <si>
    <t>中海云熙</t>
  </si>
  <si>
    <t>魏善庄镇</t>
  </si>
  <si>
    <t>新城·熙红印</t>
  </si>
  <si>
    <t>悦廷</t>
  </si>
  <si>
    <t>河西区北部</t>
  </si>
  <si>
    <t>枫丹壹號</t>
  </si>
  <si>
    <t>中海寰宇时代</t>
  </si>
  <si>
    <t>亦庄·金茂悦</t>
  </si>
  <si>
    <t>林悦和苑</t>
  </si>
  <si>
    <t>中国铁建·国际公馆</t>
  </si>
  <si>
    <t>首开龙湖天琅</t>
  </si>
  <si>
    <t>北京城建·宽院·国誉府</t>
  </si>
  <si>
    <t>江山风华</t>
  </si>
  <si>
    <t>中信新城</t>
  </si>
  <si>
    <t>和悦华锦</t>
  </si>
  <si>
    <t>中建鄂旅投·星光里</t>
  </si>
  <si>
    <t>亦生悦</t>
  </si>
  <si>
    <t>金地·悦风华</t>
  </si>
  <si>
    <t>瀛海府</t>
  </si>
  <si>
    <t>龙熙顺景</t>
  </si>
  <si>
    <t>路劲·御合院</t>
  </si>
  <si>
    <t>融创·公园壹号</t>
  </si>
  <si>
    <t>魏善庄北</t>
  </si>
  <si>
    <t>金林家园</t>
  </si>
  <si>
    <t>棠颂别墅</t>
  </si>
  <si>
    <t>万和斐丽</t>
  </si>
  <si>
    <t>崔</t>
    <phoneticPr fontId="224" type="noConversion"/>
  </si>
  <si>
    <t>区县：大兴区；分析周期：2023年11月 至 2024年11月；物业类型：车库/车位</t>
  </si>
  <si>
    <t>北投如郡</t>
  </si>
  <si>
    <t>雅居乐京华雅郡</t>
  </si>
  <si>
    <t>招商雍合府</t>
  </si>
  <si>
    <t>西红门</t>
  </si>
  <si>
    <t>云景中心</t>
  </si>
  <si>
    <t>北臧村北</t>
  </si>
  <si>
    <t>运通博远阁</t>
  </si>
  <si>
    <t>北京金科天籁城</t>
  </si>
  <si>
    <t>天宫院</t>
  </si>
  <si>
    <t>星光悠谷中心</t>
  </si>
  <si>
    <t>西红门镇南</t>
  </si>
  <si>
    <t>金融街·金色漫香林</t>
  </si>
  <si>
    <t>林肯公园</t>
  </si>
  <si>
    <t>星光创想中心</t>
  </si>
  <si>
    <t>金隅学府</t>
  </si>
  <si>
    <t>天恒·旭辉7号院</t>
  </si>
  <si>
    <t>瑞福园</t>
  </si>
  <si>
    <t>BDA国际企业大道</t>
  </si>
  <si>
    <t>亦庄核心区南部</t>
  </si>
  <si>
    <t>大兴金茂悦</t>
  </si>
  <si>
    <t>龙熙旭辉·6號院</t>
  </si>
  <si>
    <t>远洋天著</t>
  </si>
  <si>
    <t>颐璟万和</t>
  </si>
  <si>
    <t>金悦府</t>
  </si>
  <si>
    <t>海悦公馆</t>
  </si>
  <si>
    <t>珺悦中心</t>
  </si>
  <si>
    <t>恒大翡翠华庭</t>
  </si>
  <si>
    <t>亦庄·金茂府</t>
  </si>
  <si>
    <t>旭辉·一合相</t>
  </si>
  <si>
    <t>北京经开·荣京道</t>
  </si>
  <si>
    <t>首开住总·国悦居</t>
  </si>
  <si>
    <t>兴宏雅苑</t>
  </si>
  <si>
    <t>绿城阳光公馆</t>
  </si>
  <si>
    <t>旧宫西</t>
  </si>
  <si>
    <t>南海子体育中心</t>
  </si>
  <si>
    <t>南海子</t>
  </si>
  <si>
    <t>中国铁建智慧港</t>
  </si>
  <si>
    <t>蓝桥驿苑</t>
  </si>
  <si>
    <t>和悦璞云</t>
    <phoneticPr fontId="224" type="noConversion"/>
  </si>
  <si>
    <t>航城壹号</t>
    <phoneticPr fontId="224" type="noConversion"/>
  </si>
  <si>
    <t>契税</t>
    <phoneticPr fontId="224" type="noConversion"/>
  </si>
  <si>
    <t>印花税</t>
    <phoneticPr fontId="224" type="noConversion"/>
  </si>
  <si>
    <t>拿地价</t>
    <phoneticPr fontId="224" type="noConversion"/>
  </si>
  <si>
    <t>办公建面</t>
    <phoneticPr fontId="224" type="noConversion"/>
  </si>
  <si>
    <t>中海云筑</t>
    <phoneticPr fontId="224" type="noConversion"/>
  </si>
  <si>
    <t>住总万科橙</t>
    <phoneticPr fontId="224" type="noConversion"/>
  </si>
  <si>
    <t>熙悦宸著</t>
    <phoneticPr fontId="224" type="noConversion"/>
  </si>
  <si>
    <t>中国铁建·花语金郡</t>
    <phoneticPr fontId="224" type="noConversion"/>
  </si>
  <si>
    <t>中建T5未来住区</t>
    <phoneticPr fontId="224" type="noConversion"/>
  </si>
  <si>
    <t>巨燕·燕京府</t>
    <phoneticPr fontId="224" type="noConversion"/>
  </si>
  <si>
    <t>北京建工·揽星樾</t>
    <phoneticPr fontId="224" type="noConversion"/>
  </si>
  <si>
    <t>紫禁壹号院</t>
    <phoneticPr fontId="224" type="noConversion"/>
  </si>
  <si>
    <t>中冶·德贤公馆</t>
    <phoneticPr fontId="224" type="noConversion"/>
  </si>
  <si>
    <t>天恒世界集</t>
    <phoneticPr fontId="224" type="noConversion"/>
  </si>
  <si>
    <t>住星嘉园</t>
    <phoneticPr fontId="224" type="noConversion"/>
  </si>
  <si>
    <t>住总万科橙</t>
    <phoneticPr fontId="27" type="noConversion"/>
  </si>
  <si>
    <t>兴创国际中心</t>
    <phoneticPr fontId="224" type="noConversion"/>
  </si>
  <si>
    <t>万科天地</t>
    <phoneticPr fontId="224" type="noConversion"/>
  </si>
  <si>
    <t>住总如院</t>
    <phoneticPr fontId="224" type="noConversion"/>
  </si>
  <si>
    <t>首开龙湖天琅</t>
    <phoneticPr fontId="224" type="noConversion"/>
  </si>
  <si>
    <t>已全部缴纳</t>
    <phoneticPr fontId="3" type="noConversion"/>
  </si>
  <si>
    <t>已缴纳</t>
    <phoneticPr fontId="224" type="noConversion"/>
  </si>
  <si>
    <t>城镇基础设施建设费</t>
    <phoneticPr fontId="224" type="noConversion"/>
  </si>
  <si>
    <t>已全部缴纳</t>
  </si>
  <si>
    <t>F81 集体产业用地(建设共有产权住房)</t>
    <phoneticPr fontId="224" type="noConversion"/>
  </si>
  <si>
    <t>可售楼面价</t>
    <phoneticPr fontId="26" type="noConversion"/>
  </si>
  <si>
    <t>不规则</t>
    <phoneticPr fontId="26"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</si>
  <si>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</si>
  <si>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</si>
  <si>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</si>
  <si>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</si>
  <si>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</si>
  <si>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t>普通</t>
    <phoneticPr fontId="21"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</si>
  <si>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</si>
  <si>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</si>
  <si>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</si>
  <si>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t>单个面积</t>
    <phoneticPr fontId="15" type="noConversion"/>
  </si>
  <si>
    <t>规则</t>
  </si>
  <si>
    <t>建面</t>
    <phoneticPr fontId="3" type="noConversion"/>
  </si>
  <si>
    <t>非人防</t>
    <phoneticPr fontId="3" type="noConversion"/>
  </si>
  <si>
    <t>人防</t>
    <phoneticPr fontId="3" type="noConversion"/>
  </si>
  <si>
    <t>个数</t>
    <phoneticPr fontId="3" type="noConversion"/>
  </si>
  <si>
    <r>
      <rPr>
        <sz val="10"/>
        <color indexed="8"/>
        <rFont val="宋体"/>
        <family val="3"/>
        <charset val="134"/>
      </rPr>
      <t>按</t>
    </r>
    <r>
      <rPr>
        <sz val="10"/>
        <color indexed="8"/>
        <rFont val="Arial"/>
        <family val="2"/>
      </rPr>
      <t>1</t>
    </r>
    <r>
      <rPr>
        <sz val="10"/>
        <color indexed="8"/>
        <rFont val="宋体"/>
        <family val="3"/>
        <charset val="134"/>
      </rPr>
      <t>组</t>
    </r>
    <r>
      <rPr>
        <sz val="10"/>
        <color indexed="8"/>
        <rFont val="Arial"/>
        <family val="2"/>
      </rPr>
      <t>2</t>
    </r>
    <r>
      <rPr>
        <sz val="10"/>
        <color indexed="8"/>
        <rFont val="宋体"/>
        <family val="3"/>
        <charset val="134"/>
      </rPr>
      <t>个设定，共</t>
    </r>
    <r>
      <rPr>
        <sz val="10"/>
        <color indexed="8"/>
        <rFont val="Arial"/>
        <family val="2"/>
      </rPr>
      <t>59</t>
    </r>
    <r>
      <rPr>
        <sz val="10"/>
        <color indexed="8"/>
        <rFont val="宋体"/>
        <family val="3"/>
        <charset val="134"/>
      </rPr>
      <t>组</t>
    </r>
    <phoneticPr fontId="3" type="noConversion"/>
  </si>
  <si>
    <t>设定单个车位建面</t>
    <phoneticPr fontId="3" type="noConversion"/>
  </si>
  <si>
    <r>
      <rPr>
        <sz val="10"/>
        <color indexed="8"/>
        <rFont val="宋体"/>
        <family val="3"/>
        <charset val="134"/>
      </rPr>
      <t>设定占地面积车位个数</t>
    </r>
    <r>
      <rPr>
        <sz val="10"/>
        <color indexed="8"/>
        <rFont val="Arial"/>
        <family val="2"/>
      </rPr>
      <t xml:space="preserve"> </t>
    </r>
    <phoneticPr fontId="3" type="noConversion"/>
  </si>
  <si>
    <t>合计</t>
    <phoneticPr fontId="3" type="noConversion"/>
  </si>
  <si>
    <t>类型</t>
    <phoneticPr fontId="3" type="noConversion"/>
  </si>
  <si>
    <r>
      <rPr>
        <b/>
        <sz val="16"/>
        <rFont val="宋体"/>
        <family val="3"/>
        <charset val="134"/>
      </rPr>
      <t>中建</t>
    </r>
    <r>
      <rPr>
        <b/>
        <sz val="16"/>
        <rFont val="Arial"/>
        <family val="2"/>
      </rPr>
      <t>T5</t>
    </r>
    <r>
      <rPr>
        <b/>
        <sz val="16"/>
        <rFont val="宋体"/>
        <family val="3"/>
        <charset val="134"/>
      </rPr>
      <t>未来住区</t>
    </r>
    <phoneticPr fontId="26" type="noConversion"/>
  </si>
  <si>
    <t>经营性用途建面合计</t>
    <phoneticPr fontId="224" type="noConversion"/>
  </si>
  <si>
    <r>
      <rPr>
        <b/>
        <sz val="16"/>
        <rFont val="宋体"/>
        <family val="3"/>
        <charset val="134"/>
      </rPr>
      <t>巨燕</t>
    </r>
    <r>
      <rPr>
        <b/>
        <sz val="16"/>
        <rFont val="Arial"/>
        <family val="2"/>
      </rPr>
      <t>·</t>
    </r>
    <r>
      <rPr>
        <b/>
        <sz val="16"/>
        <rFont val="宋体"/>
        <family val="3"/>
        <charset val="134"/>
      </rPr>
      <t>燕京府</t>
    </r>
    <phoneticPr fontId="26" type="noConversion"/>
  </si>
  <si>
    <r>
      <rPr>
        <b/>
        <sz val="16"/>
        <rFont val="宋体"/>
        <family val="3"/>
        <charset val="134"/>
      </rPr>
      <t>北京建工</t>
    </r>
    <r>
      <rPr>
        <b/>
        <sz val="16"/>
        <rFont val="Arial"/>
        <family val="2"/>
      </rPr>
      <t>·</t>
    </r>
    <r>
      <rPr>
        <b/>
        <sz val="16"/>
        <rFont val="宋体"/>
        <family val="3"/>
        <charset val="134"/>
      </rPr>
      <t>揽星樾</t>
    </r>
    <phoneticPr fontId="26" type="noConversion"/>
  </si>
  <si>
    <t>和悦璞云</t>
    <phoneticPr fontId="224" type="noConversion"/>
  </si>
  <si>
    <t>商业占住宅比例</t>
    <phoneticPr fontId="26" type="noConversion"/>
  </si>
  <si>
    <t>估价对象商业占住宅比例</t>
    <phoneticPr fontId="224" type="noConversion"/>
  </si>
  <si>
    <t>办公占住宅比例</t>
    <phoneticPr fontId="224" type="noConversion"/>
  </si>
  <si>
    <t>经营性用途单价</t>
    <phoneticPr fontId="224" type="noConversion"/>
  </si>
  <si>
    <t>可售住宅单价</t>
    <phoneticPr fontId="224" type="noConversion"/>
  </si>
  <si>
    <t>总建面</t>
    <phoneticPr fontId="224" type="noConversion"/>
  </si>
  <si>
    <t>配建面积</t>
    <phoneticPr fontId="224" type="noConversion"/>
  </si>
  <si>
    <t>合计</t>
    <phoneticPr fontId="224" type="noConversion"/>
  </si>
  <si>
    <t>配建成本</t>
    <phoneticPr fontId="224" type="noConversion"/>
  </si>
  <si>
    <t>可售住宅建面</t>
    <phoneticPr fontId="224" type="noConversion"/>
  </si>
  <si>
    <t>预评</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</si>
</sst>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u/>
      <sz val="11"/>
      <color theme="10"/>
      <name val="宋体"/>
      <family val="3"/>
      <charset val="134"/>
      <scheme val="minor"/>
    </font>
    <font>
      <sz val="11"/>
      <color theme="9" tint="-0.249977111117893"/>
      <name val="宋体"/>
      <family val="3"/>
      <charset val="134"/>
    </font>
    <font>
      <b/>
      <sz val="16"/>
      <name val="Arial"/>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rgb="FF00B0F0"/>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xf numFmtId="0" fontId="301" fillId="0" borderId="0" applyNumberFormat="0" applyFill="0" applyBorder="0" applyAlignment="0" applyProtection="0">
      <alignment vertical="center"/>
    </xf>
  </cellStyleXfs>
  <cellXfs count="380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1" fontId="67" fillId="12" borderId="0" xfId="0" applyNumberFormat="1" applyFont="1" applyFill="1" applyProtection="1">
      <alignment vertical="center"/>
      <protection locked="0"/>
    </xf>
    <xf numFmtId="0" fontId="77" fillId="0" borderId="64"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177" fontId="82" fillId="5" borderId="2" xfId="6" applyNumberFormat="1" applyFont="1" applyFill="1" applyBorder="1" applyAlignment="1">
      <alignment horizontal="left" vertical="center"/>
    </xf>
    <xf numFmtId="2" fontId="102" fillId="5" borderId="0" xfId="0" applyNumberFormat="1" applyFont="1" applyFill="1" applyProtection="1">
      <alignment vertical="center"/>
      <protection locked="0"/>
    </xf>
    <xf numFmtId="0" fontId="149" fillId="6" borderId="11" xfId="0" applyFont="1" applyFill="1" applyBorder="1" applyAlignment="1" applyProtection="1">
      <alignment horizontal="center" vertical="center"/>
      <protection locked="0"/>
    </xf>
    <xf numFmtId="0" fontId="154" fillId="5" borderId="2" xfId="0" applyFont="1" applyFill="1" applyBorder="1" applyAlignment="1">
      <alignment horizontal="center" vertical="center" wrapText="1"/>
    </xf>
    <xf numFmtId="9" fontId="3" fillId="0" borderId="0" xfId="6" applyNumberFormat="1" applyFont="1" applyAlignment="1" applyProtection="1">
      <alignment horizontal="left"/>
      <protection locked="0"/>
    </xf>
    <xf numFmtId="185" fontId="3" fillId="0" borderId="0" xfId="6" applyNumberFormat="1" applyFont="1" applyAlignment="1" applyProtection="1">
      <alignment horizontal="left"/>
      <protection locked="0"/>
    </xf>
    <xf numFmtId="0" fontId="160" fillId="0" borderId="0" xfId="18" applyFont="1" applyAlignment="1">
      <alignment horizontal="left" vertical="center"/>
    </xf>
    <xf numFmtId="0" fontId="166" fillId="0" borderId="0" xfId="18" applyFont="1" applyAlignment="1">
      <alignment horizontal="left" vertical="center"/>
    </xf>
    <xf numFmtId="14" fontId="166" fillId="0" borderId="0" xfId="18" applyNumberFormat="1" applyFont="1" applyAlignment="1">
      <alignment horizontal="left" vertical="center"/>
    </xf>
    <xf numFmtId="14" fontId="160" fillId="0" borderId="0" xfId="18" applyNumberFormat="1" applyFont="1" applyAlignment="1">
      <alignment horizontal="left" vertical="center"/>
    </xf>
    <xf numFmtId="0" fontId="160" fillId="6" borderId="0" xfId="18" applyFont="1" applyFill="1" applyAlignment="1">
      <alignment horizontal="left" vertical="center"/>
    </xf>
    <xf numFmtId="0" fontId="77" fillId="12" borderId="0" xfId="0" applyFont="1" applyFill="1" applyProtection="1">
      <alignment vertical="center"/>
      <protection locked="0"/>
    </xf>
    <xf numFmtId="0" fontId="160" fillId="0" borderId="0" xfId="0" applyFont="1" applyAlignment="1">
      <alignment horizontal="left" vertical="center"/>
    </xf>
    <xf numFmtId="0" fontId="160" fillId="0" borderId="0" xfId="0" applyFont="1" applyAlignment="1">
      <alignment horizontal="left" vertical="center" wrapText="1"/>
    </xf>
    <xf numFmtId="0" fontId="160" fillId="9" borderId="0" xfId="0" applyFont="1" applyFill="1" applyAlignment="1">
      <alignment horizontal="left" vertical="center"/>
    </xf>
    <xf numFmtId="0" fontId="166" fillId="0" borderId="0" xfId="0" applyFont="1" applyAlignment="1">
      <alignment horizontal="left" vertical="center"/>
    </xf>
    <xf numFmtId="0" fontId="160" fillId="24" borderId="0" xfId="0" applyFont="1" applyFill="1" applyAlignment="1">
      <alignment horizontal="left" vertical="center"/>
    </xf>
    <xf numFmtId="0" fontId="301" fillId="0" borderId="0" xfId="19" applyAlignment="1">
      <alignment horizontal="left" vertical="center"/>
    </xf>
    <xf numFmtId="0" fontId="0" fillId="25" borderId="0" xfId="0" applyFill="1" applyAlignment="1">
      <alignment horizontal="left" vertical="center"/>
    </xf>
    <xf numFmtId="0" fontId="141" fillId="25" borderId="0" xfId="0" applyFont="1" applyFill="1" applyAlignment="1">
      <alignment horizontal="left" vertical="center"/>
    </xf>
    <xf numFmtId="0" fontId="141" fillId="0" borderId="0" xfId="0" applyFont="1" applyAlignment="1">
      <alignment horizontal="left" vertical="center"/>
    </xf>
    <xf numFmtId="0" fontId="80" fillId="16" borderId="50" xfId="0"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143" fillId="0" borderId="0" xfId="0" applyFont="1" applyAlignment="1">
      <alignment horizontal="left" vertical="center"/>
    </xf>
    <xf numFmtId="177" fontId="17" fillId="0" borderId="11" xfId="0" applyNumberFormat="1" applyFont="1" applyBorder="1" applyProtection="1">
      <alignment vertical="center"/>
      <protection locked="0"/>
    </xf>
    <xf numFmtId="0" fontId="140" fillId="0" borderId="11" xfId="0" applyFont="1" applyBorder="1" applyAlignment="1" applyProtection="1">
      <alignment horizontal="center" vertical="center" wrapText="1"/>
      <protection locked="0"/>
    </xf>
    <xf numFmtId="0" fontId="303" fillId="12" borderId="0" xfId="0" applyFont="1" applyFill="1" applyProtection="1">
      <alignment vertical="center"/>
      <protection locked="0"/>
    </xf>
    <xf numFmtId="0" fontId="67" fillId="26" borderId="71" xfId="0" applyFont="1" applyFill="1" applyBorder="1" applyAlignment="1" applyProtection="1">
      <alignment horizontal="center" vertical="center" wrapText="1"/>
      <protection locked="0"/>
    </xf>
    <xf numFmtId="0" fontId="67" fillId="26" borderId="2" xfId="0" applyFont="1" applyFill="1" applyBorder="1" applyAlignment="1" applyProtection="1">
      <alignment horizontal="center" vertical="center" wrapText="1"/>
      <protection locked="0"/>
    </xf>
    <xf numFmtId="0" fontId="67" fillId="26" borderId="44" xfId="0" applyFont="1" applyFill="1" applyBorder="1" applyAlignment="1" applyProtection="1">
      <alignment horizontal="center" vertical="center" wrapText="1"/>
      <protection locked="0"/>
    </xf>
    <xf numFmtId="0" fontId="80" fillId="26" borderId="44" xfId="0" applyFont="1" applyFill="1" applyBorder="1" applyAlignment="1" applyProtection="1">
      <alignment horizontal="center" vertical="center" wrapText="1"/>
      <protection locked="0"/>
    </xf>
    <xf numFmtId="0" fontId="77" fillId="26" borderId="74" xfId="0" applyFont="1" applyFill="1" applyBorder="1" applyAlignment="1" applyProtection="1">
      <alignment horizontal="center" vertical="center" wrapText="1"/>
      <protection locked="0"/>
    </xf>
    <xf numFmtId="0" fontId="303" fillId="12" borderId="0" xfId="0" applyFont="1" applyFill="1" applyAlignment="1" applyProtection="1">
      <alignment horizontal="center" vertical="center"/>
      <protection locked="0"/>
    </xf>
    <xf numFmtId="0" fontId="129" fillId="0" borderId="0" xfId="0" applyFont="1" applyAlignment="1" applyProtection="1">
      <protection locked="0"/>
    </xf>
    <xf numFmtId="182" fontId="72" fillId="26" borderId="12" xfId="0" applyNumberFormat="1" applyFont="1" applyFill="1" applyBorder="1" applyAlignment="1" applyProtection="1">
      <alignment horizontal="center" vertical="center"/>
      <protection locked="0"/>
    </xf>
    <xf numFmtId="0" fontId="82" fillId="0" borderId="25" xfId="2" applyFont="1" applyFill="1" applyBorder="1" applyAlignment="1" applyProtection="1">
      <alignment horizontal="center" vertical="center"/>
      <protection locked="0"/>
    </xf>
    <xf numFmtId="179" fontId="82" fillId="0" borderId="2" xfId="6" applyNumberFormat="1" applyFont="1" applyBorder="1" applyAlignment="1" applyProtection="1">
      <alignment horizontal="left" vertical="center"/>
      <protection locked="0"/>
    </xf>
    <xf numFmtId="182" fontId="91" fillId="5" borderId="19" xfId="6" applyNumberFormat="1" applyFont="1" applyFill="1" applyBorder="1" applyAlignment="1">
      <alignment horizontal="left" vertical="center"/>
    </xf>
    <xf numFmtId="49" fontId="80" fillId="26" borderId="11" xfId="0" applyNumberFormat="1" applyFont="1" applyFill="1" applyBorder="1" applyAlignment="1" applyProtection="1">
      <alignment horizontal="center" vertical="center" wrapText="1"/>
      <protection locked="0"/>
    </xf>
    <xf numFmtId="0" fontId="206" fillId="12" borderId="0" xfId="0" applyFont="1" applyFill="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154" fillId="12" borderId="0" xfId="0" applyFont="1" applyFill="1" applyAlignment="1" applyProtection="1">
      <alignment horizontal="center" vertical="center"/>
      <protection locked="0"/>
    </xf>
    <xf numFmtId="0" fontId="72" fillId="12" borderId="0" xfId="0" applyFont="1" applyFill="1" applyAlignment="1" applyProtection="1">
      <alignment horizontal="left" vertical="center"/>
      <protection locked="0"/>
    </xf>
    <xf numFmtId="0" fontId="123" fillId="12" borderId="0" xfId="0" applyFont="1" applyFill="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4" fillId="26" borderId="30" xfId="0" applyFont="1" applyFill="1" applyBorder="1" applyAlignment="1" applyProtection="1">
      <alignment vertical="center" wrapText="1"/>
      <protection locked="0"/>
    </xf>
    <xf numFmtId="0" fontId="140" fillId="26" borderId="6" xfId="0" applyFont="1" applyFill="1" applyBorder="1" applyAlignment="1" applyProtection="1">
      <alignment horizontal="center" vertical="center" wrapText="1"/>
      <protection locked="0"/>
    </xf>
    <xf numFmtId="0" fontId="80" fillId="26" borderId="71" xfId="0" applyFont="1" applyFill="1" applyBorder="1" applyAlignment="1" applyProtection="1">
      <alignment horizontal="center" vertical="center" wrapText="1"/>
      <protection locked="0"/>
    </xf>
    <xf numFmtId="49" fontId="80" fillId="26" borderId="50" xfId="0" applyNumberFormat="1" applyFont="1" applyFill="1" applyBorder="1" applyAlignment="1" applyProtection="1">
      <alignment horizontal="center" vertical="center" wrapText="1"/>
      <protection locked="0"/>
    </xf>
    <xf numFmtId="0" fontId="80" fillId="26" borderId="50" xfId="0" applyFont="1" applyFill="1" applyBorder="1" applyAlignment="1" applyProtection="1">
      <alignment horizontal="center" vertical="center" wrapText="1"/>
      <protection locked="0"/>
    </xf>
    <xf numFmtId="0" fontId="80" fillId="26" borderId="24" xfId="0" applyFont="1" applyFill="1" applyBorder="1" applyAlignment="1" applyProtection="1">
      <alignment horizontal="center" vertical="center" wrapText="1"/>
      <protection locked="0"/>
    </xf>
    <xf numFmtId="0" fontId="80" fillId="26" borderId="20" xfId="0" applyFont="1" applyFill="1" applyBorder="1" applyAlignment="1" applyProtection="1">
      <alignment horizontal="center" vertical="center" wrapText="1"/>
      <protection locked="0"/>
    </xf>
    <xf numFmtId="0" fontId="67" fillId="26" borderId="19" xfId="0" applyFont="1" applyFill="1" applyBorder="1" applyAlignment="1" applyProtection="1">
      <alignment horizontal="center" vertical="center" wrapText="1"/>
      <protection locked="0"/>
    </xf>
    <xf numFmtId="0" fontId="102" fillId="26" borderId="16" xfId="0" applyFont="1" applyFill="1" applyBorder="1" applyAlignment="1" applyProtection="1">
      <alignment horizontal="center" vertical="center" wrapText="1"/>
      <protection locked="0"/>
    </xf>
    <xf numFmtId="0" fontId="208" fillId="5" borderId="0" xfId="0" applyFont="1" applyFill="1" applyAlignment="1" applyProtection="1">
      <alignment horizontal="center" vertical="center"/>
      <protection locked="0"/>
    </xf>
    <xf numFmtId="0" fontId="246" fillId="5" borderId="0" xfId="0" applyFont="1" applyFill="1" applyAlignment="1" applyProtection="1">
      <alignment horizontal="center" vertical="center"/>
      <protection locked="0"/>
    </xf>
    <xf numFmtId="0" fontId="160" fillId="0" borderId="0" xfId="18" applyFont="1" applyAlignment="1">
      <alignment horizontal="left" vertical="center" wrapText="1"/>
    </xf>
    <xf numFmtId="0" fontId="304" fillId="0" borderId="0" xfId="18" applyFont="1" applyAlignment="1">
      <alignment horizontal="left" vertical="center"/>
    </xf>
    <xf numFmtId="9" fontId="160" fillId="0" borderId="0" xfId="16" applyFont="1" applyAlignment="1">
      <alignment horizontal="left" vertical="center"/>
    </xf>
    <xf numFmtId="0" fontId="104" fillId="0" borderId="59" xfId="0" applyFont="1" applyFill="1" applyBorder="1" applyAlignment="1" applyProtection="1">
      <alignment vertical="center" wrapText="1"/>
      <protection locked="0"/>
    </xf>
    <xf numFmtId="0" fontId="104" fillId="0" borderId="30" xfId="0" applyFont="1" applyFill="1" applyBorder="1" applyAlignment="1" applyProtection="1">
      <alignment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2" fillId="0" borderId="11" xfId="0" applyFont="1" applyBorder="1" applyAlignment="1" applyProtection="1">
      <alignment horizontal="center" vertical="center" wrapText="1"/>
      <protection locked="0"/>
    </xf>
    <xf numFmtId="0" fontId="0" fillId="0" borderId="0" xfId="0" applyAlignment="1">
      <alignment horizontal="left" vertical="center"/>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0" borderId="46" xfId="2" applyFont="1" applyFill="1" applyBorder="1" applyAlignment="1" applyProtection="1">
      <alignment horizontal="center" vertical="center"/>
      <protection locked="0"/>
    </xf>
    <xf numFmtId="0" fontId="140" fillId="12" borderId="0" xfId="0" applyFont="1" applyFill="1" applyAlignment="1" applyProtection="1">
      <alignment horizontal="center" vertical="center"/>
      <protection locked="0"/>
    </xf>
    <xf numFmtId="0" fontId="67" fillId="0" borderId="11" xfId="0" applyFont="1" applyFill="1" applyBorder="1" applyProtection="1">
      <alignment vertical="center"/>
      <protection locked="0"/>
    </xf>
    <xf numFmtId="0" fontId="67" fillId="0" borderId="2"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67" fillId="6" borderId="30" xfId="0" applyFont="1" applyFill="1" applyBorder="1" applyAlignment="1" applyProtection="1">
      <alignment horizontal="center" vertical="center" wrapText="1"/>
      <protection locked="0"/>
    </xf>
    <xf numFmtId="0" fontId="67" fillId="6" borderId="59" xfId="0" applyFont="1" applyFill="1" applyBorder="1" applyAlignment="1" applyProtection="1">
      <alignment horizontal="center" vertical="center" wrapText="1"/>
      <protection locked="0"/>
    </xf>
    <xf numFmtId="0" fontId="102" fillId="0" borderId="9" xfId="0" applyFont="1" applyFill="1" applyBorder="1" applyAlignment="1" applyProtection="1">
      <alignment horizontal="center" vertical="center" wrapText="1"/>
      <protection locked="0"/>
    </xf>
    <xf numFmtId="0" fontId="67" fillId="26" borderId="74" xfId="0" applyFont="1" applyFill="1" applyBorder="1" applyAlignment="1" applyProtection="1">
      <alignment horizontal="center" vertical="center" wrapText="1"/>
      <protection locked="0"/>
    </xf>
    <xf numFmtId="0" fontId="91" fillId="26" borderId="48" xfId="0" applyFont="1" applyFill="1" applyBorder="1" applyAlignment="1" applyProtection="1">
      <alignment horizontal="left" vertical="center" wrapText="1"/>
      <protection locked="0"/>
    </xf>
    <xf numFmtId="178" fontId="72" fillId="26" borderId="2" xfId="2" applyNumberFormat="1" applyFont="1" applyFill="1" applyBorder="1" applyAlignment="1" applyProtection="1">
      <alignment horizontal="center" vertical="center"/>
      <protection locked="0"/>
    </xf>
    <xf numFmtId="178" fontId="67" fillId="26" borderId="2" xfId="2" applyNumberFormat="1"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s>
  <dxfs count="19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9.png"/><Relationship Id="rId18" Type="http://schemas.openxmlformats.org/officeDocument/2006/relationships/image" Target="../media/image64.png"/><Relationship Id="rId3" Type="http://schemas.openxmlformats.org/officeDocument/2006/relationships/image" Target="../media/image49.png"/><Relationship Id="rId7" Type="http://schemas.openxmlformats.org/officeDocument/2006/relationships/image" Target="../media/image53.png"/><Relationship Id="rId12" Type="http://schemas.openxmlformats.org/officeDocument/2006/relationships/image" Target="../media/image58.png"/><Relationship Id="rId17" Type="http://schemas.openxmlformats.org/officeDocument/2006/relationships/image" Target="../media/image63.png"/><Relationship Id="rId2" Type="http://schemas.openxmlformats.org/officeDocument/2006/relationships/image" Target="../media/image48.png"/><Relationship Id="rId16" Type="http://schemas.openxmlformats.org/officeDocument/2006/relationships/image" Target="../media/image62.png"/><Relationship Id="rId1" Type="http://schemas.openxmlformats.org/officeDocument/2006/relationships/image" Target="../media/image47.png"/><Relationship Id="rId6" Type="http://schemas.openxmlformats.org/officeDocument/2006/relationships/image" Target="../media/image52.png"/><Relationship Id="rId11" Type="http://schemas.openxmlformats.org/officeDocument/2006/relationships/image" Target="../media/image57.png"/><Relationship Id="rId5" Type="http://schemas.openxmlformats.org/officeDocument/2006/relationships/image" Target="../media/image51.png"/><Relationship Id="rId15" Type="http://schemas.openxmlformats.org/officeDocument/2006/relationships/image" Target="../media/image61.png"/><Relationship Id="rId10" Type="http://schemas.openxmlformats.org/officeDocument/2006/relationships/image" Target="../media/image56.png"/><Relationship Id="rId19" Type="http://schemas.openxmlformats.org/officeDocument/2006/relationships/image" Target="../media/image65.png"/><Relationship Id="rId4" Type="http://schemas.openxmlformats.org/officeDocument/2006/relationships/image" Target="../media/image50.png"/><Relationship Id="rId9" Type="http://schemas.openxmlformats.org/officeDocument/2006/relationships/image" Target="../media/image55.png"/><Relationship Id="rId14" Type="http://schemas.openxmlformats.org/officeDocument/2006/relationships/image" Target="../media/image6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8.png"/><Relationship Id="rId7" Type="http://schemas.openxmlformats.org/officeDocument/2006/relationships/image" Target="../media/image72.png"/><Relationship Id="rId2" Type="http://schemas.openxmlformats.org/officeDocument/2006/relationships/image" Target="../media/image67.png"/><Relationship Id="rId1" Type="http://schemas.openxmlformats.org/officeDocument/2006/relationships/image" Target="../media/image66.png"/><Relationship Id="rId6" Type="http://schemas.openxmlformats.org/officeDocument/2006/relationships/image" Target="../media/image71.png"/><Relationship Id="rId5" Type="http://schemas.openxmlformats.org/officeDocument/2006/relationships/image" Target="../media/image70.png"/><Relationship Id="rId4"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57151</xdr:colOff>
      <xdr:row>0</xdr:row>
      <xdr:rowOff>0</xdr:rowOff>
    </xdr:from>
    <xdr:to>
      <xdr:col>13</xdr:col>
      <xdr:colOff>1</xdr:colOff>
      <xdr:row>34</xdr:row>
      <xdr:rowOff>33500</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6" y="0"/>
          <a:ext cx="6800850" cy="586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95</xdr:row>
      <xdr:rowOff>123825</xdr:rowOff>
    </xdr:from>
    <xdr:to>
      <xdr:col>44</xdr:col>
      <xdr:colOff>400050</xdr:colOff>
      <xdr:row>108</xdr:row>
      <xdr:rowOff>85725</xdr:rowOff>
    </xdr:to>
    <xdr:pic>
      <xdr:nvPicPr>
        <xdr:cNvPr id="2" name="图片 1">
          <a:extLst>
            <a:ext uri="{FF2B5EF4-FFF2-40B4-BE49-F238E27FC236}">
              <a16:creationId xmlns="" xmlns:a16="http://schemas.microsoft.com/office/drawing/2014/main" id="{70EE7F62-7795-3542-2426-07691F7B1CA7}"/>
            </a:ext>
          </a:extLst>
        </xdr:cNvPr>
        <xdr:cNvPicPr>
          <a:picLocks noChangeAspect="1"/>
        </xdr:cNvPicPr>
      </xdr:nvPicPr>
      <xdr:blipFill>
        <a:blip xmlns:r="http://schemas.openxmlformats.org/officeDocument/2006/relationships" r:embed="rId1"/>
        <a:stretch>
          <a:fillRect/>
        </a:stretch>
      </xdr:blipFill>
      <xdr:spPr>
        <a:xfrm>
          <a:off x="0" y="6829425"/>
          <a:ext cx="10248900" cy="1943100"/>
        </a:xfrm>
        <a:prstGeom prst="rect">
          <a:avLst/>
        </a:prstGeom>
      </xdr:spPr>
    </xdr:pic>
    <xdr:clientData/>
  </xdr:twoCellAnchor>
  <xdr:twoCellAnchor editAs="oneCell">
    <xdr:from>
      <xdr:col>0</xdr:col>
      <xdr:colOff>0</xdr:colOff>
      <xdr:row>111</xdr:row>
      <xdr:rowOff>57150</xdr:rowOff>
    </xdr:from>
    <xdr:to>
      <xdr:col>48</xdr:col>
      <xdr:colOff>65273</xdr:colOff>
      <xdr:row>146</xdr:row>
      <xdr:rowOff>142198</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9201150"/>
          <a:ext cx="11219048" cy="5419048"/>
        </a:xfrm>
        <a:prstGeom prst="rect">
          <a:avLst/>
        </a:prstGeom>
      </xdr:spPr>
    </xdr:pic>
    <xdr:clientData/>
  </xdr:twoCellAnchor>
  <xdr:twoCellAnchor editAs="oneCell">
    <xdr:from>
      <xdr:col>0</xdr:col>
      <xdr:colOff>0</xdr:colOff>
      <xdr:row>147</xdr:row>
      <xdr:rowOff>104775</xdr:rowOff>
    </xdr:from>
    <xdr:to>
      <xdr:col>48</xdr:col>
      <xdr:colOff>141464</xdr:colOff>
      <xdr:row>173</xdr:row>
      <xdr:rowOff>37613</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4735175"/>
          <a:ext cx="11295239" cy="3895238"/>
        </a:xfrm>
        <a:prstGeom prst="rect">
          <a:avLst/>
        </a:prstGeom>
      </xdr:spPr>
    </xdr:pic>
    <xdr:clientData/>
  </xdr:twoCellAnchor>
  <xdr:twoCellAnchor editAs="oneCell">
    <xdr:from>
      <xdr:col>0</xdr:col>
      <xdr:colOff>0</xdr:colOff>
      <xdr:row>174</xdr:row>
      <xdr:rowOff>38100</xdr:rowOff>
    </xdr:from>
    <xdr:to>
      <xdr:col>48</xdr:col>
      <xdr:colOff>103369</xdr:colOff>
      <xdr:row>203</xdr:row>
      <xdr:rowOff>123262</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0" y="18783300"/>
          <a:ext cx="11257144" cy="4504762"/>
        </a:xfrm>
        <a:prstGeom prst="rect">
          <a:avLst/>
        </a:prstGeom>
      </xdr:spPr>
    </xdr:pic>
    <xdr:clientData/>
  </xdr:twoCellAnchor>
  <xdr:twoCellAnchor editAs="oneCell">
    <xdr:from>
      <xdr:col>0</xdr:col>
      <xdr:colOff>0</xdr:colOff>
      <xdr:row>204</xdr:row>
      <xdr:rowOff>123825</xdr:rowOff>
    </xdr:from>
    <xdr:to>
      <xdr:col>46</xdr:col>
      <xdr:colOff>598684</xdr:colOff>
      <xdr:row>235</xdr:row>
      <xdr:rowOff>27997</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0" y="23441025"/>
          <a:ext cx="11133334" cy="4628572"/>
        </a:xfrm>
        <a:prstGeom prst="rect">
          <a:avLst/>
        </a:prstGeom>
      </xdr:spPr>
    </xdr:pic>
    <xdr:clientData/>
  </xdr:twoCellAnchor>
  <xdr:twoCellAnchor editAs="oneCell">
    <xdr:from>
      <xdr:col>0</xdr:col>
      <xdr:colOff>9525</xdr:colOff>
      <xdr:row>236</xdr:row>
      <xdr:rowOff>9525</xdr:rowOff>
    </xdr:from>
    <xdr:to>
      <xdr:col>46</xdr:col>
      <xdr:colOff>617733</xdr:colOff>
      <xdr:row>254</xdr:row>
      <xdr:rowOff>85335</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9525" y="28203525"/>
          <a:ext cx="11142858" cy="3123810"/>
        </a:xfrm>
        <a:prstGeom prst="rect">
          <a:avLst/>
        </a:prstGeom>
      </xdr:spPr>
    </xdr:pic>
    <xdr:clientData/>
  </xdr:twoCellAnchor>
  <xdr:twoCellAnchor editAs="oneCell">
    <xdr:from>
      <xdr:col>0</xdr:col>
      <xdr:colOff>0</xdr:colOff>
      <xdr:row>257</xdr:row>
      <xdr:rowOff>85725</xdr:rowOff>
    </xdr:from>
    <xdr:to>
      <xdr:col>46</xdr:col>
      <xdr:colOff>512970</xdr:colOff>
      <xdr:row>279</xdr:row>
      <xdr:rowOff>75782</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0" y="31480125"/>
          <a:ext cx="11047620" cy="3342857"/>
        </a:xfrm>
        <a:prstGeom prst="rect">
          <a:avLst/>
        </a:prstGeom>
      </xdr:spPr>
    </xdr:pic>
    <xdr:clientData/>
  </xdr:twoCellAnchor>
  <xdr:twoCellAnchor editAs="oneCell">
    <xdr:from>
      <xdr:col>0</xdr:col>
      <xdr:colOff>0</xdr:colOff>
      <xdr:row>279</xdr:row>
      <xdr:rowOff>123825</xdr:rowOff>
    </xdr:from>
    <xdr:to>
      <xdr:col>46</xdr:col>
      <xdr:colOff>551065</xdr:colOff>
      <xdr:row>309</xdr:row>
      <xdr:rowOff>37540</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0" y="34871025"/>
          <a:ext cx="11085715" cy="4485715"/>
        </a:xfrm>
        <a:prstGeom prst="rect">
          <a:avLst/>
        </a:prstGeom>
      </xdr:spPr>
    </xdr:pic>
    <xdr:clientData/>
  </xdr:twoCellAnchor>
  <xdr:twoCellAnchor editAs="oneCell">
    <xdr:from>
      <xdr:col>0</xdr:col>
      <xdr:colOff>0</xdr:colOff>
      <xdr:row>309</xdr:row>
      <xdr:rowOff>133350</xdr:rowOff>
    </xdr:from>
    <xdr:to>
      <xdr:col>46</xdr:col>
      <xdr:colOff>589160</xdr:colOff>
      <xdr:row>335</xdr:row>
      <xdr:rowOff>37617</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9"/>
        <a:stretch>
          <a:fillRect/>
        </a:stretch>
      </xdr:blipFill>
      <xdr:spPr>
        <a:xfrm>
          <a:off x="0" y="39452550"/>
          <a:ext cx="11123810" cy="3866667"/>
        </a:xfrm>
        <a:prstGeom prst="rect">
          <a:avLst/>
        </a:prstGeom>
      </xdr:spPr>
    </xdr:pic>
    <xdr:clientData/>
  </xdr:twoCellAnchor>
  <xdr:twoCellAnchor editAs="oneCell">
    <xdr:from>
      <xdr:col>0</xdr:col>
      <xdr:colOff>0</xdr:colOff>
      <xdr:row>368</xdr:row>
      <xdr:rowOff>57150</xdr:rowOff>
    </xdr:from>
    <xdr:to>
      <xdr:col>32</xdr:col>
      <xdr:colOff>151418</xdr:colOff>
      <xdr:row>404</xdr:row>
      <xdr:rowOff>46941</xdr:rowOff>
    </xdr:to>
    <xdr:pic>
      <xdr:nvPicPr>
        <xdr:cNvPr id="12" name="图片 11">
          <a:extLst>
            <a:ext uri="{FF2B5EF4-FFF2-40B4-BE49-F238E27FC236}">
              <a16:creationId xmlns="" xmlns:a16="http://schemas.microsoft.com/office/drawing/2014/main" id="{00000000-0008-0000-1400-00000C000000}"/>
            </a:ext>
          </a:extLst>
        </xdr:cNvPr>
        <xdr:cNvPicPr>
          <a:picLocks noChangeAspect="1"/>
        </xdr:cNvPicPr>
      </xdr:nvPicPr>
      <xdr:blipFill>
        <a:blip xmlns:r="http://schemas.openxmlformats.org/officeDocument/2006/relationships" r:embed="rId10"/>
        <a:stretch>
          <a:fillRect/>
        </a:stretch>
      </xdr:blipFill>
      <xdr:spPr>
        <a:xfrm>
          <a:off x="0" y="48367950"/>
          <a:ext cx="7857143" cy="5476191"/>
        </a:xfrm>
        <a:prstGeom prst="rect">
          <a:avLst/>
        </a:prstGeom>
      </xdr:spPr>
    </xdr:pic>
    <xdr:clientData/>
  </xdr:twoCellAnchor>
  <xdr:twoCellAnchor editAs="oneCell">
    <xdr:from>
      <xdr:col>0</xdr:col>
      <xdr:colOff>0</xdr:colOff>
      <xdr:row>337</xdr:row>
      <xdr:rowOff>0</xdr:rowOff>
    </xdr:from>
    <xdr:to>
      <xdr:col>46</xdr:col>
      <xdr:colOff>512970</xdr:colOff>
      <xdr:row>366</xdr:row>
      <xdr:rowOff>142305</xdr:rowOff>
    </xdr:to>
    <xdr:pic>
      <xdr:nvPicPr>
        <xdr:cNvPr id="13" name="图片 12">
          <a:extLst>
            <a:ext uri="{FF2B5EF4-FFF2-40B4-BE49-F238E27FC236}">
              <a16:creationId xmlns="" xmlns:a16="http://schemas.microsoft.com/office/drawing/2014/main" id="{00000000-0008-0000-1400-00000D000000}"/>
            </a:ext>
          </a:extLst>
        </xdr:cNvPr>
        <xdr:cNvPicPr>
          <a:picLocks noChangeAspect="1"/>
        </xdr:cNvPicPr>
      </xdr:nvPicPr>
      <xdr:blipFill>
        <a:blip xmlns:r="http://schemas.openxmlformats.org/officeDocument/2006/relationships" r:embed="rId11"/>
        <a:stretch>
          <a:fillRect/>
        </a:stretch>
      </xdr:blipFill>
      <xdr:spPr>
        <a:xfrm>
          <a:off x="0" y="43586400"/>
          <a:ext cx="11047620" cy="4561905"/>
        </a:xfrm>
        <a:prstGeom prst="rect">
          <a:avLst/>
        </a:prstGeom>
      </xdr:spPr>
    </xdr:pic>
    <xdr:clientData/>
  </xdr:twoCellAnchor>
  <xdr:twoCellAnchor editAs="oneCell">
    <xdr:from>
      <xdr:col>0</xdr:col>
      <xdr:colOff>0</xdr:colOff>
      <xdr:row>407</xdr:row>
      <xdr:rowOff>0</xdr:rowOff>
    </xdr:from>
    <xdr:to>
      <xdr:col>48</xdr:col>
      <xdr:colOff>150988</xdr:colOff>
      <xdr:row>440</xdr:row>
      <xdr:rowOff>123181</xdr:rowOff>
    </xdr:to>
    <xdr:pic>
      <xdr:nvPicPr>
        <xdr:cNvPr id="14" name="图片 13">
          <a:extLst>
            <a:ext uri="{FF2B5EF4-FFF2-40B4-BE49-F238E27FC236}">
              <a16:creationId xmlns="" xmlns:a16="http://schemas.microsoft.com/office/drawing/2014/main" id="{00000000-0008-0000-1400-00000E000000}"/>
            </a:ext>
          </a:extLst>
        </xdr:cNvPr>
        <xdr:cNvPicPr>
          <a:picLocks noChangeAspect="1"/>
        </xdr:cNvPicPr>
      </xdr:nvPicPr>
      <xdr:blipFill>
        <a:blip xmlns:r="http://schemas.openxmlformats.org/officeDocument/2006/relationships" r:embed="rId12"/>
        <a:stretch>
          <a:fillRect/>
        </a:stretch>
      </xdr:blipFill>
      <xdr:spPr>
        <a:xfrm>
          <a:off x="0" y="54254400"/>
          <a:ext cx="11304763" cy="5152381"/>
        </a:xfrm>
        <a:prstGeom prst="rect">
          <a:avLst/>
        </a:prstGeom>
      </xdr:spPr>
    </xdr:pic>
    <xdr:clientData/>
  </xdr:twoCellAnchor>
  <xdr:twoCellAnchor editAs="oneCell">
    <xdr:from>
      <xdr:col>0</xdr:col>
      <xdr:colOff>0</xdr:colOff>
      <xdr:row>442</xdr:row>
      <xdr:rowOff>0</xdr:rowOff>
    </xdr:from>
    <xdr:to>
      <xdr:col>46</xdr:col>
      <xdr:colOff>617732</xdr:colOff>
      <xdr:row>470</xdr:row>
      <xdr:rowOff>56610</xdr:rowOff>
    </xdr:to>
    <xdr:pic>
      <xdr:nvPicPr>
        <xdr:cNvPr id="15" name="图片 14">
          <a:extLst>
            <a:ext uri="{FF2B5EF4-FFF2-40B4-BE49-F238E27FC236}">
              <a16:creationId xmlns="" xmlns:a16="http://schemas.microsoft.com/office/drawing/2014/main" id="{00000000-0008-0000-1400-00000F000000}"/>
            </a:ext>
          </a:extLst>
        </xdr:cNvPr>
        <xdr:cNvPicPr>
          <a:picLocks noChangeAspect="1"/>
        </xdr:cNvPicPr>
      </xdr:nvPicPr>
      <xdr:blipFill>
        <a:blip xmlns:r="http://schemas.openxmlformats.org/officeDocument/2006/relationships" r:embed="rId13"/>
        <a:stretch>
          <a:fillRect/>
        </a:stretch>
      </xdr:blipFill>
      <xdr:spPr>
        <a:xfrm>
          <a:off x="0" y="59588400"/>
          <a:ext cx="11152382" cy="4323810"/>
        </a:xfrm>
        <a:prstGeom prst="rect">
          <a:avLst/>
        </a:prstGeom>
      </xdr:spPr>
    </xdr:pic>
    <xdr:clientData/>
  </xdr:twoCellAnchor>
  <xdr:twoCellAnchor editAs="oneCell">
    <xdr:from>
      <xdr:col>0</xdr:col>
      <xdr:colOff>0</xdr:colOff>
      <xdr:row>471</xdr:row>
      <xdr:rowOff>0</xdr:rowOff>
    </xdr:from>
    <xdr:to>
      <xdr:col>48</xdr:col>
      <xdr:colOff>46226</xdr:colOff>
      <xdr:row>500</xdr:row>
      <xdr:rowOff>8972</xdr:rowOff>
    </xdr:to>
    <xdr:pic>
      <xdr:nvPicPr>
        <xdr:cNvPr id="16" name="图片 15">
          <a:extLst>
            <a:ext uri="{FF2B5EF4-FFF2-40B4-BE49-F238E27FC236}">
              <a16:creationId xmlns="" xmlns:a16="http://schemas.microsoft.com/office/drawing/2014/main" id="{00000000-0008-0000-1400-000010000000}"/>
            </a:ext>
          </a:extLst>
        </xdr:cNvPr>
        <xdr:cNvPicPr>
          <a:picLocks noChangeAspect="1"/>
        </xdr:cNvPicPr>
      </xdr:nvPicPr>
      <xdr:blipFill>
        <a:blip xmlns:r="http://schemas.openxmlformats.org/officeDocument/2006/relationships" r:embed="rId14"/>
        <a:stretch>
          <a:fillRect/>
        </a:stretch>
      </xdr:blipFill>
      <xdr:spPr>
        <a:xfrm>
          <a:off x="0" y="64008000"/>
          <a:ext cx="11200001" cy="4428572"/>
        </a:xfrm>
        <a:prstGeom prst="rect">
          <a:avLst/>
        </a:prstGeom>
      </xdr:spPr>
    </xdr:pic>
    <xdr:clientData/>
  </xdr:twoCellAnchor>
  <xdr:twoCellAnchor editAs="oneCell">
    <xdr:from>
      <xdr:col>0</xdr:col>
      <xdr:colOff>0</xdr:colOff>
      <xdr:row>501</xdr:row>
      <xdr:rowOff>0</xdr:rowOff>
    </xdr:from>
    <xdr:to>
      <xdr:col>46</xdr:col>
      <xdr:colOff>151065</xdr:colOff>
      <xdr:row>522</xdr:row>
      <xdr:rowOff>37695</xdr:rowOff>
    </xdr:to>
    <xdr:pic>
      <xdr:nvPicPr>
        <xdr:cNvPr id="17" name="图片 16">
          <a:extLst>
            <a:ext uri="{FF2B5EF4-FFF2-40B4-BE49-F238E27FC236}">
              <a16:creationId xmlns="" xmlns:a16="http://schemas.microsoft.com/office/drawing/2014/main" id="{00000000-0008-0000-1400-000011000000}"/>
            </a:ext>
          </a:extLst>
        </xdr:cNvPr>
        <xdr:cNvPicPr>
          <a:picLocks noChangeAspect="1"/>
        </xdr:cNvPicPr>
      </xdr:nvPicPr>
      <xdr:blipFill>
        <a:blip xmlns:r="http://schemas.openxmlformats.org/officeDocument/2006/relationships" r:embed="rId15"/>
        <a:stretch>
          <a:fillRect/>
        </a:stretch>
      </xdr:blipFill>
      <xdr:spPr>
        <a:xfrm>
          <a:off x="0" y="68580000"/>
          <a:ext cx="10685715" cy="3238095"/>
        </a:xfrm>
        <a:prstGeom prst="rect">
          <a:avLst/>
        </a:prstGeom>
      </xdr:spPr>
    </xdr:pic>
    <xdr:clientData/>
  </xdr:twoCellAnchor>
  <xdr:twoCellAnchor editAs="oneCell">
    <xdr:from>
      <xdr:col>0</xdr:col>
      <xdr:colOff>0</xdr:colOff>
      <xdr:row>523</xdr:row>
      <xdr:rowOff>0</xdr:rowOff>
    </xdr:from>
    <xdr:to>
      <xdr:col>46</xdr:col>
      <xdr:colOff>541541</xdr:colOff>
      <xdr:row>553</xdr:row>
      <xdr:rowOff>113715</xdr:rowOff>
    </xdr:to>
    <xdr:pic>
      <xdr:nvPicPr>
        <xdr:cNvPr id="18" name="图片 17">
          <a:extLst>
            <a:ext uri="{FF2B5EF4-FFF2-40B4-BE49-F238E27FC236}">
              <a16:creationId xmlns="" xmlns:a16="http://schemas.microsoft.com/office/drawing/2014/main" id="{00000000-0008-0000-1400-000012000000}"/>
            </a:ext>
          </a:extLst>
        </xdr:cNvPr>
        <xdr:cNvPicPr>
          <a:picLocks noChangeAspect="1"/>
        </xdr:cNvPicPr>
      </xdr:nvPicPr>
      <xdr:blipFill>
        <a:blip xmlns:r="http://schemas.openxmlformats.org/officeDocument/2006/relationships" r:embed="rId16"/>
        <a:stretch>
          <a:fillRect/>
        </a:stretch>
      </xdr:blipFill>
      <xdr:spPr>
        <a:xfrm>
          <a:off x="0" y="71932800"/>
          <a:ext cx="11076191" cy="4685715"/>
        </a:xfrm>
        <a:prstGeom prst="rect">
          <a:avLst/>
        </a:prstGeom>
      </xdr:spPr>
    </xdr:pic>
    <xdr:clientData/>
  </xdr:twoCellAnchor>
  <xdr:twoCellAnchor editAs="oneCell">
    <xdr:from>
      <xdr:col>0</xdr:col>
      <xdr:colOff>0</xdr:colOff>
      <xdr:row>554</xdr:row>
      <xdr:rowOff>0</xdr:rowOff>
    </xdr:from>
    <xdr:to>
      <xdr:col>47</xdr:col>
      <xdr:colOff>0</xdr:colOff>
      <xdr:row>588</xdr:row>
      <xdr:rowOff>113638</xdr:rowOff>
    </xdr:to>
    <xdr:pic>
      <xdr:nvPicPr>
        <xdr:cNvPr id="19" name="图片 18">
          <a:extLst>
            <a:ext uri="{FF2B5EF4-FFF2-40B4-BE49-F238E27FC236}">
              <a16:creationId xmlns="" xmlns:a16="http://schemas.microsoft.com/office/drawing/2014/main" id="{00000000-0008-0000-1400-000013000000}"/>
            </a:ext>
          </a:extLst>
        </xdr:cNvPr>
        <xdr:cNvPicPr>
          <a:picLocks noChangeAspect="1"/>
        </xdr:cNvPicPr>
      </xdr:nvPicPr>
      <xdr:blipFill>
        <a:blip xmlns:r="http://schemas.openxmlformats.org/officeDocument/2006/relationships" r:embed="rId17"/>
        <a:stretch>
          <a:fillRect/>
        </a:stretch>
      </xdr:blipFill>
      <xdr:spPr>
        <a:xfrm>
          <a:off x="0" y="76657200"/>
          <a:ext cx="11161906" cy="5295238"/>
        </a:xfrm>
        <a:prstGeom prst="rect">
          <a:avLst/>
        </a:prstGeom>
      </xdr:spPr>
    </xdr:pic>
    <xdr:clientData/>
  </xdr:twoCellAnchor>
  <xdr:twoCellAnchor editAs="oneCell">
    <xdr:from>
      <xdr:col>0</xdr:col>
      <xdr:colOff>0</xdr:colOff>
      <xdr:row>589</xdr:row>
      <xdr:rowOff>0</xdr:rowOff>
    </xdr:from>
    <xdr:to>
      <xdr:col>46</xdr:col>
      <xdr:colOff>541541</xdr:colOff>
      <xdr:row>619</xdr:row>
      <xdr:rowOff>85143</xdr:rowOff>
    </xdr:to>
    <xdr:pic>
      <xdr:nvPicPr>
        <xdr:cNvPr id="20" name="图片 19">
          <a:extLst>
            <a:ext uri="{FF2B5EF4-FFF2-40B4-BE49-F238E27FC236}">
              <a16:creationId xmlns="" xmlns:a16="http://schemas.microsoft.com/office/drawing/2014/main" id="{00000000-0008-0000-1400-000014000000}"/>
            </a:ext>
          </a:extLst>
        </xdr:cNvPr>
        <xdr:cNvPicPr>
          <a:picLocks noChangeAspect="1"/>
        </xdr:cNvPicPr>
      </xdr:nvPicPr>
      <xdr:blipFill>
        <a:blip xmlns:r="http://schemas.openxmlformats.org/officeDocument/2006/relationships" r:embed="rId18"/>
        <a:stretch>
          <a:fillRect/>
        </a:stretch>
      </xdr:blipFill>
      <xdr:spPr>
        <a:xfrm>
          <a:off x="0" y="81991200"/>
          <a:ext cx="11076191" cy="4657143"/>
        </a:xfrm>
        <a:prstGeom prst="rect">
          <a:avLst/>
        </a:prstGeom>
      </xdr:spPr>
    </xdr:pic>
    <xdr:clientData/>
  </xdr:twoCellAnchor>
  <xdr:twoCellAnchor editAs="oneCell">
    <xdr:from>
      <xdr:col>0</xdr:col>
      <xdr:colOff>0</xdr:colOff>
      <xdr:row>622</xdr:row>
      <xdr:rowOff>0</xdr:rowOff>
    </xdr:from>
    <xdr:to>
      <xdr:col>48</xdr:col>
      <xdr:colOff>74797</xdr:colOff>
      <xdr:row>655</xdr:row>
      <xdr:rowOff>27943</xdr:rowOff>
    </xdr:to>
    <xdr:pic>
      <xdr:nvPicPr>
        <xdr:cNvPr id="21" name="图片 20">
          <a:extLst>
            <a:ext uri="{FF2B5EF4-FFF2-40B4-BE49-F238E27FC236}">
              <a16:creationId xmlns="" xmlns:a16="http://schemas.microsoft.com/office/drawing/2014/main" id="{00000000-0008-0000-1400-000015000000}"/>
            </a:ext>
          </a:extLst>
        </xdr:cNvPr>
        <xdr:cNvPicPr>
          <a:picLocks noChangeAspect="1"/>
        </xdr:cNvPicPr>
      </xdr:nvPicPr>
      <xdr:blipFill>
        <a:blip xmlns:r="http://schemas.openxmlformats.org/officeDocument/2006/relationships" r:embed="rId19"/>
        <a:stretch>
          <a:fillRect/>
        </a:stretch>
      </xdr:blipFill>
      <xdr:spPr>
        <a:xfrm>
          <a:off x="0" y="87020400"/>
          <a:ext cx="11228572" cy="5057143"/>
        </a:xfrm>
        <a:prstGeom prst="rect">
          <a:avLst/>
        </a:prstGeom>
      </xdr:spPr>
    </xdr:pic>
    <xdr:clientData/>
  </xdr:twoCellAnchor>
  <xdr:twoCellAnchor editAs="oneCell">
    <xdr:from>
      <xdr:col>0</xdr:col>
      <xdr:colOff>0</xdr:colOff>
      <xdr:row>656</xdr:row>
      <xdr:rowOff>0</xdr:rowOff>
    </xdr:from>
    <xdr:to>
      <xdr:col>48</xdr:col>
      <xdr:colOff>17654</xdr:colOff>
      <xdr:row>684</xdr:row>
      <xdr:rowOff>18515</xdr:rowOff>
    </xdr:to>
    <xdr:pic>
      <xdr:nvPicPr>
        <xdr:cNvPr id="22" name="图片 21">
          <a:extLst>
            <a:ext uri="{FF2B5EF4-FFF2-40B4-BE49-F238E27FC236}">
              <a16:creationId xmlns="" xmlns:a16="http://schemas.microsoft.com/office/drawing/2014/main" id="{00000000-0008-0000-1400-000016000000}"/>
            </a:ext>
          </a:extLst>
        </xdr:cNvPr>
        <xdr:cNvPicPr>
          <a:picLocks noChangeAspect="1"/>
        </xdr:cNvPicPr>
      </xdr:nvPicPr>
      <xdr:blipFill>
        <a:blip xmlns:r="http://schemas.openxmlformats.org/officeDocument/2006/relationships" r:embed="rId20"/>
        <a:stretch>
          <a:fillRect/>
        </a:stretch>
      </xdr:blipFill>
      <xdr:spPr>
        <a:xfrm>
          <a:off x="0" y="92202000"/>
          <a:ext cx="11171429" cy="4285715"/>
        </a:xfrm>
        <a:prstGeom prst="rect">
          <a:avLst/>
        </a:prstGeom>
      </xdr:spPr>
    </xdr:pic>
    <xdr:clientData/>
  </xdr:twoCellAnchor>
  <xdr:twoCellAnchor editAs="oneCell">
    <xdr:from>
      <xdr:col>0</xdr:col>
      <xdr:colOff>0</xdr:colOff>
      <xdr:row>685</xdr:row>
      <xdr:rowOff>0</xdr:rowOff>
    </xdr:from>
    <xdr:to>
      <xdr:col>48</xdr:col>
      <xdr:colOff>17654</xdr:colOff>
      <xdr:row>714</xdr:row>
      <xdr:rowOff>113734</xdr:rowOff>
    </xdr:to>
    <xdr:pic>
      <xdr:nvPicPr>
        <xdr:cNvPr id="23" name="图片 22">
          <a:extLst>
            <a:ext uri="{FF2B5EF4-FFF2-40B4-BE49-F238E27FC236}">
              <a16:creationId xmlns="" xmlns:a16="http://schemas.microsoft.com/office/drawing/2014/main" id="{00000000-0008-0000-1400-000017000000}"/>
            </a:ext>
          </a:extLst>
        </xdr:cNvPr>
        <xdr:cNvPicPr>
          <a:picLocks noChangeAspect="1"/>
        </xdr:cNvPicPr>
      </xdr:nvPicPr>
      <xdr:blipFill>
        <a:blip xmlns:r="http://schemas.openxmlformats.org/officeDocument/2006/relationships" r:embed="rId21"/>
        <a:stretch>
          <a:fillRect/>
        </a:stretch>
      </xdr:blipFill>
      <xdr:spPr>
        <a:xfrm>
          <a:off x="0" y="96621600"/>
          <a:ext cx="11171429" cy="4533334"/>
        </a:xfrm>
        <a:prstGeom prst="rect">
          <a:avLst/>
        </a:prstGeom>
      </xdr:spPr>
    </xdr:pic>
    <xdr:clientData/>
  </xdr:twoCellAnchor>
  <xdr:twoCellAnchor editAs="oneCell">
    <xdr:from>
      <xdr:col>0</xdr:col>
      <xdr:colOff>0</xdr:colOff>
      <xdr:row>715</xdr:row>
      <xdr:rowOff>0</xdr:rowOff>
    </xdr:from>
    <xdr:to>
      <xdr:col>46</xdr:col>
      <xdr:colOff>132017</xdr:colOff>
      <xdr:row>735</xdr:row>
      <xdr:rowOff>9143</xdr:rowOff>
    </xdr:to>
    <xdr:pic>
      <xdr:nvPicPr>
        <xdr:cNvPr id="24" name="图片 23">
          <a:extLst>
            <a:ext uri="{FF2B5EF4-FFF2-40B4-BE49-F238E27FC236}">
              <a16:creationId xmlns="" xmlns:a16="http://schemas.microsoft.com/office/drawing/2014/main" id="{00000000-0008-0000-1400-000018000000}"/>
            </a:ext>
          </a:extLst>
        </xdr:cNvPr>
        <xdr:cNvPicPr>
          <a:picLocks noChangeAspect="1"/>
        </xdr:cNvPicPr>
      </xdr:nvPicPr>
      <xdr:blipFill>
        <a:blip xmlns:r="http://schemas.openxmlformats.org/officeDocument/2006/relationships" r:embed="rId22"/>
        <a:stretch>
          <a:fillRect/>
        </a:stretch>
      </xdr:blipFill>
      <xdr:spPr>
        <a:xfrm>
          <a:off x="0" y="101193600"/>
          <a:ext cx="10666667" cy="3057143"/>
        </a:xfrm>
        <a:prstGeom prst="rect">
          <a:avLst/>
        </a:prstGeom>
      </xdr:spPr>
    </xdr:pic>
    <xdr:clientData/>
  </xdr:twoCellAnchor>
  <xdr:twoCellAnchor editAs="oneCell">
    <xdr:from>
      <xdr:col>0</xdr:col>
      <xdr:colOff>0</xdr:colOff>
      <xdr:row>736</xdr:row>
      <xdr:rowOff>0</xdr:rowOff>
    </xdr:from>
    <xdr:to>
      <xdr:col>46</xdr:col>
      <xdr:colOff>217732</xdr:colOff>
      <xdr:row>766</xdr:row>
      <xdr:rowOff>113715</xdr:rowOff>
    </xdr:to>
    <xdr:pic>
      <xdr:nvPicPr>
        <xdr:cNvPr id="25" name="图片 24">
          <a:extLst>
            <a:ext uri="{FF2B5EF4-FFF2-40B4-BE49-F238E27FC236}">
              <a16:creationId xmlns="" xmlns:a16="http://schemas.microsoft.com/office/drawing/2014/main" id="{00000000-0008-0000-1400-000019000000}"/>
            </a:ext>
          </a:extLst>
        </xdr:cNvPr>
        <xdr:cNvPicPr>
          <a:picLocks noChangeAspect="1"/>
        </xdr:cNvPicPr>
      </xdr:nvPicPr>
      <xdr:blipFill>
        <a:blip xmlns:r="http://schemas.openxmlformats.org/officeDocument/2006/relationships" r:embed="rId23"/>
        <a:stretch>
          <a:fillRect/>
        </a:stretch>
      </xdr:blipFill>
      <xdr:spPr>
        <a:xfrm>
          <a:off x="0" y="104394000"/>
          <a:ext cx="10752382" cy="4685715"/>
        </a:xfrm>
        <a:prstGeom prst="rect">
          <a:avLst/>
        </a:prstGeom>
      </xdr:spPr>
    </xdr:pic>
    <xdr:clientData/>
  </xdr:twoCellAnchor>
  <xdr:twoCellAnchor editAs="oneCell">
    <xdr:from>
      <xdr:col>0</xdr:col>
      <xdr:colOff>0</xdr:colOff>
      <xdr:row>767</xdr:row>
      <xdr:rowOff>0</xdr:rowOff>
    </xdr:from>
    <xdr:to>
      <xdr:col>44</xdr:col>
      <xdr:colOff>341627</xdr:colOff>
      <xdr:row>791</xdr:row>
      <xdr:rowOff>75734</xdr:rowOff>
    </xdr:to>
    <xdr:pic>
      <xdr:nvPicPr>
        <xdr:cNvPr id="26" name="图片 25">
          <a:extLst>
            <a:ext uri="{FF2B5EF4-FFF2-40B4-BE49-F238E27FC236}">
              <a16:creationId xmlns="" xmlns:a16="http://schemas.microsoft.com/office/drawing/2014/main" id="{00000000-0008-0000-1400-00001A000000}"/>
            </a:ext>
          </a:extLst>
        </xdr:cNvPr>
        <xdr:cNvPicPr>
          <a:picLocks noChangeAspect="1"/>
        </xdr:cNvPicPr>
      </xdr:nvPicPr>
      <xdr:blipFill>
        <a:blip xmlns:r="http://schemas.openxmlformats.org/officeDocument/2006/relationships" r:embed="rId24"/>
        <a:stretch>
          <a:fillRect/>
        </a:stretch>
      </xdr:blipFill>
      <xdr:spPr>
        <a:xfrm>
          <a:off x="0" y="109118400"/>
          <a:ext cx="10190477" cy="3733334"/>
        </a:xfrm>
        <a:prstGeom prst="rect">
          <a:avLst/>
        </a:prstGeom>
      </xdr:spPr>
    </xdr:pic>
    <xdr:clientData/>
  </xdr:twoCellAnchor>
  <xdr:twoCellAnchor editAs="oneCell">
    <xdr:from>
      <xdr:col>0</xdr:col>
      <xdr:colOff>0</xdr:colOff>
      <xdr:row>792</xdr:row>
      <xdr:rowOff>0</xdr:rowOff>
    </xdr:from>
    <xdr:to>
      <xdr:col>46</xdr:col>
      <xdr:colOff>512970</xdr:colOff>
      <xdr:row>822</xdr:row>
      <xdr:rowOff>8953</xdr:rowOff>
    </xdr:to>
    <xdr:pic>
      <xdr:nvPicPr>
        <xdr:cNvPr id="27" name="图片 26">
          <a:extLst>
            <a:ext uri="{FF2B5EF4-FFF2-40B4-BE49-F238E27FC236}">
              <a16:creationId xmlns="" xmlns:a16="http://schemas.microsoft.com/office/drawing/2014/main" id="{00000000-0008-0000-1400-00001B000000}"/>
            </a:ext>
          </a:extLst>
        </xdr:cNvPr>
        <xdr:cNvPicPr>
          <a:picLocks noChangeAspect="1"/>
        </xdr:cNvPicPr>
      </xdr:nvPicPr>
      <xdr:blipFill>
        <a:blip xmlns:r="http://schemas.openxmlformats.org/officeDocument/2006/relationships" r:embed="rId25"/>
        <a:stretch>
          <a:fillRect/>
        </a:stretch>
      </xdr:blipFill>
      <xdr:spPr>
        <a:xfrm>
          <a:off x="0" y="112928400"/>
          <a:ext cx="11047620" cy="4580953"/>
        </a:xfrm>
        <a:prstGeom prst="rect">
          <a:avLst/>
        </a:prstGeom>
      </xdr:spPr>
    </xdr:pic>
    <xdr:clientData/>
  </xdr:twoCellAnchor>
  <xdr:twoCellAnchor editAs="oneCell">
    <xdr:from>
      <xdr:col>0</xdr:col>
      <xdr:colOff>0</xdr:colOff>
      <xdr:row>59</xdr:row>
      <xdr:rowOff>0</xdr:rowOff>
    </xdr:from>
    <xdr:to>
      <xdr:col>32</xdr:col>
      <xdr:colOff>741895</xdr:colOff>
      <xdr:row>93</xdr:row>
      <xdr:rowOff>37448</xdr:rowOff>
    </xdr:to>
    <xdr:pic>
      <xdr:nvPicPr>
        <xdr:cNvPr id="28" name="图片 27">
          <a:extLst>
            <a:ext uri="{FF2B5EF4-FFF2-40B4-BE49-F238E27FC236}">
              <a16:creationId xmlns="" xmlns:a16="http://schemas.microsoft.com/office/drawing/2014/main" id="{00000000-0008-0000-1400-00001C000000}"/>
            </a:ext>
          </a:extLst>
        </xdr:cNvPr>
        <xdr:cNvPicPr>
          <a:picLocks noChangeAspect="1"/>
        </xdr:cNvPicPr>
      </xdr:nvPicPr>
      <xdr:blipFill>
        <a:blip xmlns:r="http://schemas.openxmlformats.org/officeDocument/2006/relationships" r:embed="rId26"/>
        <a:stretch>
          <a:fillRect/>
        </a:stretch>
      </xdr:blipFill>
      <xdr:spPr>
        <a:xfrm>
          <a:off x="0" y="1219200"/>
          <a:ext cx="8447620" cy="5219048"/>
        </a:xfrm>
        <a:prstGeom prst="rect">
          <a:avLst/>
        </a:prstGeom>
      </xdr:spPr>
    </xdr:pic>
    <xdr:clientData/>
  </xdr:twoCellAnchor>
  <xdr:twoCellAnchor editAs="oneCell">
    <xdr:from>
      <xdr:col>37</xdr:col>
      <xdr:colOff>0</xdr:colOff>
      <xdr:row>59</xdr:row>
      <xdr:rowOff>0</xdr:rowOff>
    </xdr:from>
    <xdr:to>
      <xdr:col>71</xdr:col>
      <xdr:colOff>227213</xdr:colOff>
      <xdr:row>101</xdr:row>
      <xdr:rowOff>94439</xdr:rowOff>
    </xdr:to>
    <xdr:pic>
      <xdr:nvPicPr>
        <xdr:cNvPr id="29" name="图片 28">
          <a:extLst>
            <a:ext uri="{FF2B5EF4-FFF2-40B4-BE49-F238E27FC236}">
              <a16:creationId xmlns="" xmlns:a16="http://schemas.microsoft.com/office/drawing/2014/main" id="{00000000-0008-0000-1400-00001D000000}"/>
            </a:ext>
          </a:extLst>
        </xdr:cNvPr>
        <xdr:cNvPicPr>
          <a:picLocks noChangeAspect="1"/>
        </xdr:cNvPicPr>
      </xdr:nvPicPr>
      <xdr:blipFill>
        <a:blip xmlns:r="http://schemas.openxmlformats.org/officeDocument/2006/relationships" r:embed="rId27"/>
        <a:stretch>
          <a:fillRect/>
        </a:stretch>
      </xdr:blipFill>
      <xdr:spPr>
        <a:xfrm>
          <a:off x="9172575" y="1238250"/>
          <a:ext cx="11104763" cy="64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9</xdr:col>
      <xdr:colOff>1513119</xdr:colOff>
      <xdr:row>99</xdr:row>
      <xdr:rowOff>170722</xdr:rowOff>
    </xdr:to>
    <xdr:pic>
      <xdr:nvPicPr>
        <xdr:cNvPr id="2" name="图片 1">
          <a:extLst>
            <a:ext uri="{FF2B5EF4-FFF2-40B4-BE49-F238E27FC236}">
              <a16:creationId xmlns="" xmlns:a16="http://schemas.microsoft.com/office/drawing/2014/main" id="{E44D2321-66C8-467F-8DC0-A8D539FC2DF1}"/>
            </a:ext>
          </a:extLst>
        </xdr:cNvPr>
        <xdr:cNvPicPr>
          <a:picLocks noChangeAspect="1"/>
        </xdr:cNvPicPr>
      </xdr:nvPicPr>
      <xdr:blipFill>
        <a:blip xmlns:r="http://schemas.openxmlformats.org/officeDocument/2006/relationships" r:embed="rId1"/>
        <a:stretch>
          <a:fillRect/>
        </a:stretch>
      </xdr:blipFill>
      <xdr:spPr>
        <a:xfrm>
          <a:off x="0" y="11315700"/>
          <a:ext cx="10857144" cy="5828572"/>
        </a:xfrm>
        <a:prstGeom prst="rect">
          <a:avLst/>
        </a:prstGeom>
      </xdr:spPr>
    </xdr:pic>
    <xdr:clientData/>
  </xdr:twoCellAnchor>
  <xdr:twoCellAnchor editAs="oneCell">
    <xdr:from>
      <xdr:col>0</xdr:col>
      <xdr:colOff>0</xdr:colOff>
      <xdr:row>100</xdr:row>
      <xdr:rowOff>47625</xdr:rowOff>
    </xdr:from>
    <xdr:to>
      <xdr:col>10</xdr:col>
      <xdr:colOff>198642</xdr:colOff>
      <xdr:row>116</xdr:row>
      <xdr:rowOff>113949</xdr:rowOff>
    </xdr:to>
    <xdr:pic>
      <xdr:nvPicPr>
        <xdr:cNvPr id="3" name="图片 2">
          <a:extLst>
            <a:ext uri="{FF2B5EF4-FFF2-40B4-BE49-F238E27FC236}">
              <a16:creationId xmlns="" xmlns:a16="http://schemas.microsoft.com/office/drawing/2014/main" id="{28B167C5-6202-4098-B498-F470B94AA513}"/>
            </a:ext>
          </a:extLst>
        </xdr:cNvPr>
        <xdr:cNvPicPr>
          <a:picLocks noChangeAspect="1"/>
        </xdr:cNvPicPr>
      </xdr:nvPicPr>
      <xdr:blipFill>
        <a:blip xmlns:r="http://schemas.openxmlformats.org/officeDocument/2006/relationships" r:embed="rId2"/>
        <a:stretch>
          <a:fillRect/>
        </a:stretch>
      </xdr:blipFill>
      <xdr:spPr>
        <a:xfrm>
          <a:off x="0" y="17192625"/>
          <a:ext cx="11066667" cy="2809524"/>
        </a:xfrm>
        <a:prstGeom prst="rect">
          <a:avLst/>
        </a:prstGeom>
      </xdr:spPr>
    </xdr:pic>
    <xdr:clientData/>
  </xdr:twoCellAnchor>
  <xdr:twoCellAnchor editAs="oneCell">
    <xdr:from>
      <xdr:col>0</xdr:col>
      <xdr:colOff>0</xdr:colOff>
      <xdr:row>117</xdr:row>
      <xdr:rowOff>47625</xdr:rowOff>
    </xdr:from>
    <xdr:to>
      <xdr:col>10</xdr:col>
      <xdr:colOff>379595</xdr:colOff>
      <xdr:row>135</xdr:row>
      <xdr:rowOff>113906</xdr:rowOff>
    </xdr:to>
    <xdr:pic>
      <xdr:nvPicPr>
        <xdr:cNvPr id="4" name="图片 3">
          <a:extLst>
            <a:ext uri="{FF2B5EF4-FFF2-40B4-BE49-F238E27FC236}">
              <a16:creationId xmlns="" xmlns:a16="http://schemas.microsoft.com/office/drawing/2014/main" id="{B3275D2C-4DAE-47D8-8CEC-FCBA91D52A30}"/>
            </a:ext>
          </a:extLst>
        </xdr:cNvPr>
        <xdr:cNvPicPr>
          <a:picLocks noChangeAspect="1"/>
        </xdr:cNvPicPr>
      </xdr:nvPicPr>
      <xdr:blipFill>
        <a:blip xmlns:r="http://schemas.openxmlformats.org/officeDocument/2006/relationships" r:embed="rId3"/>
        <a:stretch>
          <a:fillRect/>
        </a:stretch>
      </xdr:blipFill>
      <xdr:spPr>
        <a:xfrm>
          <a:off x="0" y="20107275"/>
          <a:ext cx="11247620" cy="3152381"/>
        </a:xfrm>
        <a:prstGeom prst="rect">
          <a:avLst/>
        </a:prstGeom>
      </xdr:spPr>
    </xdr:pic>
    <xdr:clientData/>
  </xdr:twoCellAnchor>
  <xdr:twoCellAnchor editAs="oneCell">
    <xdr:from>
      <xdr:col>0</xdr:col>
      <xdr:colOff>0</xdr:colOff>
      <xdr:row>136</xdr:row>
      <xdr:rowOff>47625</xdr:rowOff>
    </xdr:from>
    <xdr:to>
      <xdr:col>10</xdr:col>
      <xdr:colOff>65309</xdr:colOff>
      <xdr:row>163</xdr:row>
      <xdr:rowOff>8952</xdr:rowOff>
    </xdr:to>
    <xdr:pic>
      <xdr:nvPicPr>
        <xdr:cNvPr id="5" name="图片 4">
          <a:extLst>
            <a:ext uri="{FF2B5EF4-FFF2-40B4-BE49-F238E27FC236}">
              <a16:creationId xmlns="" xmlns:a16="http://schemas.microsoft.com/office/drawing/2014/main" id="{F198C820-6D9C-40C6-918C-25B29E0A999F}"/>
            </a:ext>
          </a:extLst>
        </xdr:cNvPr>
        <xdr:cNvPicPr>
          <a:picLocks noChangeAspect="1"/>
        </xdr:cNvPicPr>
      </xdr:nvPicPr>
      <xdr:blipFill>
        <a:blip xmlns:r="http://schemas.openxmlformats.org/officeDocument/2006/relationships" r:embed="rId4"/>
        <a:stretch>
          <a:fillRect/>
        </a:stretch>
      </xdr:blipFill>
      <xdr:spPr>
        <a:xfrm>
          <a:off x="0" y="23364825"/>
          <a:ext cx="10933334" cy="4590477"/>
        </a:xfrm>
        <a:prstGeom prst="rect">
          <a:avLst/>
        </a:prstGeom>
      </xdr:spPr>
    </xdr:pic>
    <xdr:clientData/>
  </xdr:twoCellAnchor>
  <xdr:twoCellAnchor editAs="oneCell">
    <xdr:from>
      <xdr:col>0</xdr:col>
      <xdr:colOff>0</xdr:colOff>
      <xdr:row>168</xdr:row>
      <xdr:rowOff>0</xdr:rowOff>
    </xdr:from>
    <xdr:to>
      <xdr:col>10</xdr:col>
      <xdr:colOff>274833</xdr:colOff>
      <xdr:row>201</xdr:row>
      <xdr:rowOff>75484</xdr:rowOff>
    </xdr:to>
    <xdr:pic>
      <xdr:nvPicPr>
        <xdr:cNvPr id="6" name="图片 5">
          <a:extLst>
            <a:ext uri="{FF2B5EF4-FFF2-40B4-BE49-F238E27FC236}">
              <a16:creationId xmlns="" xmlns:a16="http://schemas.microsoft.com/office/drawing/2014/main" id="{2F2D1F44-44C7-4ADD-A45C-6020677E8A8E}"/>
            </a:ext>
          </a:extLst>
        </xdr:cNvPr>
        <xdr:cNvPicPr>
          <a:picLocks noChangeAspect="1"/>
        </xdr:cNvPicPr>
      </xdr:nvPicPr>
      <xdr:blipFill>
        <a:blip xmlns:r="http://schemas.openxmlformats.org/officeDocument/2006/relationships" r:embed="rId5"/>
        <a:stretch>
          <a:fillRect/>
        </a:stretch>
      </xdr:blipFill>
      <xdr:spPr>
        <a:xfrm>
          <a:off x="0" y="28803600"/>
          <a:ext cx="11142858" cy="5733334"/>
        </a:xfrm>
        <a:prstGeom prst="rect">
          <a:avLst/>
        </a:prstGeom>
      </xdr:spPr>
    </xdr:pic>
    <xdr:clientData/>
  </xdr:twoCellAnchor>
  <xdr:twoCellAnchor editAs="oneCell">
    <xdr:from>
      <xdr:col>0</xdr:col>
      <xdr:colOff>0</xdr:colOff>
      <xdr:row>202</xdr:row>
      <xdr:rowOff>0</xdr:rowOff>
    </xdr:from>
    <xdr:to>
      <xdr:col>10</xdr:col>
      <xdr:colOff>8166</xdr:colOff>
      <xdr:row>218</xdr:row>
      <xdr:rowOff>94895</xdr:rowOff>
    </xdr:to>
    <xdr:pic>
      <xdr:nvPicPr>
        <xdr:cNvPr id="7" name="图片 6">
          <a:extLst>
            <a:ext uri="{FF2B5EF4-FFF2-40B4-BE49-F238E27FC236}">
              <a16:creationId xmlns="" xmlns:a16="http://schemas.microsoft.com/office/drawing/2014/main" id="{26774528-4E29-4755-AEE0-DFF4A73C622E}"/>
            </a:ext>
          </a:extLst>
        </xdr:cNvPr>
        <xdr:cNvPicPr>
          <a:picLocks noChangeAspect="1"/>
        </xdr:cNvPicPr>
      </xdr:nvPicPr>
      <xdr:blipFill>
        <a:blip xmlns:r="http://schemas.openxmlformats.org/officeDocument/2006/relationships" r:embed="rId6"/>
        <a:stretch>
          <a:fillRect/>
        </a:stretch>
      </xdr:blipFill>
      <xdr:spPr>
        <a:xfrm>
          <a:off x="0" y="34632900"/>
          <a:ext cx="10876191" cy="2838095"/>
        </a:xfrm>
        <a:prstGeom prst="rect">
          <a:avLst/>
        </a:prstGeom>
      </xdr:spPr>
    </xdr:pic>
    <xdr:clientData/>
  </xdr:twoCellAnchor>
  <xdr:twoCellAnchor editAs="oneCell">
    <xdr:from>
      <xdr:col>0</xdr:col>
      <xdr:colOff>0</xdr:colOff>
      <xdr:row>219</xdr:row>
      <xdr:rowOff>0</xdr:rowOff>
    </xdr:from>
    <xdr:to>
      <xdr:col>10</xdr:col>
      <xdr:colOff>246261</xdr:colOff>
      <xdr:row>246</xdr:row>
      <xdr:rowOff>161327</xdr:rowOff>
    </xdr:to>
    <xdr:pic>
      <xdr:nvPicPr>
        <xdr:cNvPr id="8" name="图片 7">
          <a:extLst>
            <a:ext uri="{FF2B5EF4-FFF2-40B4-BE49-F238E27FC236}">
              <a16:creationId xmlns="" xmlns:a16="http://schemas.microsoft.com/office/drawing/2014/main" id="{52739CEC-FC7E-49AF-80D3-BB28C5F4ACBD}"/>
            </a:ext>
          </a:extLst>
        </xdr:cNvPr>
        <xdr:cNvPicPr>
          <a:picLocks noChangeAspect="1"/>
        </xdr:cNvPicPr>
      </xdr:nvPicPr>
      <xdr:blipFill>
        <a:blip xmlns:r="http://schemas.openxmlformats.org/officeDocument/2006/relationships" r:embed="rId7"/>
        <a:stretch>
          <a:fillRect/>
        </a:stretch>
      </xdr:blipFill>
      <xdr:spPr>
        <a:xfrm>
          <a:off x="0" y="37547550"/>
          <a:ext cx="11114286" cy="4790477"/>
        </a:xfrm>
        <a:prstGeom prst="rect">
          <a:avLst/>
        </a:prstGeom>
      </xdr:spPr>
    </xdr:pic>
    <xdr:clientData/>
  </xdr:twoCellAnchor>
  <xdr:twoCellAnchor editAs="oneCell">
    <xdr:from>
      <xdr:col>0</xdr:col>
      <xdr:colOff>0</xdr:colOff>
      <xdr:row>248</xdr:row>
      <xdr:rowOff>0</xdr:rowOff>
    </xdr:from>
    <xdr:to>
      <xdr:col>9</xdr:col>
      <xdr:colOff>351214</xdr:colOff>
      <xdr:row>277</xdr:row>
      <xdr:rowOff>113665</xdr:rowOff>
    </xdr:to>
    <xdr:pic>
      <xdr:nvPicPr>
        <xdr:cNvPr id="9" name="图片 8">
          <a:extLst>
            <a:ext uri="{FF2B5EF4-FFF2-40B4-BE49-F238E27FC236}">
              <a16:creationId xmlns="" xmlns:a16="http://schemas.microsoft.com/office/drawing/2014/main" id="{343C206D-107B-4F8F-93E4-B3400714F86E}"/>
            </a:ext>
          </a:extLst>
        </xdr:cNvPr>
        <xdr:cNvPicPr>
          <a:picLocks noChangeAspect="1"/>
        </xdr:cNvPicPr>
      </xdr:nvPicPr>
      <xdr:blipFill>
        <a:blip xmlns:r="http://schemas.openxmlformats.org/officeDocument/2006/relationships" r:embed="rId8"/>
        <a:stretch>
          <a:fillRect/>
        </a:stretch>
      </xdr:blipFill>
      <xdr:spPr>
        <a:xfrm>
          <a:off x="0" y="42519600"/>
          <a:ext cx="9695239" cy="5085715"/>
        </a:xfrm>
        <a:prstGeom prst="rect">
          <a:avLst/>
        </a:prstGeom>
      </xdr:spPr>
    </xdr:pic>
    <xdr:clientData/>
  </xdr:twoCellAnchor>
  <xdr:twoCellAnchor editAs="oneCell">
    <xdr:from>
      <xdr:col>0</xdr:col>
      <xdr:colOff>0</xdr:colOff>
      <xdr:row>278</xdr:row>
      <xdr:rowOff>0</xdr:rowOff>
    </xdr:from>
    <xdr:to>
      <xdr:col>10</xdr:col>
      <xdr:colOff>198642</xdr:colOff>
      <xdr:row>296</xdr:row>
      <xdr:rowOff>113900</xdr:rowOff>
    </xdr:to>
    <xdr:pic>
      <xdr:nvPicPr>
        <xdr:cNvPr id="10" name="图片 9">
          <a:extLst>
            <a:ext uri="{FF2B5EF4-FFF2-40B4-BE49-F238E27FC236}">
              <a16:creationId xmlns="" xmlns:a16="http://schemas.microsoft.com/office/drawing/2014/main" id="{8D34BBCE-6F63-465B-9847-D9B5C2501180}"/>
            </a:ext>
          </a:extLst>
        </xdr:cNvPr>
        <xdr:cNvPicPr>
          <a:picLocks noChangeAspect="1"/>
        </xdr:cNvPicPr>
      </xdr:nvPicPr>
      <xdr:blipFill>
        <a:blip xmlns:r="http://schemas.openxmlformats.org/officeDocument/2006/relationships" r:embed="rId9"/>
        <a:stretch>
          <a:fillRect/>
        </a:stretch>
      </xdr:blipFill>
      <xdr:spPr>
        <a:xfrm>
          <a:off x="0" y="47663100"/>
          <a:ext cx="11066667" cy="3200000"/>
        </a:xfrm>
        <a:prstGeom prst="rect">
          <a:avLst/>
        </a:prstGeom>
      </xdr:spPr>
    </xdr:pic>
    <xdr:clientData/>
  </xdr:twoCellAnchor>
  <xdr:twoCellAnchor editAs="oneCell">
    <xdr:from>
      <xdr:col>0</xdr:col>
      <xdr:colOff>0</xdr:colOff>
      <xdr:row>297</xdr:row>
      <xdr:rowOff>0</xdr:rowOff>
    </xdr:from>
    <xdr:to>
      <xdr:col>10</xdr:col>
      <xdr:colOff>8166</xdr:colOff>
      <xdr:row>322</xdr:row>
      <xdr:rowOff>8988</xdr:rowOff>
    </xdr:to>
    <xdr:pic>
      <xdr:nvPicPr>
        <xdr:cNvPr id="11" name="图片 10">
          <a:extLst>
            <a:ext uri="{FF2B5EF4-FFF2-40B4-BE49-F238E27FC236}">
              <a16:creationId xmlns="" xmlns:a16="http://schemas.microsoft.com/office/drawing/2014/main" id="{FBD38546-62C3-4E57-9C2B-55C02B196A5C}"/>
            </a:ext>
          </a:extLst>
        </xdr:cNvPr>
        <xdr:cNvPicPr>
          <a:picLocks noChangeAspect="1"/>
        </xdr:cNvPicPr>
      </xdr:nvPicPr>
      <xdr:blipFill>
        <a:blip xmlns:r="http://schemas.openxmlformats.org/officeDocument/2006/relationships" r:embed="rId10"/>
        <a:stretch>
          <a:fillRect/>
        </a:stretch>
      </xdr:blipFill>
      <xdr:spPr>
        <a:xfrm>
          <a:off x="0" y="50920650"/>
          <a:ext cx="10876191" cy="4295238"/>
        </a:xfrm>
        <a:prstGeom prst="rect">
          <a:avLst/>
        </a:prstGeom>
      </xdr:spPr>
    </xdr:pic>
    <xdr:clientData/>
  </xdr:twoCellAnchor>
  <xdr:twoCellAnchor editAs="oneCell">
    <xdr:from>
      <xdr:col>0</xdr:col>
      <xdr:colOff>0</xdr:colOff>
      <xdr:row>323</xdr:row>
      <xdr:rowOff>0</xdr:rowOff>
    </xdr:from>
    <xdr:to>
      <xdr:col>10</xdr:col>
      <xdr:colOff>303404</xdr:colOff>
      <xdr:row>356</xdr:row>
      <xdr:rowOff>170722</xdr:rowOff>
    </xdr:to>
    <xdr:pic>
      <xdr:nvPicPr>
        <xdr:cNvPr id="12" name="图片 11">
          <a:extLst>
            <a:ext uri="{FF2B5EF4-FFF2-40B4-BE49-F238E27FC236}">
              <a16:creationId xmlns="" xmlns:a16="http://schemas.microsoft.com/office/drawing/2014/main" id="{EE294D91-643F-4EDC-A0AF-572985972CF4}"/>
            </a:ext>
          </a:extLst>
        </xdr:cNvPr>
        <xdr:cNvPicPr>
          <a:picLocks noChangeAspect="1"/>
        </xdr:cNvPicPr>
      </xdr:nvPicPr>
      <xdr:blipFill>
        <a:blip xmlns:r="http://schemas.openxmlformats.org/officeDocument/2006/relationships" r:embed="rId11"/>
        <a:stretch>
          <a:fillRect/>
        </a:stretch>
      </xdr:blipFill>
      <xdr:spPr>
        <a:xfrm>
          <a:off x="0" y="55378350"/>
          <a:ext cx="11171429" cy="5828572"/>
        </a:xfrm>
        <a:prstGeom prst="rect">
          <a:avLst/>
        </a:prstGeom>
      </xdr:spPr>
    </xdr:pic>
    <xdr:clientData/>
  </xdr:twoCellAnchor>
  <xdr:twoCellAnchor editAs="oneCell">
    <xdr:from>
      <xdr:col>0</xdr:col>
      <xdr:colOff>0</xdr:colOff>
      <xdr:row>358</xdr:row>
      <xdr:rowOff>0</xdr:rowOff>
    </xdr:from>
    <xdr:to>
      <xdr:col>10</xdr:col>
      <xdr:colOff>236738</xdr:colOff>
      <xdr:row>374</xdr:row>
      <xdr:rowOff>37753</xdr:rowOff>
    </xdr:to>
    <xdr:pic>
      <xdr:nvPicPr>
        <xdr:cNvPr id="13" name="图片 12">
          <a:extLst>
            <a:ext uri="{FF2B5EF4-FFF2-40B4-BE49-F238E27FC236}">
              <a16:creationId xmlns="" xmlns:a16="http://schemas.microsoft.com/office/drawing/2014/main" id="{7A0E3156-11F2-4D7D-86DF-C67AC9B3B02A}"/>
            </a:ext>
          </a:extLst>
        </xdr:cNvPr>
        <xdr:cNvPicPr>
          <a:picLocks noChangeAspect="1"/>
        </xdr:cNvPicPr>
      </xdr:nvPicPr>
      <xdr:blipFill>
        <a:blip xmlns:r="http://schemas.openxmlformats.org/officeDocument/2006/relationships" r:embed="rId12"/>
        <a:stretch>
          <a:fillRect/>
        </a:stretch>
      </xdr:blipFill>
      <xdr:spPr>
        <a:xfrm>
          <a:off x="0" y="61379100"/>
          <a:ext cx="11104763" cy="2780953"/>
        </a:xfrm>
        <a:prstGeom prst="rect">
          <a:avLst/>
        </a:prstGeom>
      </xdr:spPr>
    </xdr:pic>
    <xdr:clientData/>
  </xdr:twoCellAnchor>
  <xdr:twoCellAnchor editAs="oneCell">
    <xdr:from>
      <xdr:col>0</xdr:col>
      <xdr:colOff>0</xdr:colOff>
      <xdr:row>375</xdr:row>
      <xdr:rowOff>0</xdr:rowOff>
    </xdr:from>
    <xdr:to>
      <xdr:col>3</xdr:col>
      <xdr:colOff>371042</xdr:colOff>
      <xdr:row>400</xdr:row>
      <xdr:rowOff>75655</xdr:rowOff>
    </xdr:to>
    <xdr:pic>
      <xdr:nvPicPr>
        <xdr:cNvPr id="14" name="图片 13">
          <a:extLst>
            <a:ext uri="{FF2B5EF4-FFF2-40B4-BE49-F238E27FC236}">
              <a16:creationId xmlns="" xmlns:a16="http://schemas.microsoft.com/office/drawing/2014/main" id="{E139E835-8F8F-4D80-B213-A2625F6214E1}"/>
            </a:ext>
          </a:extLst>
        </xdr:cNvPr>
        <xdr:cNvPicPr>
          <a:picLocks noChangeAspect="1"/>
        </xdr:cNvPicPr>
      </xdr:nvPicPr>
      <xdr:blipFill>
        <a:blip xmlns:r="http://schemas.openxmlformats.org/officeDocument/2006/relationships" r:embed="rId13"/>
        <a:stretch>
          <a:fillRect/>
        </a:stretch>
      </xdr:blipFill>
      <xdr:spPr>
        <a:xfrm>
          <a:off x="0" y="64293750"/>
          <a:ext cx="3466667" cy="4361905"/>
        </a:xfrm>
        <a:prstGeom prst="rect">
          <a:avLst/>
        </a:prstGeom>
      </xdr:spPr>
    </xdr:pic>
    <xdr:clientData/>
  </xdr:twoCellAnchor>
  <xdr:twoCellAnchor editAs="oneCell">
    <xdr:from>
      <xdr:col>3</xdr:col>
      <xdr:colOff>333375</xdr:colOff>
      <xdr:row>375</xdr:row>
      <xdr:rowOff>0</xdr:rowOff>
    </xdr:from>
    <xdr:to>
      <xdr:col>6</xdr:col>
      <xdr:colOff>1018765</xdr:colOff>
      <xdr:row>397</xdr:row>
      <xdr:rowOff>56672</xdr:rowOff>
    </xdr:to>
    <xdr:pic>
      <xdr:nvPicPr>
        <xdr:cNvPr id="15" name="图片 14">
          <a:extLst>
            <a:ext uri="{FF2B5EF4-FFF2-40B4-BE49-F238E27FC236}">
              <a16:creationId xmlns="" xmlns:a16="http://schemas.microsoft.com/office/drawing/2014/main" id="{7FF19117-733E-448B-9F4A-7CA8D73118F1}"/>
            </a:ext>
          </a:extLst>
        </xdr:cNvPr>
        <xdr:cNvPicPr>
          <a:picLocks noChangeAspect="1"/>
        </xdr:cNvPicPr>
      </xdr:nvPicPr>
      <xdr:blipFill>
        <a:blip xmlns:r="http://schemas.openxmlformats.org/officeDocument/2006/relationships" r:embed="rId14"/>
        <a:stretch>
          <a:fillRect/>
        </a:stretch>
      </xdr:blipFill>
      <xdr:spPr>
        <a:xfrm>
          <a:off x="3429000" y="64293750"/>
          <a:ext cx="3285715" cy="3828572"/>
        </a:xfrm>
        <a:prstGeom prst="rect">
          <a:avLst/>
        </a:prstGeom>
      </xdr:spPr>
    </xdr:pic>
    <xdr:clientData/>
  </xdr:twoCellAnchor>
  <xdr:twoCellAnchor editAs="oneCell">
    <xdr:from>
      <xdr:col>0</xdr:col>
      <xdr:colOff>0</xdr:colOff>
      <xdr:row>402</xdr:row>
      <xdr:rowOff>0</xdr:rowOff>
    </xdr:from>
    <xdr:to>
      <xdr:col>10</xdr:col>
      <xdr:colOff>312928</xdr:colOff>
      <xdr:row>420</xdr:row>
      <xdr:rowOff>37710</xdr:rowOff>
    </xdr:to>
    <xdr:pic>
      <xdr:nvPicPr>
        <xdr:cNvPr id="16" name="图片 15">
          <a:extLst>
            <a:ext uri="{FF2B5EF4-FFF2-40B4-BE49-F238E27FC236}">
              <a16:creationId xmlns="" xmlns:a16="http://schemas.microsoft.com/office/drawing/2014/main" id="{D4448361-D8A5-42D0-9166-3C938AAD8DF8}"/>
            </a:ext>
          </a:extLst>
        </xdr:cNvPr>
        <xdr:cNvPicPr>
          <a:picLocks noChangeAspect="1"/>
        </xdr:cNvPicPr>
      </xdr:nvPicPr>
      <xdr:blipFill>
        <a:blip xmlns:r="http://schemas.openxmlformats.org/officeDocument/2006/relationships" r:embed="rId15"/>
        <a:stretch>
          <a:fillRect/>
        </a:stretch>
      </xdr:blipFill>
      <xdr:spPr>
        <a:xfrm>
          <a:off x="0" y="68922900"/>
          <a:ext cx="11180953" cy="3123810"/>
        </a:xfrm>
        <a:prstGeom prst="rect">
          <a:avLst/>
        </a:prstGeom>
      </xdr:spPr>
    </xdr:pic>
    <xdr:clientData/>
  </xdr:twoCellAnchor>
  <xdr:twoCellAnchor editAs="oneCell">
    <xdr:from>
      <xdr:col>0</xdr:col>
      <xdr:colOff>0</xdr:colOff>
      <xdr:row>421</xdr:row>
      <xdr:rowOff>0</xdr:rowOff>
    </xdr:from>
    <xdr:to>
      <xdr:col>10</xdr:col>
      <xdr:colOff>160547</xdr:colOff>
      <xdr:row>447</xdr:row>
      <xdr:rowOff>142300</xdr:rowOff>
    </xdr:to>
    <xdr:pic>
      <xdr:nvPicPr>
        <xdr:cNvPr id="17" name="图片 16">
          <a:extLst>
            <a:ext uri="{FF2B5EF4-FFF2-40B4-BE49-F238E27FC236}">
              <a16:creationId xmlns="" xmlns:a16="http://schemas.microsoft.com/office/drawing/2014/main" id="{1C58C2EE-6CBA-493B-B2F8-CAC50DC5F7E3}"/>
            </a:ext>
          </a:extLst>
        </xdr:cNvPr>
        <xdr:cNvPicPr>
          <a:picLocks noChangeAspect="1"/>
        </xdr:cNvPicPr>
      </xdr:nvPicPr>
      <xdr:blipFill>
        <a:blip xmlns:r="http://schemas.openxmlformats.org/officeDocument/2006/relationships" r:embed="rId16"/>
        <a:stretch>
          <a:fillRect/>
        </a:stretch>
      </xdr:blipFill>
      <xdr:spPr>
        <a:xfrm>
          <a:off x="0" y="72180450"/>
          <a:ext cx="11028572" cy="4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285</xdr:row>
      <xdr:rowOff>0</xdr:rowOff>
    </xdr:from>
    <xdr:to>
      <xdr:col>11</xdr:col>
      <xdr:colOff>960638</xdr:colOff>
      <xdr:row>304</xdr:row>
      <xdr:rowOff>171022</xdr:rowOff>
    </xdr:to>
    <xdr:pic>
      <xdr:nvPicPr>
        <xdr:cNvPr id="8" name="图片 7">
          <a:extLst>
            <a:ext uri="{FF2B5EF4-FFF2-40B4-BE49-F238E27FC236}">
              <a16:creationId xmlns="" xmlns:a16="http://schemas.microsoft.com/office/drawing/2014/main" id="{00000000-0008-0000-1D00-000008000000}"/>
            </a:ext>
          </a:extLst>
        </xdr:cNvPr>
        <xdr:cNvPicPr>
          <a:picLocks noChangeAspect="1"/>
        </xdr:cNvPicPr>
      </xdr:nvPicPr>
      <xdr:blipFill>
        <a:blip xmlns:r="http://schemas.openxmlformats.org/officeDocument/2006/relationships" r:embed="rId1"/>
        <a:stretch>
          <a:fillRect/>
        </a:stretch>
      </xdr:blipFill>
      <xdr:spPr>
        <a:xfrm>
          <a:off x="0" y="48863250"/>
          <a:ext cx="11104763" cy="3428572"/>
        </a:xfrm>
        <a:prstGeom prst="rect">
          <a:avLst/>
        </a:prstGeom>
      </xdr:spPr>
    </xdr:pic>
    <xdr:clientData/>
  </xdr:twoCellAnchor>
  <xdr:twoCellAnchor editAs="oneCell">
    <xdr:from>
      <xdr:col>0</xdr:col>
      <xdr:colOff>0</xdr:colOff>
      <xdr:row>306</xdr:row>
      <xdr:rowOff>0</xdr:rowOff>
    </xdr:from>
    <xdr:to>
      <xdr:col>11</xdr:col>
      <xdr:colOff>608257</xdr:colOff>
      <xdr:row>334</xdr:row>
      <xdr:rowOff>37496</xdr:rowOff>
    </xdr:to>
    <xdr:pic>
      <xdr:nvPicPr>
        <xdr:cNvPr id="9" name="图片 8">
          <a:extLst>
            <a:ext uri="{FF2B5EF4-FFF2-40B4-BE49-F238E27FC236}">
              <a16:creationId xmlns="" xmlns:a16="http://schemas.microsoft.com/office/drawing/2014/main" id="{00000000-0008-0000-1D00-000009000000}"/>
            </a:ext>
          </a:extLst>
        </xdr:cNvPr>
        <xdr:cNvPicPr>
          <a:picLocks noChangeAspect="1"/>
        </xdr:cNvPicPr>
      </xdr:nvPicPr>
      <xdr:blipFill>
        <a:blip xmlns:r="http://schemas.openxmlformats.org/officeDocument/2006/relationships" r:embed="rId2"/>
        <a:stretch>
          <a:fillRect/>
        </a:stretch>
      </xdr:blipFill>
      <xdr:spPr>
        <a:xfrm>
          <a:off x="0" y="52463700"/>
          <a:ext cx="10752382" cy="4838096"/>
        </a:xfrm>
        <a:prstGeom prst="rect">
          <a:avLst/>
        </a:prstGeom>
      </xdr:spPr>
    </xdr:pic>
    <xdr:clientData/>
  </xdr:twoCellAnchor>
  <xdr:twoCellAnchor editAs="oneCell">
    <xdr:from>
      <xdr:col>12</xdr:col>
      <xdr:colOff>0</xdr:colOff>
      <xdr:row>285</xdr:row>
      <xdr:rowOff>0</xdr:rowOff>
    </xdr:from>
    <xdr:to>
      <xdr:col>19</xdr:col>
      <xdr:colOff>493906</xdr:colOff>
      <xdr:row>305</xdr:row>
      <xdr:rowOff>66238</xdr:rowOff>
    </xdr:to>
    <xdr:pic>
      <xdr:nvPicPr>
        <xdr:cNvPr id="10" name="图片 9">
          <a:extLst>
            <a:ext uri="{FF2B5EF4-FFF2-40B4-BE49-F238E27FC236}">
              <a16:creationId xmlns="" xmlns:a16="http://schemas.microsoft.com/office/drawing/2014/main" id="{00000000-0008-0000-1D00-00000A000000}"/>
            </a:ext>
          </a:extLst>
        </xdr:cNvPr>
        <xdr:cNvPicPr>
          <a:picLocks noChangeAspect="1"/>
        </xdr:cNvPicPr>
      </xdr:nvPicPr>
      <xdr:blipFill>
        <a:blip xmlns:r="http://schemas.openxmlformats.org/officeDocument/2006/relationships" r:embed="rId3"/>
        <a:stretch>
          <a:fillRect/>
        </a:stretch>
      </xdr:blipFill>
      <xdr:spPr>
        <a:xfrm>
          <a:off x="11668125" y="48863250"/>
          <a:ext cx="11161906" cy="3495238"/>
        </a:xfrm>
        <a:prstGeom prst="rect">
          <a:avLst/>
        </a:prstGeom>
      </xdr:spPr>
    </xdr:pic>
    <xdr:clientData/>
  </xdr:twoCellAnchor>
  <xdr:twoCellAnchor editAs="oneCell">
    <xdr:from>
      <xdr:col>12</xdr:col>
      <xdr:colOff>0</xdr:colOff>
      <xdr:row>306</xdr:row>
      <xdr:rowOff>0</xdr:rowOff>
    </xdr:from>
    <xdr:to>
      <xdr:col>19</xdr:col>
      <xdr:colOff>74858</xdr:colOff>
      <xdr:row>331</xdr:row>
      <xdr:rowOff>170893</xdr:rowOff>
    </xdr:to>
    <xdr:pic>
      <xdr:nvPicPr>
        <xdr:cNvPr id="11" name="图片 10">
          <a:extLst>
            <a:ext uri="{FF2B5EF4-FFF2-40B4-BE49-F238E27FC236}">
              <a16:creationId xmlns="" xmlns:a16="http://schemas.microsoft.com/office/drawing/2014/main" id="{00000000-0008-0000-1D00-00000B000000}"/>
            </a:ext>
          </a:extLst>
        </xdr:cNvPr>
        <xdr:cNvPicPr>
          <a:picLocks noChangeAspect="1"/>
        </xdr:cNvPicPr>
      </xdr:nvPicPr>
      <xdr:blipFill>
        <a:blip xmlns:r="http://schemas.openxmlformats.org/officeDocument/2006/relationships" r:embed="rId4"/>
        <a:stretch>
          <a:fillRect/>
        </a:stretch>
      </xdr:blipFill>
      <xdr:spPr>
        <a:xfrm>
          <a:off x="11668125" y="52463700"/>
          <a:ext cx="10742858" cy="4457143"/>
        </a:xfrm>
        <a:prstGeom prst="rect">
          <a:avLst/>
        </a:prstGeom>
      </xdr:spPr>
    </xdr:pic>
    <xdr:clientData/>
  </xdr:twoCellAnchor>
  <xdr:twoCellAnchor editAs="oneCell">
    <xdr:from>
      <xdr:col>0</xdr:col>
      <xdr:colOff>0</xdr:colOff>
      <xdr:row>337</xdr:row>
      <xdr:rowOff>0</xdr:rowOff>
    </xdr:from>
    <xdr:to>
      <xdr:col>11</xdr:col>
      <xdr:colOff>932066</xdr:colOff>
      <xdr:row>357</xdr:row>
      <xdr:rowOff>75762</xdr:rowOff>
    </xdr:to>
    <xdr:pic>
      <xdr:nvPicPr>
        <xdr:cNvPr id="14" name="图片 13">
          <a:extLst>
            <a:ext uri="{FF2B5EF4-FFF2-40B4-BE49-F238E27FC236}">
              <a16:creationId xmlns="" xmlns:a16="http://schemas.microsoft.com/office/drawing/2014/main" id="{00000000-0008-0000-1D00-00000E000000}"/>
            </a:ext>
          </a:extLst>
        </xdr:cNvPr>
        <xdr:cNvPicPr>
          <a:picLocks noChangeAspect="1"/>
        </xdr:cNvPicPr>
      </xdr:nvPicPr>
      <xdr:blipFill>
        <a:blip xmlns:r="http://schemas.openxmlformats.org/officeDocument/2006/relationships" r:embed="rId5"/>
        <a:stretch>
          <a:fillRect/>
        </a:stretch>
      </xdr:blipFill>
      <xdr:spPr>
        <a:xfrm>
          <a:off x="0" y="57778650"/>
          <a:ext cx="11076191" cy="3504762"/>
        </a:xfrm>
        <a:prstGeom prst="rect">
          <a:avLst/>
        </a:prstGeom>
      </xdr:spPr>
    </xdr:pic>
    <xdr:clientData/>
  </xdr:twoCellAnchor>
  <xdr:twoCellAnchor editAs="oneCell">
    <xdr:from>
      <xdr:col>0</xdr:col>
      <xdr:colOff>0</xdr:colOff>
      <xdr:row>358</xdr:row>
      <xdr:rowOff>0</xdr:rowOff>
    </xdr:from>
    <xdr:to>
      <xdr:col>11</xdr:col>
      <xdr:colOff>636828</xdr:colOff>
      <xdr:row>380</xdr:row>
      <xdr:rowOff>151910</xdr:rowOff>
    </xdr:to>
    <xdr:pic>
      <xdr:nvPicPr>
        <xdr:cNvPr id="15" name="图片 14">
          <a:extLst>
            <a:ext uri="{FF2B5EF4-FFF2-40B4-BE49-F238E27FC236}">
              <a16:creationId xmlns="" xmlns:a16="http://schemas.microsoft.com/office/drawing/2014/main" id="{00000000-0008-0000-1D00-00000F000000}"/>
            </a:ext>
          </a:extLst>
        </xdr:cNvPr>
        <xdr:cNvPicPr>
          <a:picLocks noChangeAspect="1"/>
        </xdr:cNvPicPr>
      </xdr:nvPicPr>
      <xdr:blipFill>
        <a:blip xmlns:r="http://schemas.openxmlformats.org/officeDocument/2006/relationships" r:embed="rId6"/>
        <a:stretch>
          <a:fillRect/>
        </a:stretch>
      </xdr:blipFill>
      <xdr:spPr>
        <a:xfrm>
          <a:off x="0" y="61379100"/>
          <a:ext cx="10780953" cy="3923810"/>
        </a:xfrm>
        <a:prstGeom prst="rect">
          <a:avLst/>
        </a:prstGeom>
      </xdr:spPr>
    </xdr:pic>
    <xdr:clientData/>
  </xdr:twoCellAnchor>
  <xdr:twoCellAnchor editAs="oneCell">
    <xdr:from>
      <xdr:col>12</xdr:col>
      <xdr:colOff>0</xdr:colOff>
      <xdr:row>337</xdr:row>
      <xdr:rowOff>0</xdr:rowOff>
    </xdr:from>
    <xdr:to>
      <xdr:col>19</xdr:col>
      <xdr:colOff>436763</xdr:colOff>
      <xdr:row>357</xdr:row>
      <xdr:rowOff>66238</xdr:rowOff>
    </xdr:to>
    <xdr:pic>
      <xdr:nvPicPr>
        <xdr:cNvPr id="16" name="图片 15">
          <a:extLst>
            <a:ext uri="{FF2B5EF4-FFF2-40B4-BE49-F238E27FC236}">
              <a16:creationId xmlns="" xmlns:a16="http://schemas.microsoft.com/office/drawing/2014/main" id="{00000000-0008-0000-1D00-000010000000}"/>
            </a:ext>
          </a:extLst>
        </xdr:cNvPr>
        <xdr:cNvPicPr>
          <a:picLocks noChangeAspect="1"/>
        </xdr:cNvPicPr>
      </xdr:nvPicPr>
      <xdr:blipFill>
        <a:blip xmlns:r="http://schemas.openxmlformats.org/officeDocument/2006/relationships" r:embed="rId7"/>
        <a:stretch>
          <a:fillRect/>
        </a:stretch>
      </xdr:blipFill>
      <xdr:spPr>
        <a:xfrm>
          <a:off x="11668125" y="57778650"/>
          <a:ext cx="11104763" cy="3495238"/>
        </a:xfrm>
        <a:prstGeom prst="rect">
          <a:avLst/>
        </a:prstGeom>
      </xdr:spPr>
    </xdr:pic>
    <xdr:clientData/>
  </xdr:twoCellAnchor>
  <xdr:twoCellAnchor editAs="oneCell">
    <xdr:from>
      <xdr:col>12</xdr:col>
      <xdr:colOff>0</xdr:colOff>
      <xdr:row>358</xdr:row>
      <xdr:rowOff>0</xdr:rowOff>
    </xdr:from>
    <xdr:to>
      <xdr:col>19</xdr:col>
      <xdr:colOff>93906</xdr:colOff>
      <xdr:row>376</xdr:row>
      <xdr:rowOff>132948</xdr:rowOff>
    </xdr:to>
    <xdr:pic>
      <xdr:nvPicPr>
        <xdr:cNvPr id="17" name="图片 16">
          <a:extLst>
            <a:ext uri="{FF2B5EF4-FFF2-40B4-BE49-F238E27FC236}">
              <a16:creationId xmlns="" xmlns:a16="http://schemas.microsoft.com/office/drawing/2014/main" id="{00000000-0008-0000-1D00-000011000000}"/>
            </a:ext>
          </a:extLst>
        </xdr:cNvPr>
        <xdr:cNvPicPr>
          <a:picLocks noChangeAspect="1"/>
        </xdr:cNvPicPr>
      </xdr:nvPicPr>
      <xdr:blipFill>
        <a:blip xmlns:r="http://schemas.openxmlformats.org/officeDocument/2006/relationships" r:embed="rId8"/>
        <a:stretch>
          <a:fillRect/>
        </a:stretch>
      </xdr:blipFill>
      <xdr:spPr>
        <a:xfrm>
          <a:off x="11668125" y="61379100"/>
          <a:ext cx="10761906" cy="3219048"/>
        </a:xfrm>
        <a:prstGeom prst="rect">
          <a:avLst/>
        </a:prstGeom>
      </xdr:spPr>
    </xdr:pic>
    <xdr:clientData/>
  </xdr:twoCellAnchor>
  <xdr:twoCellAnchor editAs="oneCell">
    <xdr:from>
      <xdr:col>0</xdr:col>
      <xdr:colOff>0</xdr:colOff>
      <xdr:row>383</xdr:row>
      <xdr:rowOff>0</xdr:rowOff>
    </xdr:from>
    <xdr:to>
      <xdr:col>11</xdr:col>
      <xdr:colOff>846352</xdr:colOff>
      <xdr:row>416</xdr:row>
      <xdr:rowOff>132627</xdr:rowOff>
    </xdr:to>
    <xdr:pic>
      <xdr:nvPicPr>
        <xdr:cNvPr id="20" name="图片 19">
          <a:extLst>
            <a:ext uri="{FF2B5EF4-FFF2-40B4-BE49-F238E27FC236}">
              <a16:creationId xmlns="" xmlns:a16="http://schemas.microsoft.com/office/drawing/2014/main" id="{00000000-0008-0000-1D00-000014000000}"/>
            </a:ext>
          </a:extLst>
        </xdr:cNvPr>
        <xdr:cNvPicPr>
          <a:picLocks noChangeAspect="1"/>
        </xdr:cNvPicPr>
      </xdr:nvPicPr>
      <xdr:blipFill>
        <a:blip xmlns:r="http://schemas.openxmlformats.org/officeDocument/2006/relationships" r:embed="rId9"/>
        <a:stretch>
          <a:fillRect/>
        </a:stretch>
      </xdr:blipFill>
      <xdr:spPr>
        <a:xfrm>
          <a:off x="0" y="65665350"/>
          <a:ext cx="10990477" cy="5790477"/>
        </a:xfrm>
        <a:prstGeom prst="rect">
          <a:avLst/>
        </a:prstGeom>
      </xdr:spPr>
    </xdr:pic>
    <xdr:clientData/>
  </xdr:twoCellAnchor>
  <xdr:twoCellAnchor editAs="oneCell">
    <xdr:from>
      <xdr:col>0</xdr:col>
      <xdr:colOff>0</xdr:colOff>
      <xdr:row>418</xdr:row>
      <xdr:rowOff>0</xdr:rowOff>
    </xdr:from>
    <xdr:to>
      <xdr:col>11</xdr:col>
      <xdr:colOff>941590</xdr:colOff>
      <xdr:row>434</xdr:row>
      <xdr:rowOff>18705</xdr:rowOff>
    </xdr:to>
    <xdr:pic>
      <xdr:nvPicPr>
        <xdr:cNvPr id="21" name="图片 20">
          <a:extLst>
            <a:ext uri="{FF2B5EF4-FFF2-40B4-BE49-F238E27FC236}">
              <a16:creationId xmlns="" xmlns:a16="http://schemas.microsoft.com/office/drawing/2014/main" id="{00000000-0008-0000-1D00-000015000000}"/>
            </a:ext>
          </a:extLst>
        </xdr:cNvPr>
        <xdr:cNvPicPr>
          <a:picLocks noChangeAspect="1"/>
        </xdr:cNvPicPr>
      </xdr:nvPicPr>
      <xdr:blipFill>
        <a:blip xmlns:r="http://schemas.openxmlformats.org/officeDocument/2006/relationships" r:embed="rId10"/>
        <a:stretch>
          <a:fillRect/>
        </a:stretch>
      </xdr:blipFill>
      <xdr:spPr>
        <a:xfrm>
          <a:off x="0" y="71666100"/>
          <a:ext cx="11085715" cy="2761905"/>
        </a:xfrm>
        <a:prstGeom prst="rect">
          <a:avLst/>
        </a:prstGeom>
      </xdr:spPr>
    </xdr:pic>
    <xdr:clientData/>
  </xdr:twoCellAnchor>
  <xdr:twoCellAnchor editAs="oneCell">
    <xdr:from>
      <xdr:col>0</xdr:col>
      <xdr:colOff>0</xdr:colOff>
      <xdr:row>435</xdr:row>
      <xdr:rowOff>9525</xdr:rowOff>
    </xdr:from>
    <xdr:to>
      <xdr:col>11</xdr:col>
      <xdr:colOff>893971</xdr:colOff>
      <xdr:row>467</xdr:row>
      <xdr:rowOff>151697</xdr:rowOff>
    </xdr:to>
    <xdr:pic>
      <xdr:nvPicPr>
        <xdr:cNvPr id="22" name="图片 21">
          <a:extLst>
            <a:ext uri="{FF2B5EF4-FFF2-40B4-BE49-F238E27FC236}">
              <a16:creationId xmlns="" xmlns:a16="http://schemas.microsoft.com/office/drawing/2014/main" id="{00000000-0008-0000-1D00-000016000000}"/>
            </a:ext>
          </a:extLst>
        </xdr:cNvPr>
        <xdr:cNvPicPr>
          <a:picLocks noChangeAspect="1"/>
        </xdr:cNvPicPr>
      </xdr:nvPicPr>
      <xdr:blipFill>
        <a:blip xmlns:r="http://schemas.openxmlformats.org/officeDocument/2006/relationships" r:embed="rId11"/>
        <a:stretch>
          <a:fillRect/>
        </a:stretch>
      </xdr:blipFill>
      <xdr:spPr>
        <a:xfrm>
          <a:off x="0" y="42357675"/>
          <a:ext cx="11038096" cy="5628572"/>
        </a:xfrm>
        <a:prstGeom prst="rect">
          <a:avLst/>
        </a:prstGeom>
      </xdr:spPr>
    </xdr:pic>
    <xdr:clientData/>
  </xdr:twoCellAnchor>
  <xdr:twoCellAnchor editAs="oneCell">
    <xdr:from>
      <xdr:col>0</xdr:col>
      <xdr:colOff>0</xdr:colOff>
      <xdr:row>471</xdr:row>
      <xdr:rowOff>0</xdr:rowOff>
    </xdr:from>
    <xdr:to>
      <xdr:col>11</xdr:col>
      <xdr:colOff>722542</xdr:colOff>
      <xdr:row>504</xdr:row>
      <xdr:rowOff>123103</xdr:rowOff>
    </xdr:to>
    <xdr:pic>
      <xdr:nvPicPr>
        <xdr:cNvPr id="12" name="图片 11">
          <a:extLst>
            <a:ext uri="{FF2B5EF4-FFF2-40B4-BE49-F238E27FC236}">
              <a16:creationId xmlns="" xmlns:a16="http://schemas.microsoft.com/office/drawing/2014/main" id="{ED85AD5B-EDE1-4103-A067-1DCAF3CBBB41}"/>
            </a:ext>
          </a:extLst>
        </xdr:cNvPr>
        <xdr:cNvPicPr>
          <a:picLocks noChangeAspect="1"/>
        </xdr:cNvPicPr>
      </xdr:nvPicPr>
      <xdr:blipFill>
        <a:blip xmlns:r="http://schemas.openxmlformats.org/officeDocument/2006/relationships" r:embed="rId12"/>
        <a:stretch>
          <a:fillRect/>
        </a:stretch>
      </xdr:blipFill>
      <xdr:spPr>
        <a:xfrm>
          <a:off x="0" y="74409300"/>
          <a:ext cx="10866667" cy="5780953"/>
        </a:xfrm>
        <a:prstGeom prst="rect">
          <a:avLst/>
        </a:prstGeom>
      </xdr:spPr>
    </xdr:pic>
    <xdr:clientData/>
  </xdr:twoCellAnchor>
  <xdr:twoCellAnchor editAs="oneCell">
    <xdr:from>
      <xdr:col>0</xdr:col>
      <xdr:colOff>0</xdr:colOff>
      <xdr:row>505</xdr:row>
      <xdr:rowOff>0</xdr:rowOff>
    </xdr:from>
    <xdr:to>
      <xdr:col>11</xdr:col>
      <xdr:colOff>951114</xdr:colOff>
      <xdr:row>521</xdr:row>
      <xdr:rowOff>47276</xdr:rowOff>
    </xdr:to>
    <xdr:pic>
      <xdr:nvPicPr>
        <xdr:cNvPr id="13" name="图片 12">
          <a:extLst>
            <a:ext uri="{FF2B5EF4-FFF2-40B4-BE49-F238E27FC236}">
              <a16:creationId xmlns="" xmlns:a16="http://schemas.microsoft.com/office/drawing/2014/main" id="{5416AFB3-0DCC-4691-A3DE-D9E81074D65D}"/>
            </a:ext>
          </a:extLst>
        </xdr:cNvPr>
        <xdr:cNvPicPr>
          <a:picLocks noChangeAspect="1"/>
        </xdr:cNvPicPr>
      </xdr:nvPicPr>
      <xdr:blipFill>
        <a:blip xmlns:r="http://schemas.openxmlformats.org/officeDocument/2006/relationships" r:embed="rId13"/>
        <a:stretch>
          <a:fillRect/>
        </a:stretch>
      </xdr:blipFill>
      <xdr:spPr>
        <a:xfrm>
          <a:off x="0" y="80238600"/>
          <a:ext cx="11095239" cy="2790476"/>
        </a:xfrm>
        <a:prstGeom prst="rect">
          <a:avLst/>
        </a:prstGeom>
      </xdr:spPr>
    </xdr:pic>
    <xdr:clientData/>
  </xdr:twoCellAnchor>
  <xdr:twoCellAnchor editAs="oneCell">
    <xdr:from>
      <xdr:col>0</xdr:col>
      <xdr:colOff>0</xdr:colOff>
      <xdr:row>522</xdr:row>
      <xdr:rowOff>0</xdr:rowOff>
    </xdr:from>
    <xdr:to>
      <xdr:col>11</xdr:col>
      <xdr:colOff>922542</xdr:colOff>
      <xdr:row>550</xdr:row>
      <xdr:rowOff>8924</xdr:rowOff>
    </xdr:to>
    <xdr:pic>
      <xdr:nvPicPr>
        <xdr:cNvPr id="23" name="图片 22">
          <a:extLst>
            <a:ext uri="{FF2B5EF4-FFF2-40B4-BE49-F238E27FC236}">
              <a16:creationId xmlns="" xmlns:a16="http://schemas.microsoft.com/office/drawing/2014/main" id="{7E60229C-4AE0-4216-A1FA-EFE96101EB39}"/>
            </a:ext>
          </a:extLst>
        </xdr:cNvPr>
        <xdr:cNvPicPr>
          <a:picLocks noChangeAspect="1"/>
        </xdr:cNvPicPr>
      </xdr:nvPicPr>
      <xdr:blipFill>
        <a:blip xmlns:r="http://schemas.openxmlformats.org/officeDocument/2006/relationships" r:embed="rId14"/>
        <a:stretch>
          <a:fillRect/>
        </a:stretch>
      </xdr:blipFill>
      <xdr:spPr>
        <a:xfrm>
          <a:off x="0" y="83153250"/>
          <a:ext cx="11066667" cy="4809524"/>
        </a:xfrm>
        <a:prstGeom prst="rect">
          <a:avLst/>
        </a:prstGeom>
      </xdr:spPr>
    </xdr:pic>
    <xdr:clientData/>
  </xdr:twoCellAnchor>
  <xdr:twoCellAnchor editAs="oneCell">
    <xdr:from>
      <xdr:col>0</xdr:col>
      <xdr:colOff>0</xdr:colOff>
      <xdr:row>551</xdr:row>
      <xdr:rowOff>0</xdr:rowOff>
    </xdr:from>
    <xdr:to>
      <xdr:col>6</xdr:col>
      <xdr:colOff>675466</xdr:colOff>
      <xdr:row>569</xdr:row>
      <xdr:rowOff>9138</xdr:rowOff>
    </xdr:to>
    <xdr:pic>
      <xdr:nvPicPr>
        <xdr:cNvPr id="24" name="图片 23">
          <a:extLst>
            <a:ext uri="{FF2B5EF4-FFF2-40B4-BE49-F238E27FC236}">
              <a16:creationId xmlns="" xmlns:a16="http://schemas.microsoft.com/office/drawing/2014/main" id="{110DA4EA-B925-43F1-9347-DE7E5F6984FC}"/>
            </a:ext>
          </a:extLst>
        </xdr:cNvPr>
        <xdr:cNvPicPr>
          <a:picLocks noChangeAspect="1"/>
        </xdr:cNvPicPr>
      </xdr:nvPicPr>
      <xdr:blipFill>
        <a:blip xmlns:r="http://schemas.openxmlformats.org/officeDocument/2006/relationships" r:embed="rId15"/>
        <a:stretch>
          <a:fillRect/>
        </a:stretch>
      </xdr:blipFill>
      <xdr:spPr>
        <a:xfrm>
          <a:off x="0" y="88125300"/>
          <a:ext cx="6476191" cy="3095238"/>
        </a:xfrm>
        <a:prstGeom prst="rect">
          <a:avLst/>
        </a:prstGeom>
      </xdr:spPr>
    </xdr:pic>
    <xdr:clientData/>
  </xdr:twoCellAnchor>
  <xdr:twoCellAnchor editAs="oneCell">
    <xdr:from>
      <xdr:col>0</xdr:col>
      <xdr:colOff>0</xdr:colOff>
      <xdr:row>570</xdr:row>
      <xdr:rowOff>0</xdr:rowOff>
    </xdr:from>
    <xdr:to>
      <xdr:col>11</xdr:col>
      <xdr:colOff>865400</xdr:colOff>
      <xdr:row>590</xdr:row>
      <xdr:rowOff>18619</xdr:rowOff>
    </xdr:to>
    <xdr:pic>
      <xdr:nvPicPr>
        <xdr:cNvPr id="25" name="图片 24">
          <a:extLst>
            <a:ext uri="{FF2B5EF4-FFF2-40B4-BE49-F238E27FC236}">
              <a16:creationId xmlns="" xmlns:a16="http://schemas.microsoft.com/office/drawing/2014/main" id="{953355B2-4C5F-426F-96D3-F23887873A11}"/>
            </a:ext>
          </a:extLst>
        </xdr:cNvPr>
        <xdr:cNvPicPr>
          <a:picLocks noChangeAspect="1"/>
        </xdr:cNvPicPr>
      </xdr:nvPicPr>
      <xdr:blipFill>
        <a:blip xmlns:r="http://schemas.openxmlformats.org/officeDocument/2006/relationships" r:embed="rId16"/>
        <a:stretch>
          <a:fillRect/>
        </a:stretch>
      </xdr:blipFill>
      <xdr:spPr>
        <a:xfrm>
          <a:off x="0" y="91382850"/>
          <a:ext cx="11009525" cy="3447619"/>
        </a:xfrm>
        <a:prstGeom prst="rect">
          <a:avLst/>
        </a:prstGeom>
      </xdr:spPr>
    </xdr:pic>
    <xdr:clientData/>
  </xdr:twoCellAnchor>
  <xdr:twoCellAnchor editAs="oneCell">
    <xdr:from>
      <xdr:col>0</xdr:col>
      <xdr:colOff>0</xdr:colOff>
      <xdr:row>590</xdr:row>
      <xdr:rowOff>0</xdr:rowOff>
    </xdr:from>
    <xdr:to>
      <xdr:col>11</xdr:col>
      <xdr:colOff>674923</xdr:colOff>
      <xdr:row>620</xdr:row>
      <xdr:rowOff>75548</xdr:rowOff>
    </xdr:to>
    <xdr:pic>
      <xdr:nvPicPr>
        <xdr:cNvPr id="26" name="图片 25">
          <a:extLst>
            <a:ext uri="{FF2B5EF4-FFF2-40B4-BE49-F238E27FC236}">
              <a16:creationId xmlns="" xmlns:a16="http://schemas.microsoft.com/office/drawing/2014/main" id="{11EFF7DD-A7F3-456D-8C4F-7D6D7F82A2DC}"/>
            </a:ext>
          </a:extLst>
        </xdr:cNvPr>
        <xdr:cNvPicPr>
          <a:picLocks noChangeAspect="1"/>
        </xdr:cNvPicPr>
      </xdr:nvPicPr>
      <xdr:blipFill>
        <a:blip xmlns:r="http://schemas.openxmlformats.org/officeDocument/2006/relationships" r:embed="rId17"/>
        <a:stretch>
          <a:fillRect/>
        </a:stretch>
      </xdr:blipFill>
      <xdr:spPr>
        <a:xfrm>
          <a:off x="0" y="94811850"/>
          <a:ext cx="10819048" cy="5219048"/>
        </a:xfrm>
        <a:prstGeom prst="rect">
          <a:avLst/>
        </a:prstGeom>
      </xdr:spPr>
    </xdr:pic>
    <xdr:clientData/>
  </xdr:twoCellAnchor>
  <xdr:twoCellAnchor editAs="oneCell">
    <xdr:from>
      <xdr:col>12</xdr:col>
      <xdr:colOff>0</xdr:colOff>
      <xdr:row>570</xdr:row>
      <xdr:rowOff>0</xdr:rowOff>
    </xdr:from>
    <xdr:to>
      <xdr:col>19</xdr:col>
      <xdr:colOff>389144</xdr:colOff>
      <xdr:row>589</xdr:row>
      <xdr:rowOff>151974</xdr:rowOff>
    </xdr:to>
    <xdr:pic>
      <xdr:nvPicPr>
        <xdr:cNvPr id="27" name="图片 26">
          <a:extLst>
            <a:ext uri="{FF2B5EF4-FFF2-40B4-BE49-F238E27FC236}">
              <a16:creationId xmlns="" xmlns:a16="http://schemas.microsoft.com/office/drawing/2014/main" id="{87ABE00C-9803-4D24-A62A-B85B04860539}"/>
            </a:ext>
          </a:extLst>
        </xdr:cNvPr>
        <xdr:cNvPicPr>
          <a:picLocks noChangeAspect="1"/>
        </xdr:cNvPicPr>
      </xdr:nvPicPr>
      <xdr:blipFill>
        <a:blip xmlns:r="http://schemas.openxmlformats.org/officeDocument/2006/relationships" r:embed="rId18"/>
        <a:stretch>
          <a:fillRect/>
        </a:stretch>
      </xdr:blipFill>
      <xdr:spPr>
        <a:xfrm>
          <a:off x="11668125" y="91382850"/>
          <a:ext cx="11057144" cy="3409524"/>
        </a:xfrm>
        <a:prstGeom prst="rect">
          <a:avLst/>
        </a:prstGeom>
      </xdr:spPr>
    </xdr:pic>
    <xdr:clientData/>
  </xdr:twoCellAnchor>
  <xdr:twoCellAnchor editAs="oneCell">
    <xdr:from>
      <xdr:col>12</xdr:col>
      <xdr:colOff>0</xdr:colOff>
      <xdr:row>590</xdr:row>
      <xdr:rowOff>0</xdr:rowOff>
    </xdr:from>
    <xdr:to>
      <xdr:col>19</xdr:col>
      <xdr:colOff>93906</xdr:colOff>
      <xdr:row>616</xdr:row>
      <xdr:rowOff>85157</xdr:rowOff>
    </xdr:to>
    <xdr:pic>
      <xdr:nvPicPr>
        <xdr:cNvPr id="28" name="图片 27">
          <a:extLst>
            <a:ext uri="{FF2B5EF4-FFF2-40B4-BE49-F238E27FC236}">
              <a16:creationId xmlns="" xmlns:a16="http://schemas.microsoft.com/office/drawing/2014/main" id="{680E07A6-BCA3-4DFA-B128-921206933D59}"/>
            </a:ext>
          </a:extLst>
        </xdr:cNvPr>
        <xdr:cNvPicPr>
          <a:picLocks noChangeAspect="1"/>
        </xdr:cNvPicPr>
      </xdr:nvPicPr>
      <xdr:blipFill>
        <a:blip xmlns:r="http://schemas.openxmlformats.org/officeDocument/2006/relationships" r:embed="rId19"/>
        <a:stretch>
          <a:fillRect/>
        </a:stretch>
      </xdr:blipFill>
      <xdr:spPr>
        <a:xfrm>
          <a:off x="11668125" y="94811850"/>
          <a:ext cx="10761906" cy="45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twoCellAnchor editAs="oneCell">
    <xdr:from>
      <xdr:col>17</xdr:col>
      <xdr:colOff>609600</xdr:colOff>
      <xdr:row>101</xdr:row>
      <xdr:rowOff>114300</xdr:rowOff>
    </xdr:from>
    <xdr:to>
      <xdr:col>28</xdr:col>
      <xdr:colOff>665801</xdr:colOff>
      <xdr:row>176</xdr:row>
      <xdr:rowOff>151696</xdr:rowOff>
    </xdr:to>
    <xdr:pic>
      <xdr:nvPicPr>
        <xdr:cNvPr id="10" name="图片 9">
          <a:extLst>
            <a:ext uri="{FF2B5EF4-FFF2-40B4-BE49-F238E27FC236}">
              <a16:creationId xmlns="" xmlns:a16="http://schemas.microsoft.com/office/drawing/2014/main" id="{00000000-0008-0000-1B00-00000A000000}"/>
            </a:ext>
          </a:extLst>
        </xdr:cNvPr>
        <xdr:cNvPicPr>
          <a:picLocks noChangeAspect="1"/>
        </xdr:cNvPicPr>
      </xdr:nvPicPr>
      <xdr:blipFill>
        <a:blip xmlns:r="http://schemas.openxmlformats.org/officeDocument/2006/relationships" r:embed="rId3"/>
        <a:stretch>
          <a:fillRect/>
        </a:stretch>
      </xdr:blipFill>
      <xdr:spPr>
        <a:xfrm>
          <a:off x="12268200" y="17430750"/>
          <a:ext cx="7600001" cy="5638096"/>
        </a:xfrm>
        <a:prstGeom prst="rect">
          <a:avLst/>
        </a:prstGeom>
      </xdr:spPr>
    </xdr:pic>
    <xdr:clientData/>
  </xdr:twoCellAnchor>
  <xdr:twoCellAnchor editAs="oneCell">
    <xdr:from>
      <xdr:col>0</xdr:col>
      <xdr:colOff>0</xdr:colOff>
      <xdr:row>148</xdr:row>
      <xdr:rowOff>0</xdr:rowOff>
    </xdr:from>
    <xdr:to>
      <xdr:col>11</xdr:col>
      <xdr:colOff>94296</xdr:colOff>
      <xdr:row>180</xdr:row>
      <xdr:rowOff>132648</xdr:rowOff>
    </xdr:to>
    <xdr:pic>
      <xdr:nvPicPr>
        <xdr:cNvPr id="11" name="图片 10">
          <a:extLst>
            <a:ext uri="{FF2B5EF4-FFF2-40B4-BE49-F238E27FC236}">
              <a16:creationId xmlns="" xmlns:a16="http://schemas.microsoft.com/office/drawing/2014/main" id="{00000000-0008-0000-1B00-00000B000000}"/>
            </a:ext>
          </a:extLst>
        </xdr:cNvPr>
        <xdr:cNvPicPr>
          <a:picLocks noChangeAspect="1"/>
        </xdr:cNvPicPr>
      </xdr:nvPicPr>
      <xdr:blipFill>
        <a:blip xmlns:r="http://schemas.openxmlformats.org/officeDocument/2006/relationships" r:embed="rId4"/>
        <a:stretch>
          <a:fillRect/>
        </a:stretch>
      </xdr:blipFill>
      <xdr:spPr>
        <a:xfrm>
          <a:off x="0" y="25031700"/>
          <a:ext cx="7638096" cy="5619048"/>
        </a:xfrm>
        <a:prstGeom prst="rect">
          <a:avLst/>
        </a:prstGeom>
      </xdr:spPr>
    </xdr:pic>
    <xdr:clientData/>
  </xdr:twoCellAnchor>
  <xdr:twoCellAnchor editAs="oneCell">
    <xdr:from>
      <xdr:col>11</xdr:col>
      <xdr:colOff>432464</xdr:colOff>
      <xdr:row>147</xdr:row>
      <xdr:rowOff>142875</xdr:rowOff>
    </xdr:from>
    <xdr:to>
      <xdr:col>24</xdr:col>
      <xdr:colOff>446264</xdr:colOff>
      <xdr:row>174</xdr:row>
      <xdr:rowOff>76200</xdr:rowOff>
    </xdr:to>
    <xdr:pic>
      <xdr:nvPicPr>
        <xdr:cNvPr id="15" name="图片 14">
          <a:extLst>
            <a:ext uri="{FF2B5EF4-FFF2-40B4-BE49-F238E27FC236}">
              <a16:creationId xmlns="" xmlns:a16="http://schemas.microsoft.com/office/drawing/2014/main" id="{00000000-0008-0000-1B00-00000F000000}"/>
            </a:ext>
          </a:extLst>
        </xdr:cNvPr>
        <xdr:cNvPicPr>
          <a:picLocks noChangeAspect="1"/>
        </xdr:cNvPicPr>
      </xdr:nvPicPr>
      <xdr:blipFill>
        <a:blip xmlns:r="http://schemas.openxmlformats.org/officeDocument/2006/relationships" r:embed="rId5"/>
        <a:stretch>
          <a:fillRect/>
        </a:stretch>
      </xdr:blipFill>
      <xdr:spPr>
        <a:xfrm>
          <a:off x="7976264" y="25003125"/>
          <a:ext cx="8929200" cy="4562475"/>
        </a:xfrm>
        <a:prstGeom prst="rect">
          <a:avLst/>
        </a:prstGeom>
      </xdr:spPr>
    </xdr:pic>
    <xdr:clientData/>
  </xdr:twoCellAnchor>
  <xdr:twoCellAnchor editAs="oneCell">
    <xdr:from>
      <xdr:col>0</xdr:col>
      <xdr:colOff>0</xdr:colOff>
      <xdr:row>339</xdr:row>
      <xdr:rowOff>161925</xdr:rowOff>
    </xdr:from>
    <xdr:to>
      <xdr:col>14</xdr:col>
      <xdr:colOff>236896</xdr:colOff>
      <xdr:row>372</xdr:row>
      <xdr:rowOff>132647</xdr:rowOff>
    </xdr:to>
    <xdr:pic>
      <xdr:nvPicPr>
        <xdr:cNvPr id="19" name="图片 18">
          <a:extLst>
            <a:ext uri="{FF2B5EF4-FFF2-40B4-BE49-F238E27FC236}">
              <a16:creationId xmlns="" xmlns:a16="http://schemas.microsoft.com/office/drawing/2014/main" id="{00000000-0008-0000-1B00-000013000000}"/>
            </a:ext>
          </a:extLst>
        </xdr:cNvPr>
        <xdr:cNvPicPr>
          <a:picLocks noChangeAspect="1"/>
        </xdr:cNvPicPr>
      </xdr:nvPicPr>
      <xdr:blipFill>
        <a:blip xmlns:r="http://schemas.openxmlformats.org/officeDocument/2006/relationships" r:embed="rId6"/>
        <a:stretch>
          <a:fillRect/>
        </a:stretch>
      </xdr:blipFill>
      <xdr:spPr>
        <a:xfrm>
          <a:off x="0" y="57940575"/>
          <a:ext cx="9838096" cy="5628572"/>
        </a:xfrm>
        <a:prstGeom prst="rect">
          <a:avLst/>
        </a:prstGeom>
      </xdr:spPr>
    </xdr:pic>
    <xdr:clientData/>
  </xdr:twoCellAnchor>
  <xdr:twoCellAnchor editAs="oneCell">
    <xdr:from>
      <xdr:col>0</xdr:col>
      <xdr:colOff>0</xdr:colOff>
      <xdr:row>504</xdr:row>
      <xdr:rowOff>0</xdr:rowOff>
    </xdr:from>
    <xdr:to>
      <xdr:col>14</xdr:col>
      <xdr:colOff>446420</xdr:colOff>
      <xdr:row>537</xdr:row>
      <xdr:rowOff>18341</xdr:rowOff>
    </xdr:to>
    <xdr:pic>
      <xdr:nvPicPr>
        <xdr:cNvPr id="26" name="图片 25">
          <a:extLst>
            <a:ext uri="{FF2B5EF4-FFF2-40B4-BE49-F238E27FC236}">
              <a16:creationId xmlns="" xmlns:a16="http://schemas.microsoft.com/office/drawing/2014/main" id="{00000000-0008-0000-1B00-00001A000000}"/>
            </a:ext>
          </a:extLst>
        </xdr:cNvPr>
        <xdr:cNvPicPr>
          <a:picLocks noChangeAspect="1"/>
        </xdr:cNvPicPr>
      </xdr:nvPicPr>
      <xdr:blipFill>
        <a:blip xmlns:r="http://schemas.openxmlformats.org/officeDocument/2006/relationships" r:embed="rId7"/>
        <a:stretch>
          <a:fillRect/>
        </a:stretch>
      </xdr:blipFill>
      <xdr:spPr>
        <a:xfrm>
          <a:off x="0" y="86410800"/>
          <a:ext cx="10047620" cy="5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da/yYGi"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4" customWidth="1"/>
    <col min="2" max="2" width="78.25" style="2185" customWidth="1"/>
    <col min="3" max="18" width="9" style="2178"/>
    <col min="19" max="19" width="17.875" style="2178" customWidth="1"/>
    <col min="20" max="51" width="9" style="2178"/>
    <col min="52" max="52" width="13.25" style="2178" customWidth="1"/>
    <col min="53" max="53" width="13.5" style="2178" bestFit="1" customWidth="1"/>
    <col min="54" max="54" width="11.625" style="2178" bestFit="1" customWidth="1"/>
    <col min="55" max="55" width="13.5" style="2178" bestFit="1" customWidth="1"/>
    <col min="56" max="16384" width="9" style="2178"/>
  </cols>
  <sheetData>
    <row r="1" spans="1:55" s="2190" customFormat="1" ht="16.5" thickBot="1">
      <c r="A1" s="2188" t="s">
        <v>1936</v>
      </c>
      <c r="B1" s="2189" t="s">
        <v>2033</v>
      </c>
    </row>
    <row r="2" spans="1:55" s="2193" customFormat="1" ht="15" thickTop="1">
      <c r="A2" s="2191" t="s">
        <v>1940</v>
      </c>
      <c r="B2" s="2192" t="str">
        <f>'预评函-封皮'!B37</f>
        <v>北京市北京大兴国际机场临空经济区0105街区DX16-0105-6018地块F1住宅混合公建用地出让国有建设用地出让国有建设用地使用权抵押价格预评估</v>
      </c>
      <c r="AX2" s="2194"/>
      <c r="AZ2" s="2194"/>
      <c r="BA2" s="2195"/>
      <c r="BC2" s="2195"/>
    </row>
    <row r="3" spans="1:55">
      <c r="A3" s="2179" t="s">
        <v>1941</v>
      </c>
      <c r="B3" s="2180" t="str">
        <f>'预评函-封皮'!B40</f>
        <v>华夏</v>
      </c>
    </row>
    <row r="4" spans="1:55" s="2181" customFormat="1">
      <c r="A4" s="2179" t="s">
        <v>1942</v>
      </c>
      <c r="B4" s="2180" t="str">
        <f>'预评函-封皮'!B46</f>
        <v>吴薇、郑燚</v>
      </c>
      <c r="N4" s="2181" t="str">
        <f>'预评函-1'!A28</f>
        <v>本次估价的“抵押净值”是指估价对象“抵押价格”减去估价对象在估价期日以“土地销售收入”为基数计算的预计抵押权实现进行处置时需缴纳的各项费用、税金等相关费用后的价格。</v>
      </c>
    </row>
    <row r="5" spans="1:55" s="2190" customFormat="1" ht="15" thickBot="1">
      <c r="A5" s="2196" t="s">
        <v>1943</v>
      </c>
      <c r="B5" s="2197" t="str">
        <f>'预评函-封皮'!B49</f>
        <v>康正预评字号</v>
      </c>
    </row>
    <row r="6" spans="1:55" s="2198" customFormat="1" ht="15" thickTop="1">
      <c r="A6" s="2191" t="s">
        <v>1985</v>
      </c>
      <c r="B6" s="2192" t="str">
        <f>'预评函-1'!A4</f>
        <v>受贵公司委托，我公司对北京市北京大兴国际机场临空经济区0105街区DX16-0105-6018地块F1住宅混合公建用地出让国有建设用地出让国有建设用地使用权抵押价格进行了预评估。</v>
      </c>
      <c r="AM6" s="2199"/>
    </row>
    <row r="7" spans="1:55">
      <c r="A7" s="2179" t="s">
        <v>1937</v>
      </c>
      <c r="B7" s="2180"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79" t="s">
        <v>1938</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1988</v>
      </c>
      <c r="B9" s="2180"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79" t="s">
        <v>1939</v>
      </c>
      <c r="B10" s="2180" t="str">
        <f>'预评函-1'!A11</f>
        <v>2024年11月21日（评估专业人员勘察现场之日）</v>
      </c>
    </row>
    <row r="11" spans="1:55">
      <c r="A11" s="2179" t="s">
        <v>1945</v>
      </c>
      <c r="B11" s="2180" t="str">
        <f>'预评函-1'!A14</f>
        <v>根据《国有土地使用证》[]，本次评估估价对象证载（地类）用途为F1。</v>
      </c>
    </row>
    <row r="12" spans="1:55">
      <c r="A12" s="2179" t="s">
        <v>1946</v>
      </c>
      <c r="B12" s="2180" t="str">
        <f>'预评函-1'!A15</f>
        <v>本次评估设定用途即为证载用途。</v>
      </c>
    </row>
    <row r="13" spans="1:55">
      <c r="A13" s="2179" t="s">
        <v>1947</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1948</v>
      </c>
      <c r="B14" s="2180" t="str">
        <f>'预评函-1'!A18</f>
        <v>本次评估设定土地开发程度为红线外市政基础设施达“七通”、宗地红线内场地平整。</v>
      </c>
    </row>
    <row r="15" spans="1:55">
      <c r="A15" s="2179" t="s">
        <v>1944</v>
      </c>
      <c r="B15" s="2180" t="str">
        <f>'预评函-1'!A20</f>
        <v>根据《国有土地使用证》[]，估价对象（分摊）出让国有建设用地使用权面积为19518.45平方米。根据《建设工程规划许可证》[]、《出让合同》[]，估价对象规划建筑面积为57989.51平方米。</v>
      </c>
    </row>
    <row r="16" spans="1:55">
      <c r="A16" s="2179" t="s">
        <v>1949</v>
      </c>
      <c r="B16" s="2180"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79" t="s">
        <v>1950</v>
      </c>
      <c r="B17" s="2180" t="str">
        <f>'预评函-1'!A23</f>
        <v>本次评估设定估价对象剩余土地使用年限为。</v>
      </c>
    </row>
    <row r="18" spans="1:48">
      <c r="A18" s="2179" t="s">
        <v>1951</v>
      </c>
      <c r="B18" s="2180"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79" t="s">
        <v>1952</v>
      </c>
      <c r="B19" s="2180" t="str">
        <f>'预评函-1'!A26</f>
        <v>本次估价的“抵押价格”是指估价对象在估价期日的“出让国有建设用地使用权价格”扣减估价师于估价期日所知悉的法定优先受偿款后的余额。</v>
      </c>
    </row>
    <row r="20" spans="1:48">
      <c r="A20" s="2179" t="s">
        <v>1953</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5" thickBot="1">
      <c r="A21" s="2196" t="s">
        <v>1954</v>
      </c>
      <c r="B21" s="219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6" t="s">
        <v>1955</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1956</v>
      </c>
      <c r="B23" s="2180" t="str">
        <f>'预评函-2'!K2</f>
        <v>估价期日：2024年11月21日</v>
      </c>
    </row>
    <row r="24" spans="1:48">
      <c r="A24" s="2179" t="s">
        <v>1957</v>
      </c>
      <c r="B24" s="2180" t="str">
        <f>'预评函-2'!R2</f>
        <v>估价期日的国有建设用地使用权性质：出让</v>
      </c>
    </row>
    <row r="25" spans="1:48">
      <c r="A25" s="2179" t="s">
        <v>2013</v>
      </c>
      <c r="B25" s="2180" t="str">
        <f>'预评函-2'!A3</f>
        <v>估价期日土地使用者</v>
      </c>
    </row>
    <row r="26" spans="1:48">
      <c r="A26" s="2179" t="s">
        <v>1989</v>
      </c>
      <c r="B26" s="2180" t="str">
        <f>'预评函-2'!A5</f>
        <v>中信开发</v>
      </c>
    </row>
    <row r="27" spans="1:48">
      <c r="A27" s="2179" t="s">
        <v>2014</v>
      </c>
      <c r="B27" s="2180" t="str">
        <f>'预评函-2'!B3</f>
        <v>宗地编号/不动产单元号</v>
      </c>
    </row>
    <row r="28" spans="1:48">
      <c r="A28" s="2179" t="s">
        <v>1990</v>
      </c>
      <c r="B28" s="2180" t="str">
        <f>'预评函-2'!B5</f>
        <v>11111111111</v>
      </c>
    </row>
    <row r="29" spans="1:48">
      <c r="A29" s="2179" t="s">
        <v>2016</v>
      </c>
      <c r="B29" s="2180">
        <f>'预评函-2'!C5</f>
        <v>22</v>
      </c>
    </row>
    <row r="30" spans="1:48">
      <c r="A30" s="2179" t="s">
        <v>2017</v>
      </c>
      <c r="B30" s="2180" t="str">
        <f>'预评函-2'!D3</f>
        <v>土地使用证编号/不动产权证书编号</v>
      </c>
    </row>
    <row r="31" spans="1:48">
      <c r="A31" s="2179" t="s">
        <v>1991</v>
      </c>
      <c r="B31" s="2180" t="str">
        <f>'预评函-2'!D5</f>
        <v>京国土字第111号</v>
      </c>
    </row>
    <row r="32" spans="1:48">
      <c r="A32" s="2179" t="s">
        <v>1992</v>
      </c>
      <c r="B32" s="2180" t="str">
        <f>'预评函-2'!E5</f>
        <v>F1</v>
      </c>
      <c r="AV32" s="2182"/>
    </row>
    <row r="33" spans="1:2">
      <c r="A33" s="2179" t="s">
        <v>1993</v>
      </c>
      <c r="B33" s="2180">
        <f>'预评函-2'!F5</f>
        <v>258</v>
      </c>
    </row>
    <row r="34" spans="1:2">
      <c r="A34" s="2179" t="s">
        <v>1994</v>
      </c>
      <c r="B34" s="2180">
        <f>'预评函-2'!G5</f>
        <v>0</v>
      </c>
    </row>
    <row r="35" spans="1:2">
      <c r="A35" s="2179" t="s">
        <v>1995</v>
      </c>
      <c r="B35" s="2180">
        <f>'预评函-2'!H5</f>
        <v>1.5</v>
      </c>
    </row>
    <row r="36" spans="1:2">
      <c r="A36" s="2179" t="s">
        <v>1996</v>
      </c>
      <c r="B36" s="2180">
        <f>'预评函-2'!I5</f>
        <v>1.5</v>
      </c>
    </row>
    <row r="37" spans="1:2">
      <c r="A37" s="2179" t="s">
        <v>1997</v>
      </c>
      <c r="B37" s="2180">
        <f>'预评函-2'!J5</f>
        <v>1.5</v>
      </c>
    </row>
    <row r="38" spans="1:2">
      <c r="A38" s="2179" t="s">
        <v>1998</v>
      </c>
      <c r="B38" s="2180" t="str">
        <f>'预评函-2'!K5</f>
        <v>红线外七通、宗地红线内场地平整</v>
      </c>
    </row>
    <row r="39" spans="1:2">
      <c r="A39" s="2179" t="s">
        <v>1999</v>
      </c>
      <c r="B39" s="2180" t="str">
        <f>'预评函-2'!L5</f>
        <v>红线外七通、宗地红线内场地平整</v>
      </c>
    </row>
    <row r="40" spans="1:2">
      <c r="A40" s="2179" t="s">
        <v>2018</v>
      </c>
      <c r="B40" s="2180" t="str">
        <f>'预评函-2'!M3</f>
        <v>（剩余）土地使用年限/年</v>
      </c>
    </row>
    <row r="41" spans="1:2">
      <c r="A41" s="2179" t="s">
        <v>2000</v>
      </c>
      <c r="B41" s="2180">
        <f>'预评函-2'!M5</f>
        <v>0</v>
      </c>
    </row>
    <row r="42" spans="1:2">
      <c r="A42" s="2179" t="s">
        <v>2019</v>
      </c>
      <c r="B42" s="2180" t="str">
        <f>'预评函-2'!N3</f>
        <v>（分摊）出让国有建设用地使用权面积/㎡</v>
      </c>
    </row>
    <row r="43" spans="1:2">
      <c r="A43" s="2179" t="s">
        <v>2001</v>
      </c>
      <c r="B43" s="2180">
        <f>'预评函-2'!N5</f>
        <v>19518.45</v>
      </c>
    </row>
    <row r="44" spans="1:2">
      <c r="A44" s="2179" t="s">
        <v>2020</v>
      </c>
      <c r="B44" s="2180" t="str">
        <f>'预评函-2'!O3</f>
        <v>规划建筑面积/㎡</v>
      </c>
    </row>
    <row r="45" spans="1:2">
      <c r="A45" s="2179" t="s">
        <v>2002</v>
      </c>
      <c r="B45" s="2180">
        <f>'预评函-2'!O5</f>
        <v>57989.509999999995</v>
      </c>
    </row>
    <row r="46" spans="1:2">
      <c r="A46" s="2179" t="s">
        <v>2003</v>
      </c>
      <c r="B46" s="2180">
        <f ca="1">'预评函-2'!P5</f>
        <v>26736</v>
      </c>
    </row>
    <row r="47" spans="1:2">
      <c r="A47" s="2179" t="s">
        <v>2004</v>
      </c>
      <c r="B47" s="2180">
        <f ca="1">'预评函-2'!Q5</f>
        <v>8999</v>
      </c>
    </row>
    <row r="48" spans="1:2">
      <c r="A48" s="2179" t="s">
        <v>2005</v>
      </c>
      <c r="B48" s="2180">
        <f ca="1">'预评函-2'!R5</f>
        <v>52185</v>
      </c>
    </row>
    <row r="49" spans="1:2">
      <c r="A49" s="2179" t="s">
        <v>2021</v>
      </c>
      <c r="B49" s="2180" t="str">
        <f>'预评函-2'!A6</f>
        <v>抵押价格</v>
      </c>
    </row>
    <row r="50" spans="1:2">
      <c r="A50" s="2179" t="s">
        <v>2006</v>
      </c>
      <c r="B50" s="2180">
        <f ca="1">'预评函-2'!R6</f>
        <v>51845</v>
      </c>
    </row>
    <row r="51" spans="1:2">
      <c r="A51" s="2179" t="s">
        <v>2022</v>
      </c>
      <c r="B51" s="2180" t="str">
        <f>'预评函-2'!A7</f>
        <v>——</v>
      </c>
    </row>
    <row r="52" spans="1:2">
      <c r="A52" s="2179" t="s">
        <v>2007</v>
      </c>
      <c r="B52" s="2180" t="str">
        <f>'预评函-2'!R7</f>
        <v>——</v>
      </c>
    </row>
    <row r="53" spans="1:2">
      <c r="A53" s="2179" t="s">
        <v>2023</v>
      </c>
      <c r="B53" s="2180" t="str">
        <f>'预评函-2'!A8</f>
        <v>抵押净值</v>
      </c>
    </row>
    <row r="54" spans="1:2" s="2190" customFormat="1" ht="15" thickBot="1">
      <c r="A54" s="2196" t="s">
        <v>2008</v>
      </c>
      <c r="B54" s="2197">
        <f ca="1">'预评函-2'!R8</f>
        <v>49085</v>
      </c>
    </row>
    <row r="55" spans="1:2" ht="15" thickTop="1">
      <c r="A55" s="2186" t="s">
        <v>1958</v>
      </c>
      <c r="B55" s="2187" t="str">
        <f>'预评函-3'!A2</f>
        <v>1.权利限制：根据估价对象《不动产权证书》复印件、，截至估价期日，估价对象抵押权未见登记。未设定租赁等其他他项权利。</v>
      </c>
    </row>
    <row r="56" spans="1:2">
      <c r="A56" s="2179" t="s">
        <v>1959</v>
      </c>
      <c r="B56" s="2180" t="str">
        <f>'预评函-3'!A3</f>
        <v>2.基础设施条件：估价对象实际开发程度为红线外七通、宗地红线内场地平整；本次评估设定开发程度为红线外七通、宗地红线内场地平整。</v>
      </c>
    </row>
    <row r="57" spans="1:2">
      <c r="A57" s="2179" t="s">
        <v>1960</v>
      </c>
      <c r="B57" s="2180" t="str">
        <f>'预评函-3'!A4</f>
        <v>3.估价规划限制条件：详见《建设工程规划许可证》[]、《出让合同》[]。</v>
      </c>
    </row>
    <row r="58" spans="1:2" s="2190" customFormat="1" ht="15" thickBot="1">
      <c r="A58" s="2196" t="s">
        <v>2009</v>
      </c>
      <c r="B58" s="2197" t="str">
        <f>'预评函-3'!A5</f>
        <v>4.影响价格的其他限定条件：无。</v>
      </c>
    </row>
    <row r="59" spans="1:2" ht="15" thickTop="1">
      <c r="A59" s="2186" t="s">
        <v>1961</v>
      </c>
      <c r="B59" s="2187" t="str">
        <f>'预评函-3'!A8</f>
        <v>2.本《评估意见函》仅供金融机构进行内部审核使用，不做其他目的之用。</v>
      </c>
    </row>
    <row r="60" spans="1:2">
      <c r="A60" s="2179" t="s">
        <v>1962</v>
      </c>
      <c r="B60" s="2180" t="str">
        <f>'预评函-3'!A9</f>
        <v>3.抵押双方在办理抵押登记手续时，应使用本公司出具的正式《土地估价报告》，特提请报告使用者注意。</v>
      </c>
    </row>
    <row r="61" spans="1:2">
      <c r="A61" s="2179" t="s">
        <v>1964</v>
      </c>
      <c r="B61" s="2180" t="str">
        <f>'预评函-3'!A10</f>
        <v>4.估价师所知悉的法定优先受偿款情况为：</v>
      </c>
    </row>
    <row r="62" spans="1:2">
      <c r="A62" s="2179" t="s">
        <v>1963</v>
      </c>
      <c r="B62" s="2180" t="str">
        <f>'预评函-3'!A11</f>
        <v>（1）根据估价对象《不动产权证书》复印件、，截至估价期日，估价对象抵押权未见登记。</v>
      </c>
    </row>
    <row r="63" spans="1:2">
      <c r="A63" s="2179" t="s">
        <v>1965</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1966</v>
      </c>
      <c r="B64" s="2183" t="str">
        <f>'预评函-3'!A13</f>
        <v>（3）。</v>
      </c>
    </row>
    <row r="65" spans="1:2">
      <c r="A65" s="2179" t="s">
        <v>1967</v>
      </c>
      <c r="B65" s="2180" t="str">
        <f>'预评函-3'!A14</f>
        <v>综上，本次评估估价师知悉的法定优先受偿款为人民币340万元整。</v>
      </c>
    </row>
    <row r="66" spans="1:2">
      <c r="A66" s="2179" t="s">
        <v>1968</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1969</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5" thickBot="1">
      <c r="A68" s="2196" t="s">
        <v>1972</v>
      </c>
      <c r="B68" s="2200">
        <f>'预评函-3'!D30</f>
        <v>42558</v>
      </c>
    </row>
    <row r="69" spans="1:2" ht="15" thickTop="1">
      <c r="A69" s="2186" t="s">
        <v>1970</v>
      </c>
      <c r="B69" s="2187" t="str">
        <f>'预评函-3'!A20</f>
        <v>吴薇</v>
      </c>
    </row>
    <row r="70" spans="1:2">
      <c r="A70" s="2179" t="s">
        <v>1970</v>
      </c>
      <c r="B70" s="2180">
        <f ca="1">'预评函-3'!B20</f>
        <v>2002110125</v>
      </c>
    </row>
    <row r="71" spans="1:2">
      <c r="A71" s="2179" t="s">
        <v>1971</v>
      </c>
      <c r="B71" s="2180" t="str">
        <f>'预评函-3'!A21</f>
        <v>郑燚</v>
      </c>
    </row>
    <row r="72" spans="1:2" s="2190" customFormat="1" ht="15" thickBot="1">
      <c r="A72" s="2196" t="s">
        <v>1971</v>
      </c>
      <c r="B72" s="2197">
        <f ca="1">'预评函-3'!B21</f>
        <v>2014110011</v>
      </c>
    </row>
    <row r="73" spans="1:2" ht="15" thickTop="1">
      <c r="A73" s="2186" t="s">
        <v>2030</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2031</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5" thickBot="1">
      <c r="A75" s="2196" t="s">
        <v>2032</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4" t="s">
        <v>2062</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0"/>
  </cols>
  <sheetData>
    <row r="1" spans="1:6">
      <c r="A1" s="3025" t="s">
        <v>2667</v>
      </c>
      <c r="B1" s="3026"/>
      <c r="C1" s="3026"/>
      <c r="D1" s="3026"/>
      <c r="E1" s="3026"/>
      <c r="F1" s="3027"/>
    </row>
    <row r="2" spans="1:6">
      <c r="A2" s="3028"/>
      <c r="B2" s="3029"/>
      <c r="C2" s="3029"/>
      <c r="D2" s="3029"/>
      <c r="E2" s="3029"/>
      <c r="F2" s="3030"/>
    </row>
    <row r="3" spans="1:6">
      <c r="A3" s="2982" t="s">
        <v>2668</v>
      </c>
      <c r="B3" s="3031">
        <f>项目基本情况!D3</f>
        <v>45617</v>
      </c>
      <c r="C3" s="3032"/>
      <c r="D3" s="3032"/>
      <c r="E3" s="3032"/>
      <c r="F3" s="3030"/>
    </row>
    <row r="4" spans="1:6">
      <c r="A4" s="2982" t="s">
        <v>2669</v>
      </c>
      <c r="B4" s="3033" t="s">
        <v>2670</v>
      </c>
      <c r="C4" s="3033" t="s">
        <v>2671</v>
      </c>
      <c r="D4" s="3033" t="s">
        <v>2672</v>
      </c>
      <c r="E4" s="3033" t="s">
        <v>2673</v>
      </c>
      <c r="F4" s="3030"/>
    </row>
    <row r="5" spans="1:6">
      <c r="A5" s="3034"/>
      <c r="B5" s="3031"/>
      <c r="C5" s="3033">
        <f>ROUNDDOWN(MIN((B5-B3)/365,A5),2)</f>
        <v>-124.97</v>
      </c>
      <c r="D5" s="3035">
        <f>IF(ISERROR(ROUND(POWER(1+E5,A5-C5)*(POWER(1+E5,C5)-1)/(POWER(1+E5,A5)-1),3)),0,ROUND(POWER(1+E5,A5-C5)*(POWER(1+E5,C5)-1)/(POWER(1+E5,A5)-1),4))</f>
        <v>0</v>
      </c>
      <c r="E5" s="3036"/>
      <c r="F5" s="3030"/>
    </row>
    <row r="6" spans="1:6">
      <c r="A6" s="3034"/>
      <c r="B6" s="3031"/>
      <c r="C6" s="3033">
        <f>ROUNDDOWN(MIN((B6-B3)/365,A6),2)</f>
        <v>-124.97</v>
      </c>
      <c r="D6" s="3035">
        <f>IF(ISERROR(ROUND(POWER(1+E6,A6-C6)*(POWER(1+E6,C6)-1)/(POWER(1+E6,A6)-1),3)),0,ROUND(POWER(1+E6,A6-C6)*(POWER(1+E6,C6)-1)/(POWER(1+E6,A6)-1),4))</f>
        <v>0</v>
      </c>
      <c r="E6" s="3036"/>
      <c r="F6" s="3030"/>
    </row>
    <row r="7" spans="1:6">
      <c r="A7" s="3034"/>
      <c r="B7" s="3031"/>
      <c r="C7" s="3033">
        <f>ROUNDDOWN(MIN((B7-B3)/365,A7),2)</f>
        <v>-124.97</v>
      </c>
      <c r="D7" s="3035">
        <f>IF(ISERROR(ROUND(POWER(1+E7,A7-C7)*(POWER(1+E7,C7)-1)/(POWER(1+E7,A7)-1),3)),0,ROUND(POWER(1+E7,A7-C7)*(POWER(1+E7,C7)-1)/(POWER(1+E7,A7)-1),4))</f>
        <v>0</v>
      </c>
      <c r="E7" s="3036"/>
      <c r="F7" s="3030"/>
    </row>
    <row r="8" spans="1:6">
      <c r="A8" s="3028"/>
      <c r="B8" s="3029"/>
      <c r="C8" s="3029"/>
      <c r="D8" s="3029"/>
      <c r="E8" s="3029"/>
      <c r="F8" s="3030"/>
    </row>
    <row r="9" spans="1:6">
      <c r="A9" s="2982" t="s">
        <v>2674</v>
      </c>
      <c r="B9" s="3033"/>
      <c r="C9" s="3033"/>
      <c r="D9" s="3033"/>
      <c r="E9" s="3033"/>
      <c r="F9" s="3037"/>
    </row>
    <row r="10" spans="1:6">
      <c r="A10" s="2982" t="s">
        <v>2675</v>
      </c>
      <c r="B10" s="3033"/>
      <c r="C10" s="3033"/>
      <c r="D10" s="3033" t="s">
        <v>2673</v>
      </c>
      <c r="E10" s="3033"/>
      <c r="F10" s="3037" t="s">
        <v>2672</v>
      </c>
    </row>
    <row r="11" spans="1:6">
      <c r="A11" s="2982" t="s">
        <v>2676</v>
      </c>
      <c r="B11" s="3038"/>
      <c r="C11" s="3033" t="s">
        <v>2677</v>
      </c>
      <c r="D11" s="3038"/>
      <c r="E11" s="3033" t="s">
        <v>2678</v>
      </c>
      <c r="F11" s="3039">
        <f>ROUND(1-(1/(POWER(1+D11,B11))),4)</f>
        <v>0</v>
      </c>
    </row>
    <row r="12" spans="1:6">
      <c r="A12" s="2982" t="s">
        <v>2679</v>
      </c>
      <c r="B12" s="3038"/>
      <c r="C12" s="3033" t="s">
        <v>2680</v>
      </c>
      <c r="D12" s="3038"/>
      <c r="E12" s="3033" t="s">
        <v>2681</v>
      </c>
      <c r="F12" s="3039">
        <f>ROUND(1-(1/(POWER(1+D12,B12))),4)</f>
        <v>0</v>
      </c>
    </row>
    <row r="13" spans="1:6">
      <c r="A13" s="2982" t="s">
        <v>2682</v>
      </c>
      <c r="B13" s="3033"/>
      <c r="C13" s="3032"/>
      <c r="D13" s="3029"/>
      <c r="E13" s="3029"/>
      <c r="F13" s="3030"/>
    </row>
    <row r="14" spans="1:6">
      <c r="A14" s="2982" t="s">
        <v>2683</v>
      </c>
      <c r="B14" s="3038"/>
      <c r="C14" s="3032"/>
      <c r="D14" s="3029"/>
      <c r="E14" s="3029"/>
      <c r="F14" s="3030"/>
    </row>
    <row r="15" spans="1:6">
      <c r="A15" s="2982" t="s">
        <v>2684</v>
      </c>
      <c r="B15" s="3033" t="e">
        <f>ROUND(B14*F12/F11,2)</f>
        <v>#DIV/0!</v>
      </c>
      <c r="C15" s="3033" t="e">
        <f>ROUND(F12/F11,4)</f>
        <v>#DIV/0!</v>
      </c>
      <c r="D15" s="3029"/>
      <c r="E15" s="3029"/>
      <c r="F15" s="3030"/>
    </row>
    <row r="16" spans="1:6">
      <c r="A16" s="2982" t="s">
        <v>2685</v>
      </c>
      <c r="B16" s="3033"/>
      <c r="C16" s="3032"/>
      <c r="D16" s="3029"/>
      <c r="E16" s="3029"/>
      <c r="F16" s="3030"/>
    </row>
    <row r="17" spans="1:7">
      <c r="A17" s="2982" t="s">
        <v>2684</v>
      </c>
      <c r="B17" s="3038"/>
      <c r="C17" s="3032"/>
      <c r="D17" s="3029"/>
      <c r="E17" s="3029"/>
      <c r="F17" s="3030"/>
    </row>
    <row r="18" spans="1:7" ht="14.25" thickBot="1">
      <c r="A18" s="3040" t="s">
        <v>2683</v>
      </c>
      <c r="B18" s="3041" t="e">
        <f>ROUND(B17*F11/F12,2)</f>
        <v>#DIV/0!</v>
      </c>
      <c r="C18" s="3041" t="e">
        <f>ROUND(F11/F12,4)</f>
        <v>#DIV/0!</v>
      </c>
      <c r="D18" s="3042"/>
      <c r="E18" s="3042"/>
      <c r="F18" s="3043"/>
    </row>
    <row r="19" spans="1:7" ht="14.25" thickBot="1"/>
    <row r="20" spans="1:7">
      <c r="A20" s="3044" t="s">
        <v>2686</v>
      </c>
      <c r="B20" s="3045"/>
      <c r="C20" s="3045"/>
      <c r="D20" s="3045"/>
      <c r="E20" s="3045"/>
      <c r="F20" s="3045"/>
      <c r="G20" s="3046"/>
    </row>
    <row r="21" spans="1:7">
      <c r="A21" s="3047"/>
      <c r="B21" s="3048" t="s">
        <v>2687</v>
      </c>
      <c r="C21" s="3048" t="s">
        <v>2688</v>
      </c>
      <c r="D21" s="3048" t="s">
        <v>2689</v>
      </c>
      <c r="E21" s="3048" t="s">
        <v>2690</v>
      </c>
      <c r="F21" s="3048" t="s">
        <v>2691</v>
      </c>
      <c r="G21" s="3049" t="s">
        <v>2692</v>
      </c>
    </row>
    <row r="22" spans="1:7">
      <c r="A22" s="3047" t="s">
        <v>2693</v>
      </c>
      <c r="B22" s="3050">
        <v>50</v>
      </c>
      <c r="C22" s="3050">
        <v>32</v>
      </c>
      <c r="D22" s="3051">
        <v>0.05</v>
      </c>
      <c r="E22" s="3048">
        <f>ROUND(POWER(1+D22,B22-C22)*(POWER(1+D22,C22)-1)/(POWER(1+D22,B22)-1),3)</f>
        <v>0.86599999999999999</v>
      </c>
      <c r="F22" s="3051">
        <v>0.6</v>
      </c>
      <c r="G22" s="3049">
        <f>ROUND(100*(1-(1-E22)*F22),1)</f>
        <v>92</v>
      </c>
    </row>
    <row r="23" spans="1:7">
      <c r="A23" s="3052" t="s">
        <v>2694</v>
      </c>
      <c r="B23" s="3050">
        <v>50</v>
      </c>
      <c r="C23" s="3050">
        <v>35</v>
      </c>
      <c r="D23" s="3051">
        <v>0.05</v>
      </c>
      <c r="E23" s="3048">
        <f>ROUND(POWER(1+D23,B23-C23)*(POWER(1+D23,C23)-1)/(POWER(1+D23,B23)-1),3)</f>
        <v>0.89700000000000002</v>
      </c>
      <c r="F23" s="3051">
        <f>F22</f>
        <v>0.6</v>
      </c>
      <c r="G23" s="3049">
        <f>ROUND(100*(1-(1-E23)*F23),1)</f>
        <v>93.8</v>
      </c>
    </row>
    <row r="24" spans="1:7">
      <c r="A24" s="3052" t="s">
        <v>2695</v>
      </c>
      <c r="B24" s="3050">
        <v>50</v>
      </c>
      <c r="C24" s="3050">
        <v>25</v>
      </c>
      <c r="D24" s="3051">
        <v>0.05</v>
      </c>
      <c r="E24" s="3048">
        <f>ROUND(POWER(1+D24,B24-C24)*(POWER(1+D24,C24)-1)/(POWER(1+D24,B24)-1),3)</f>
        <v>0.77200000000000002</v>
      </c>
      <c r="F24" s="3051">
        <f>F23</f>
        <v>0.6</v>
      </c>
      <c r="G24" s="3049">
        <f>ROUND(100*(1-(1-E24)*F24),1)</f>
        <v>86.3</v>
      </c>
    </row>
    <row r="25" spans="1:7">
      <c r="A25" s="3052" t="s">
        <v>2696</v>
      </c>
      <c r="B25" s="3050">
        <v>50</v>
      </c>
      <c r="C25" s="3050">
        <v>40</v>
      </c>
      <c r="D25" s="3051">
        <v>0.05</v>
      </c>
      <c r="E25" s="3048">
        <f>ROUND(POWER(1+D25,B25-C25)*(POWER(1+D25,C25)-1)/(POWER(1+D25,B25)-1),3)</f>
        <v>0.94</v>
      </c>
      <c r="F25" s="3051">
        <f>F24</f>
        <v>0.6</v>
      </c>
      <c r="G25" s="3049">
        <f>ROUND(100*(1-(1-E25)*F25),1)</f>
        <v>96.4</v>
      </c>
    </row>
    <row r="26" spans="1:7">
      <c r="A26" s="3053"/>
      <c r="B26" s="3054"/>
      <c r="C26" s="3054"/>
      <c r="D26" s="3054"/>
      <c r="E26" s="3054"/>
      <c r="F26" s="3054"/>
      <c r="G26" s="3055"/>
    </row>
    <row r="27" spans="1:7">
      <c r="A27" s="3056" t="s">
        <v>2697</v>
      </c>
      <c r="B27" s="3057"/>
      <c r="C27" s="3057"/>
      <c r="D27" s="3057"/>
      <c r="E27" s="3057"/>
      <c r="F27" s="3057"/>
      <c r="G27" s="3058"/>
    </row>
    <row r="28" spans="1:7">
      <c r="A28" s="3056" t="s">
        <v>2698</v>
      </c>
      <c r="B28" s="3057"/>
      <c r="C28" s="3057"/>
      <c r="D28" s="3057"/>
      <c r="E28" s="3057"/>
      <c r="F28" s="3057"/>
      <c r="G28" s="3058"/>
    </row>
    <row r="29" spans="1:7">
      <c r="A29" s="3056" t="s">
        <v>2699</v>
      </c>
      <c r="B29" s="3057"/>
      <c r="C29" s="3057"/>
      <c r="D29" s="3057"/>
      <c r="E29" s="3057"/>
      <c r="F29" s="3057"/>
      <c r="G29" s="3058"/>
    </row>
    <row r="30" spans="1:7">
      <c r="A30" s="3056" t="s">
        <v>2700</v>
      </c>
      <c r="B30" s="3057"/>
      <c r="C30" s="3057"/>
      <c r="D30" s="3057"/>
      <c r="E30" s="3057"/>
      <c r="F30" s="3057"/>
      <c r="G30" s="3058"/>
    </row>
    <row r="31" spans="1:7">
      <c r="A31" s="3056" t="s">
        <v>2701</v>
      </c>
      <c r="B31" s="3057"/>
      <c r="C31" s="3057"/>
      <c r="D31" s="3057"/>
      <c r="E31" s="3057"/>
      <c r="F31" s="3057"/>
      <c r="G31" s="3058"/>
    </row>
    <row r="32" spans="1:7">
      <c r="A32" s="3056" t="s">
        <v>2702</v>
      </c>
      <c r="B32" s="3057"/>
      <c r="C32" s="3057"/>
      <c r="D32" s="3057"/>
      <c r="E32" s="3057"/>
      <c r="F32" s="3057"/>
      <c r="G32" s="3058"/>
    </row>
    <row r="33" spans="1:7">
      <c r="A33" s="3056" t="s">
        <v>2703</v>
      </c>
      <c r="B33" s="3057"/>
      <c r="C33" s="3057"/>
      <c r="D33" s="3057"/>
      <c r="E33" s="3057"/>
      <c r="F33" s="3057"/>
      <c r="G33" s="3058"/>
    </row>
    <row r="34" spans="1:7">
      <c r="A34" s="3056" t="s">
        <v>2704</v>
      </c>
      <c r="B34" s="3057"/>
      <c r="C34" s="3057"/>
      <c r="D34" s="3057"/>
      <c r="E34" s="3057"/>
      <c r="F34" s="3057"/>
      <c r="G34" s="3058"/>
    </row>
    <row r="35" spans="1:7">
      <c r="A35" s="3056" t="s">
        <v>2705</v>
      </c>
      <c r="B35" s="3057"/>
      <c r="C35" s="3057"/>
      <c r="D35" s="3057"/>
      <c r="E35" s="3057"/>
      <c r="F35" s="3057"/>
      <c r="G35" s="3058"/>
    </row>
    <row r="36" spans="1:7">
      <c r="A36" s="3056" t="s">
        <v>2706</v>
      </c>
      <c r="B36" s="3057"/>
      <c r="C36" s="3057"/>
      <c r="D36" s="3057"/>
      <c r="E36" s="3057"/>
      <c r="F36" s="3057"/>
      <c r="G36" s="3058"/>
    </row>
    <row r="37" spans="1:7">
      <c r="A37" s="3056" t="s">
        <v>2707</v>
      </c>
      <c r="B37" s="3057"/>
      <c r="C37" s="3057"/>
      <c r="D37" s="3057"/>
      <c r="E37" s="3057"/>
      <c r="F37" s="3057"/>
      <c r="G37" s="3058"/>
    </row>
    <row r="38" spans="1:7">
      <c r="A38" s="3056" t="s">
        <v>2708</v>
      </c>
      <c r="B38" s="3057"/>
      <c r="C38" s="3057"/>
      <c r="D38" s="3057"/>
      <c r="E38" s="3057"/>
      <c r="F38" s="3057"/>
      <c r="G38" s="3058"/>
    </row>
    <row r="39" spans="1:7">
      <c r="A39" s="3056"/>
      <c r="B39" s="3057"/>
      <c r="C39" s="3057"/>
      <c r="D39" s="3057"/>
      <c r="E39" s="3057"/>
      <c r="F39" s="3057"/>
      <c r="G39" s="3058"/>
    </row>
    <row r="40" spans="1:7">
      <c r="A40" s="3059" t="s">
        <v>2709</v>
      </c>
      <c r="B40" s="3060"/>
      <c r="C40" s="3060"/>
      <c r="D40" s="3060"/>
      <c r="E40" s="3060"/>
      <c r="F40" s="3060"/>
      <c r="G40" s="3061"/>
    </row>
    <row r="41" spans="1:7">
      <c r="A41" s="3062" t="s">
        <v>2710</v>
      </c>
      <c r="B41" s="3063" t="s">
        <v>2711</v>
      </c>
      <c r="C41" s="3064" t="s">
        <v>2712</v>
      </c>
      <c r="D41" s="3064" t="s">
        <v>2713</v>
      </c>
      <c r="E41" s="3065"/>
      <c r="F41" s="3066"/>
      <c r="G41" s="3067"/>
    </row>
    <row r="42" spans="1:7">
      <c r="A42" s="3062" t="s">
        <v>2714</v>
      </c>
      <c r="B42" s="3063" t="s">
        <v>2715</v>
      </c>
      <c r="C42" s="3064" t="s">
        <v>2715</v>
      </c>
      <c r="D42" s="3068" t="s">
        <v>2716</v>
      </c>
      <c r="E42" s="3060" t="s">
        <v>2717</v>
      </c>
      <c r="F42" s="3060"/>
      <c r="G42" s="3061"/>
    </row>
    <row r="43" spans="1:7">
      <c r="A43" s="3062" t="s">
        <v>2718</v>
      </c>
      <c r="B43" s="3063" t="s">
        <v>2719</v>
      </c>
      <c r="C43" s="3064" t="s">
        <v>2720</v>
      </c>
      <c r="D43" s="3064" t="s">
        <v>2721</v>
      </c>
      <c r="E43" s="3065" t="s">
        <v>2722</v>
      </c>
      <c r="F43" s="3066"/>
      <c r="G43" s="3067"/>
    </row>
    <row r="44" spans="1:7">
      <c r="A44" s="3062" t="s">
        <v>2723</v>
      </c>
      <c r="B44" s="3063" t="s">
        <v>2724</v>
      </c>
      <c r="C44" s="3064" t="s">
        <v>2725</v>
      </c>
      <c r="D44" s="3068">
        <v>0.5</v>
      </c>
      <c r="E44" s="3065" t="s">
        <v>2726</v>
      </c>
      <c r="F44" s="3066"/>
      <c r="G44" s="3067"/>
    </row>
    <row r="45" spans="1:7" ht="14.25" thickBot="1">
      <c r="A45" s="3069" t="s">
        <v>2727</v>
      </c>
      <c r="B45" s="3070" t="s">
        <v>2715</v>
      </c>
      <c r="C45" s="3071" t="s">
        <v>2715</v>
      </c>
      <c r="D45" s="3071" t="s">
        <v>2728</v>
      </c>
      <c r="E45" s="3072" t="s">
        <v>2729</v>
      </c>
      <c r="F45" s="3072"/>
      <c r="G45" s="307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G17" sqref="G17"/>
    </sheetView>
  </sheetViews>
  <sheetFormatPr defaultColWidth="10" defaultRowHeight="14.25"/>
  <cols>
    <col min="1" max="1" width="15.375" style="1398" customWidth="1"/>
    <col min="2" max="2" width="11.375" style="1398" customWidth="1"/>
    <col min="3" max="8" width="13.125" style="1398" customWidth="1"/>
    <col min="9" max="9" width="13.125" style="1399" customWidth="1"/>
    <col min="10" max="10" width="10" style="1398" customWidth="1"/>
    <col min="11" max="11" width="10" style="2596" customWidth="1"/>
    <col min="12" max="13" width="10" style="2597" customWidth="1"/>
    <col min="14" max="14" width="10" style="2582" customWidth="1"/>
    <col min="15" max="15" width="10" style="2598" customWidth="1"/>
    <col min="16" max="17" width="10" style="2582"/>
    <col min="18" max="18" width="10" style="2582" customWidth="1"/>
    <col min="19" max="28" width="10" style="2582"/>
    <col min="29" max="16384" width="10" style="1398"/>
  </cols>
  <sheetData>
    <row r="1" spans="1:21" ht="15" thickBot="1">
      <c r="A1" s="1373" t="s">
        <v>1457</v>
      </c>
      <c r="B1" s="3516"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517"/>
      <c r="D1" s="3517"/>
      <c r="E1" s="3517"/>
      <c r="F1" s="3517"/>
      <c r="G1" s="3517"/>
      <c r="H1" s="3517"/>
      <c r="I1" s="3518"/>
      <c r="J1" s="2599"/>
      <c r="K1" s="1968" t="str">
        <f>IF(B10="北京市","北京市",C10)&amp;F10&amp;A17&amp;"国有建设用地使用权"&amp;B9</f>
        <v>北京市北京大兴国际机场临空经济区0105街区DX16-0105-6018地块F1住宅混合公建用地出让国有建设用地出让国有建设用地使用权抵押价格</v>
      </c>
      <c r="L1" s="2579"/>
      <c r="M1" s="2579"/>
      <c r="N1" s="2580"/>
      <c r="O1" s="2581"/>
      <c r="P1" s="2580"/>
      <c r="Q1" s="2580"/>
      <c r="R1" s="2580"/>
      <c r="S1" s="2580"/>
      <c r="T1" s="2580"/>
      <c r="U1" s="2580"/>
    </row>
    <row r="2" spans="1:21">
      <c r="A2" s="1374" t="s">
        <v>1458</v>
      </c>
      <c r="B2" s="1527"/>
      <c r="D2" s="2599"/>
      <c r="E2" s="2599"/>
      <c r="F2" s="2599"/>
      <c r="G2" s="2599"/>
      <c r="H2" s="2599"/>
      <c r="I2" s="2600"/>
      <c r="J2" s="2599"/>
      <c r="K2" s="1968" t="str">
        <f>IF(B10="北京市","北京市",C10)&amp;F10&amp;A17&amp;"国有建设用地使用权"</f>
        <v>北京市北京大兴国际机场临空经济区0105街区DX16-0105-6018地块F1住宅混合公建用地出让国有建设用地出让国有建设用地使用权</v>
      </c>
      <c r="L2" s="2579"/>
      <c r="M2" s="2579"/>
      <c r="N2" s="2580"/>
      <c r="O2" s="2581"/>
      <c r="P2" s="2580"/>
      <c r="Q2" s="2580"/>
      <c r="R2" s="2580"/>
      <c r="S2" s="2580"/>
      <c r="T2" s="2580"/>
      <c r="U2" s="2580"/>
    </row>
    <row r="3" spans="1:21">
      <c r="A3" s="1375" t="s">
        <v>1459</v>
      </c>
      <c r="B3" s="1376">
        <v>45617</v>
      </c>
      <c r="C3" s="2528" t="s">
        <v>1511</v>
      </c>
      <c r="D3" s="1376">
        <f>B3</f>
        <v>45617</v>
      </c>
      <c r="E3" s="2599"/>
      <c r="F3" s="2599"/>
      <c r="G3" s="2599"/>
      <c r="H3" s="2599"/>
      <c r="I3" s="2600"/>
      <c r="J3" s="2599"/>
      <c r="K3" s="2583"/>
      <c r="L3" s="2579"/>
      <c r="M3" s="2579"/>
      <c r="N3" s="2580"/>
      <c r="O3" s="2581"/>
      <c r="P3" s="2580"/>
      <c r="Q3" s="2580"/>
      <c r="R3" s="2580"/>
      <c r="S3" s="2580"/>
      <c r="T3" s="2580"/>
      <c r="U3" s="2580"/>
    </row>
    <row r="4" spans="1:21" ht="15" thickBot="1">
      <c r="A4" s="1378" t="s">
        <v>1460</v>
      </c>
      <c r="B4" s="1528" t="s">
        <v>3265</v>
      </c>
      <c r="C4" s="1531">
        <f ca="1">SUMIF(土地估价师,B4,估价师及机构信息!E3:E17)</f>
        <v>2002110125</v>
      </c>
      <c r="D4" s="1528" t="s">
        <v>3266</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599"/>
      <c r="K4" s="1968" t="str">
        <f>IF(AND(F4="——",H4="——"),B4&amp;"、"&amp;D4,IF(AND(F4&lt;&gt;"——",H4="——"),B4&amp;"、"&amp;D4&amp;"、"&amp;F4,B4&amp;"、"&amp;D4&amp;"、"&amp;F4&amp;"、"&amp;H4))</f>
        <v>吴薇、郑燚</v>
      </c>
      <c r="L4" s="2579"/>
      <c r="M4" s="2579"/>
      <c r="N4" s="2580"/>
      <c r="O4" s="2581"/>
      <c r="P4" s="2580"/>
      <c r="Q4" s="2580"/>
      <c r="R4" s="2580"/>
      <c r="S4" s="2580"/>
      <c r="T4" s="2580"/>
      <c r="U4" s="2580"/>
    </row>
    <row r="5" spans="1:21" ht="15" thickTop="1">
      <c r="A5" s="1379" t="s">
        <v>1461</v>
      </c>
      <c r="B5" s="1481" t="s">
        <v>3267</v>
      </c>
      <c r="C5" s="1380"/>
      <c r="D5" s="1381"/>
      <c r="E5" s="2599"/>
      <c r="F5" s="2599"/>
      <c r="G5" s="2599"/>
      <c r="H5" s="2599"/>
      <c r="I5" s="2600"/>
      <c r="J5" s="2599"/>
      <c r="K5" s="2583"/>
      <c r="L5" s="2579"/>
      <c r="M5" s="2579"/>
      <c r="N5" s="2580"/>
      <c r="O5" s="2581"/>
      <c r="P5" s="2580"/>
      <c r="Q5" s="2580"/>
      <c r="R5" s="2580"/>
      <c r="S5" s="2580"/>
      <c r="T5" s="2580"/>
      <c r="U5" s="2580"/>
    </row>
    <row r="6" spans="1:21" ht="26.25">
      <c r="A6" s="1377" t="s">
        <v>1986</v>
      </c>
      <c r="B6" s="1481" t="s">
        <v>3267</v>
      </c>
      <c r="C6" s="1458"/>
      <c r="D6" s="1382"/>
      <c r="E6" s="2599"/>
      <c r="F6" s="2599"/>
      <c r="G6" s="2599"/>
      <c r="H6" s="2599"/>
      <c r="I6" s="2600"/>
      <c r="J6" s="2599"/>
      <c r="K6" s="2584" t="str">
        <f>IF(COUNTIF(B6,"*上海银行*"),"上海银行","")</f>
        <v/>
      </c>
      <c r="L6" s="2579"/>
      <c r="M6" s="2579"/>
      <c r="N6" s="2580"/>
      <c r="O6" s="2581"/>
      <c r="P6" s="2580"/>
      <c r="Q6" s="2580"/>
      <c r="R6" s="2580"/>
      <c r="S6" s="2580"/>
      <c r="T6" s="2580"/>
      <c r="U6" s="2580"/>
    </row>
    <row r="7" spans="1:21">
      <c r="A7" s="1383" t="s">
        <v>1987</v>
      </c>
      <c r="B7" s="1481" t="s">
        <v>3268</v>
      </c>
      <c r="C7" s="1458"/>
      <c r="D7" s="1382"/>
      <c r="E7" s="2599"/>
      <c r="F7" s="2599"/>
      <c r="G7" s="2599"/>
      <c r="H7" s="2599"/>
      <c r="I7" s="2600"/>
      <c r="J7" s="2599"/>
      <c r="K7" s="2583"/>
      <c r="L7" s="2579"/>
      <c r="M7" s="2579"/>
      <c r="N7" s="2580"/>
      <c r="O7" s="2581"/>
      <c r="P7" s="2580"/>
      <c r="Q7" s="2580"/>
      <c r="R7" s="2580"/>
      <c r="S7" s="2580"/>
      <c r="T7" s="2580"/>
      <c r="U7" s="2580"/>
    </row>
    <row r="8" spans="1:21">
      <c r="A8" s="2529" t="s">
        <v>1462</v>
      </c>
      <c r="B8" s="1384" t="s">
        <v>3269</v>
      </c>
      <c r="C8" s="1385"/>
      <c r="D8" s="3522" t="s">
        <v>1464</v>
      </c>
      <c r="E8" s="1529" t="s">
        <v>3270</v>
      </c>
      <c r="F8" s="1386"/>
      <c r="G8" s="2599"/>
      <c r="H8" s="2599"/>
      <c r="I8" s="2600"/>
      <c r="J8" s="2599"/>
      <c r="K8" s="2583"/>
      <c r="L8" s="2579"/>
      <c r="M8" s="2579"/>
      <c r="N8" s="2580"/>
      <c r="O8" s="2581"/>
      <c r="P8" s="2580"/>
      <c r="Q8" s="2580"/>
      <c r="R8" s="2580"/>
      <c r="S8" s="2580"/>
      <c r="T8" s="2580"/>
      <c r="U8" s="2580"/>
    </row>
    <row r="9" spans="1:21" ht="15" thickBot="1">
      <c r="A9" s="2530" t="s">
        <v>1463</v>
      </c>
      <c r="B9" s="1387" t="s">
        <v>3270</v>
      </c>
      <c r="C9" s="1388"/>
      <c r="D9" s="3523"/>
      <c r="E9" s="1387" t="s">
        <v>2126</v>
      </c>
      <c r="F9" s="1444"/>
      <c r="G9" s="2602"/>
      <c r="H9" s="2602"/>
      <c r="I9" s="2603"/>
      <c r="J9" s="2599"/>
      <c r="K9" s="2583"/>
      <c r="L9" s="2579"/>
      <c r="M9" s="2579"/>
      <c r="N9" s="2580"/>
      <c r="O9" s="2581"/>
      <c r="P9" s="2580"/>
      <c r="Q9" s="2580"/>
      <c r="R9" s="2580"/>
      <c r="S9" s="2580"/>
      <c r="T9" s="2580"/>
      <c r="U9" s="2580"/>
    </row>
    <row r="10" spans="1:21" ht="15" thickTop="1">
      <c r="A10" s="2531" t="s">
        <v>1515</v>
      </c>
      <c r="B10" s="1422" t="s">
        <v>1465</v>
      </c>
      <c r="C10" s="1389"/>
      <c r="D10" s="1381"/>
      <c r="E10" s="1390" t="s">
        <v>1466</v>
      </c>
      <c r="F10" s="1391" t="s">
        <v>3271</v>
      </c>
      <c r="G10" s="1442"/>
      <c r="H10" s="1443"/>
      <c r="I10" s="1381"/>
      <c r="J10" s="2599"/>
      <c r="K10" s="2583"/>
      <c r="L10" s="2579"/>
      <c r="M10" s="2579"/>
      <c r="N10" s="2580"/>
      <c r="O10" s="2581"/>
      <c r="P10" s="2580"/>
      <c r="Q10" s="2580"/>
      <c r="R10" s="2580"/>
      <c r="S10" s="2580"/>
      <c r="T10" s="2580"/>
      <c r="U10" s="2580"/>
    </row>
    <row r="11" spans="1:21" ht="42.75">
      <c r="A11" s="2532" t="s">
        <v>1516</v>
      </c>
      <c r="B11" s="1403" t="s">
        <v>3272</v>
      </c>
      <c r="C11" s="1392" t="str">
        <f>B7</f>
        <v>北京新航城建设实业发展有限公司</v>
      </c>
      <c r="D11" s="1459"/>
      <c r="E11" s="2580"/>
      <c r="F11" s="2580"/>
      <c r="G11" s="2580"/>
      <c r="H11" s="2580"/>
      <c r="I11" s="2580"/>
      <c r="J11" s="2599"/>
      <c r="K11" s="2583"/>
      <c r="L11" s="2579"/>
      <c r="M11" s="2579"/>
      <c r="N11" s="2580"/>
      <c r="O11" s="2581"/>
      <c r="P11" s="2580"/>
      <c r="Q11" s="2580"/>
      <c r="R11" s="2580"/>
      <c r="S11" s="2580"/>
      <c r="T11" s="2580"/>
      <c r="U11" s="2580"/>
    </row>
    <row r="12" spans="1:21">
      <c r="A12" s="1477" t="s">
        <v>1574</v>
      </c>
      <c r="B12" s="3519" t="s">
        <v>3273</v>
      </c>
      <c r="C12" s="3520"/>
      <c r="D12" s="3521"/>
      <c r="E12" s="1404" t="s">
        <v>1577</v>
      </c>
      <c r="F12" s="3537" t="s">
        <v>2160</v>
      </c>
      <c r="G12" s="3538"/>
      <c r="H12" s="3538"/>
      <c r="I12" s="3539"/>
      <c r="J12" s="2599"/>
      <c r="K12" s="2583"/>
      <c r="L12" s="2579"/>
      <c r="M12" s="2579"/>
      <c r="N12" s="2580"/>
      <c r="O12" s="2581"/>
      <c r="P12" s="2580"/>
      <c r="Q12" s="2580"/>
      <c r="R12" s="2580"/>
      <c r="S12" s="2580"/>
      <c r="T12" s="2580"/>
      <c r="U12" s="2580"/>
    </row>
    <row r="13" spans="1:21">
      <c r="A13" s="1396" t="s">
        <v>1575</v>
      </c>
      <c r="B13" s="3519"/>
      <c r="C13" s="3520"/>
      <c r="D13" s="3521"/>
      <c r="E13" s="1404" t="s">
        <v>1577</v>
      </c>
      <c r="F13" s="3537" t="s">
        <v>2161</v>
      </c>
      <c r="G13" s="3538"/>
      <c r="H13" s="3538"/>
      <c r="I13" s="3539"/>
      <c r="J13" s="2599"/>
      <c r="K13" s="2583"/>
      <c r="L13" s="2579"/>
      <c r="M13" s="2579"/>
      <c r="N13" s="2580"/>
      <c r="O13" s="2581"/>
      <c r="P13" s="2580"/>
      <c r="Q13" s="2580"/>
      <c r="R13" s="2580"/>
      <c r="S13" s="2580"/>
      <c r="T13" s="2580"/>
      <c r="U13" s="2580"/>
    </row>
    <row r="14" spans="1:21">
      <c r="A14" s="1375" t="s">
        <v>1578</v>
      </c>
      <c r="B14" s="1404"/>
      <c r="C14" s="1530" t="s">
        <v>3274</v>
      </c>
      <c r="D14" s="1435" t="str">
        <f>IF(C14="不一致","是否符合证载地类范围","")</f>
        <v/>
      </c>
      <c r="E14" s="1404"/>
      <c r="F14" s="1482" t="s">
        <v>3275</v>
      </c>
      <c r="G14" s="1431"/>
      <c r="H14" s="1431"/>
      <c r="I14" s="1523"/>
      <c r="J14" s="2599"/>
      <c r="K14" s="2583"/>
      <c r="L14" s="2579"/>
      <c r="M14" s="2579"/>
      <c r="N14" s="2580"/>
      <c r="O14" s="2581"/>
      <c r="P14" s="2580"/>
      <c r="Q14" s="2580"/>
      <c r="R14" s="2580"/>
      <c r="S14" s="2580"/>
      <c r="T14" s="2580"/>
      <c r="U14" s="2580"/>
    </row>
    <row r="15" spans="1:21">
      <c r="A15" s="2083"/>
      <c r="B15" s="1377"/>
      <c r="C15" s="1463" t="s">
        <v>1469</v>
      </c>
      <c r="D15" s="1463" t="s">
        <v>1470</v>
      </c>
      <c r="E15" s="1463" t="s">
        <v>1179</v>
      </c>
      <c r="F15" s="1395" t="s">
        <v>1471</v>
      </c>
      <c r="G15" s="1395" t="s">
        <v>1472</v>
      </c>
      <c r="H15" s="1395" t="s">
        <v>776</v>
      </c>
      <c r="I15" s="1395" t="s">
        <v>2731</v>
      </c>
      <c r="J15" s="2599"/>
      <c r="K15" s="2583"/>
      <c r="L15" s="2579"/>
      <c r="M15" s="2579"/>
      <c r="N15" s="2580"/>
      <c r="O15" s="2581"/>
      <c r="P15" s="2580"/>
      <c r="Q15" s="2580"/>
      <c r="R15" s="2580"/>
      <c r="S15" s="2580"/>
      <c r="T15" s="2580"/>
      <c r="U15" s="2580"/>
    </row>
    <row r="16" spans="1:21" ht="42.75">
      <c r="A16" s="2533" t="s">
        <v>1467</v>
      </c>
      <c r="B16" s="1404" t="s">
        <v>1468</v>
      </c>
      <c r="C16" s="1463" t="s">
        <v>1469</v>
      </c>
      <c r="D16" s="1425" t="s">
        <v>2732</v>
      </c>
      <c r="E16" s="1425" t="s">
        <v>1212</v>
      </c>
      <c r="F16" s="1425" t="s">
        <v>2733</v>
      </c>
      <c r="G16" s="1425" t="s">
        <v>2734</v>
      </c>
      <c r="H16" s="1395" t="s">
        <v>776</v>
      </c>
      <c r="I16" s="1395" t="s">
        <v>2731</v>
      </c>
      <c r="J16" s="2599"/>
      <c r="K16" s="1395" t="str">
        <f>IF(D17="","",D16&amp;TEXT(D17,"yyyy年m月d日;;"))</f>
        <v>商业2063年12月10日</v>
      </c>
      <c r="L16" s="1404" t="str">
        <f>IF(OR(K16="",M16=""),"","、")</f>
        <v>、</v>
      </c>
      <c r="M16" s="1395" t="str">
        <f>IF(E17="","",E16&amp;TEXT(E17,"yyyy年m月d日;;"))</f>
        <v>办公2073年12月10日</v>
      </c>
      <c r="N16" s="1404" t="str">
        <f>IF(OR(M16="",O16=""),"","、")</f>
        <v>、</v>
      </c>
      <c r="O16" s="1395" t="str">
        <f>IF(F17="","",F16&amp;TEXT(F17,"yyyy年m月d日;;"))</f>
        <v>车库2073年12月10日</v>
      </c>
      <c r="P16" s="1404" t="str">
        <f>IF(OR(O16="",Q16=""),"","、")</f>
        <v>、</v>
      </c>
      <c r="Q16" s="1395" t="str">
        <f>IF(G17="","",G16&amp;TEXT(G17,"yyyy年m月d日;;"))</f>
        <v>仓储2073年12月10日</v>
      </c>
      <c r="R16" s="1404" t="str">
        <f>IF(OR(Q16="",S16=""),"","、")</f>
        <v>、</v>
      </c>
      <c r="S16" s="1395" t="str">
        <f>IF(H17="","",H16&amp;TEXT(H17,"yyyy年m月d日;;"))</f>
        <v>工业2073年12月10日</v>
      </c>
      <c r="T16" s="1404" t="str">
        <f>IF(OR(S16="",U16=""),"","、")</f>
        <v>、</v>
      </c>
      <c r="U16" s="1395" t="str">
        <f>IF(I17="","",I16&amp;TEXT(I17,"yyyy年m月d日;;"))</f>
        <v>公共服务2073年12月10日</v>
      </c>
    </row>
    <row r="17" spans="1:21">
      <c r="A17" s="3075" t="s">
        <v>2735</v>
      </c>
      <c r="B17" s="2534" t="s">
        <v>1473</v>
      </c>
      <c r="C17" s="3074">
        <v>70838</v>
      </c>
      <c r="D17" s="3074">
        <v>59880</v>
      </c>
      <c r="E17" s="3074">
        <v>63533</v>
      </c>
      <c r="F17" s="3074">
        <f>E17</f>
        <v>63533</v>
      </c>
      <c r="G17" s="3074">
        <f>E17</f>
        <v>63533</v>
      </c>
      <c r="H17" s="3074">
        <f>E17</f>
        <v>63533</v>
      </c>
      <c r="I17" s="3074">
        <f>E17</f>
        <v>63533</v>
      </c>
      <c r="J17" s="2599"/>
      <c r="K17" s="2578" t="str">
        <f>CONCATENATE(K16,L16,M16,N16,O16,P16,Q16,R16,S16,T16,,U16)</f>
        <v>商业2063年12月10日、办公2073年12月10日、车库2073年12月10日、仓储2073年12月10日、工业2073年12月10日、公共服务2073年12月10日</v>
      </c>
      <c r="L17" s="2579"/>
      <c r="M17" s="2579"/>
      <c r="N17" s="2580"/>
      <c r="O17" s="2581"/>
      <c r="P17" s="2580"/>
      <c r="Q17" s="2580"/>
      <c r="R17" s="2580"/>
      <c r="S17" s="2580"/>
      <c r="T17" s="2580"/>
      <c r="U17" s="2580"/>
    </row>
    <row r="18" spans="1:21">
      <c r="A18" s="1460"/>
      <c r="B18" s="2534" t="s">
        <v>1474</v>
      </c>
      <c r="C18" s="1393">
        <v>70</v>
      </c>
      <c r="D18" s="1393">
        <v>40</v>
      </c>
      <c r="E18" s="1393">
        <v>50</v>
      </c>
      <c r="F18" s="1393">
        <v>50</v>
      </c>
      <c r="G18" s="1393">
        <v>50</v>
      </c>
      <c r="H18" s="1393">
        <v>50</v>
      </c>
      <c r="I18" s="1393">
        <v>50</v>
      </c>
      <c r="J18" s="2599"/>
      <c r="K18" s="2583"/>
      <c r="L18" s="2579"/>
      <c r="M18" s="2579"/>
      <c r="N18" s="2580"/>
      <c r="O18" s="2581"/>
      <c r="P18" s="2580"/>
      <c r="Q18" s="2580"/>
      <c r="R18" s="2580"/>
      <c r="S18" s="2580"/>
      <c r="T18" s="2580"/>
      <c r="U18" s="2580"/>
    </row>
    <row r="19" spans="1:21">
      <c r="A19" s="1460"/>
      <c r="B19" s="1374" t="s">
        <v>1475</v>
      </c>
      <c r="C19" s="1455">
        <f>IF(A17="出让",IF(C17="","",ROUNDDOWN(MIN((C17-$D$3)/365,C18),2)),C18)</f>
        <v>69.09</v>
      </c>
      <c r="D19" s="1455">
        <f>IF(A17="出让",IF(D17="","",ROUNDDOWN(MIN((D17-$D$3)/365,D18),2)),D18)</f>
        <v>39.07</v>
      </c>
      <c r="E19" s="1394">
        <f>IF(A17="出让",IF(E17="","",ROUNDDOWN(MIN((E17-$D$3)/365,E18),2)),E18)</f>
        <v>49.08</v>
      </c>
      <c r="F19" s="1394">
        <f>IF(A17="出让",IF(F17="","",ROUNDDOWN(MIN((F17-$D$3)/365,F18),2)),F18)</f>
        <v>49.08</v>
      </c>
      <c r="G19" s="1394">
        <f>IF(A17="出让",IF(G17="","",ROUNDDOWN(MIN((G17-$D$3)/365,G18),2)),G18)</f>
        <v>49.08</v>
      </c>
      <c r="H19" s="1394">
        <f>IF(A17="出让",IF(H17="","",ROUNDDOWN(MIN((H17-$D$3)/365,H18),2)),H18)</f>
        <v>49.08</v>
      </c>
      <c r="I19" s="1394">
        <f>IF(A17="出让",IF(I17="","",ROUNDDOWN(MIN((I17-$D$3)/365,I18),2)),I18)</f>
        <v>49.08</v>
      </c>
      <c r="J19" s="2599"/>
      <c r="K19" s="2583"/>
      <c r="L19" s="2579"/>
      <c r="M19" s="2579"/>
      <c r="N19" s="2580"/>
      <c r="O19" s="2581"/>
      <c r="P19" s="2580"/>
      <c r="Q19" s="2580"/>
      <c r="R19" s="2580"/>
      <c r="S19" s="2580"/>
      <c r="T19" s="2580"/>
      <c r="U19" s="2580"/>
    </row>
    <row r="20" spans="1:21">
      <c r="A20" s="1478"/>
      <c r="B20" s="1479"/>
      <c r="C20" s="1480" t="s">
        <v>1576</v>
      </c>
      <c r="D20" s="3534"/>
      <c r="E20" s="3535"/>
      <c r="F20" s="3535"/>
      <c r="G20" s="3535"/>
      <c r="H20" s="3535"/>
      <c r="I20" s="3536"/>
      <c r="J20" s="2599"/>
      <c r="K20" s="2583"/>
      <c r="L20" s="2579"/>
      <c r="M20" s="2579"/>
      <c r="N20" s="2580"/>
      <c r="O20" s="2581"/>
      <c r="P20" s="2580"/>
      <c r="Q20" s="2580"/>
      <c r="R20" s="2580"/>
      <c r="S20" s="2580"/>
      <c r="T20" s="2580"/>
      <c r="U20" s="2580"/>
    </row>
    <row r="21" spans="1:21">
      <c r="A21" s="1460" t="s">
        <v>1476</v>
      </c>
      <c r="B21" s="1461" t="s">
        <v>1477</v>
      </c>
      <c r="C21" s="1456">
        <f>'数据-汇总表'!E3</f>
        <v>57989.509999999995</v>
      </c>
      <c r="D21" s="1457" t="s">
        <v>1478</v>
      </c>
      <c r="E21" s="3524" t="s">
        <v>1514</v>
      </c>
      <c r="F21" s="3525"/>
      <c r="G21" s="3525"/>
      <c r="H21" s="3525"/>
      <c r="I21" s="3526"/>
      <c r="J21" s="2599"/>
      <c r="K21" s="2583"/>
      <c r="L21" s="2579"/>
      <c r="M21" s="2579"/>
      <c r="N21" s="2580"/>
      <c r="O21" s="2581"/>
      <c r="P21" s="2580"/>
      <c r="Q21" s="2580"/>
      <c r="R21" s="2580"/>
      <c r="S21" s="2580"/>
      <c r="T21" s="2580"/>
      <c r="U21" s="2580"/>
    </row>
    <row r="22" spans="1:21">
      <c r="A22" s="2362" t="s">
        <v>877</v>
      </c>
      <c r="B22" s="1375" t="s">
        <v>1479</v>
      </c>
      <c r="C22" s="1395">
        <f>'数据-汇总表'!D3</f>
        <v>19518.45</v>
      </c>
      <c r="D22" s="1396" t="s">
        <v>1478</v>
      </c>
      <c r="E22" s="3524" t="s">
        <v>2162</v>
      </c>
      <c r="F22" s="3525"/>
      <c r="G22" s="3525"/>
      <c r="H22" s="3525"/>
      <c r="I22" s="3526"/>
      <c r="J22" s="2599"/>
      <c r="K22" s="2583"/>
      <c r="L22" s="2579"/>
      <c r="M22" s="2579"/>
      <c r="N22" s="2580"/>
      <c r="O22" s="2581"/>
      <c r="P22" s="2580"/>
      <c r="Q22" s="2580"/>
      <c r="R22" s="2580"/>
      <c r="S22" s="2580"/>
      <c r="T22" s="2580"/>
      <c r="U22" s="2580"/>
    </row>
    <row r="23" spans="1:21" ht="29.25" thickBot="1">
      <c r="A23" s="1462" t="s">
        <v>1480</v>
      </c>
      <c r="B23" s="1405" t="s">
        <v>1481</v>
      </c>
      <c r="C23" s="1406" t="s">
        <v>3276</v>
      </c>
      <c r="D23" s="1407" t="s">
        <v>1482</v>
      </c>
      <c r="E23" s="1408"/>
      <c r="F23" s="1409" t="str">
        <f>IF(AND(C23="是",E23="否"),"是否提供他项权证或相关说明","")</f>
        <v/>
      </c>
      <c r="G23" s="1410"/>
      <c r="H23" s="2599"/>
      <c r="I23" s="2600"/>
      <c r="J23" s="2599"/>
      <c r="K23" s="2583"/>
      <c r="L23" s="2579"/>
      <c r="M23" s="2579"/>
      <c r="N23" s="2580"/>
      <c r="O23" s="2581"/>
      <c r="P23" s="2580"/>
      <c r="Q23" s="2580"/>
      <c r="R23" s="2580"/>
      <c r="S23" s="2580"/>
      <c r="T23" s="2580"/>
      <c r="U23" s="2580"/>
    </row>
    <row r="24" spans="1:21">
      <c r="A24" s="1447" t="s">
        <v>1483</v>
      </c>
      <c r="B24" s="3527" t="s">
        <v>1484</v>
      </c>
      <c r="C24" s="3528"/>
      <c r="D24" s="3529" t="s">
        <v>1485</v>
      </c>
      <c r="E24" s="3530"/>
      <c r="F24" s="1411" t="s">
        <v>1486</v>
      </c>
      <c r="G24" s="2599"/>
      <c r="H24" s="2599"/>
      <c r="I24" s="2600"/>
      <c r="J24" s="2599"/>
      <c r="K24" s="3515" t="s">
        <v>1487</v>
      </c>
      <c r="L24" s="196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6"/>
      <c r="N24" s="2580"/>
      <c r="O24" s="2581"/>
      <c r="P24" s="2580"/>
      <c r="Q24" s="2580"/>
      <c r="R24" s="2580"/>
      <c r="S24" s="2580"/>
      <c r="T24" s="2580"/>
      <c r="U24" s="2580"/>
    </row>
    <row r="25" spans="1:21" ht="28.5">
      <c r="A25" s="1448"/>
      <c r="B25" s="1445" t="s">
        <v>1680</v>
      </c>
      <c r="C25" s="1412" t="s">
        <v>1681</v>
      </c>
      <c r="D25" s="1413"/>
      <c r="E25" s="1414" t="s">
        <v>877</v>
      </c>
      <c r="F25" s="1415"/>
      <c r="G25" s="2599"/>
      <c r="H25" s="2599"/>
      <c r="I25" s="2600"/>
      <c r="J25" s="2599"/>
      <c r="K25" s="3515"/>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0"/>
      <c r="O25" s="2581"/>
      <c r="P25" s="2580"/>
      <c r="Q25" s="2580"/>
      <c r="R25" s="2580"/>
      <c r="S25" s="2580"/>
      <c r="T25" s="2580"/>
      <c r="U25" s="2580"/>
    </row>
    <row r="26" spans="1:21" ht="15" thickBot="1">
      <c r="A26" s="1449"/>
      <c r="B26" s="1446"/>
      <c r="C26" s="1412"/>
      <c r="D26" s="2599"/>
      <c r="E26" s="2599"/>
      <c r="F26" s="2604"/>
      <c r="G26" s="2599"/>
      <c r="H26" s="2599"/>
      <c r="I26" s="2600"/>
      <c r="J26" s="2599"/>
      <c r="K26" s="3515"/>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0"/>
      <c r="O26" s="2581"/>
      <c r="P26" s="2580"/>
      <c r="Q26" s="2580"/>
      <c r="R26" s="2580"/>
      <c r="S26" s="2580"/>
      <c r="T26" s="2580"/>
      <c r="U26" s="2580"/>
    </row>
    <row r="27" spans="1:21">
      <c r="A27" s="1452" t="s">
        <v>1488</v>
      </c>
      <c r="B27" s="1450" t="s">
        <v>1489</v>
      </c>
      <c r="C27" s="1416"/>
      <c r="D27" s="2087" t="s">
        <v>1489</v>
      </c>
      <c r="E27" s="1417"/>
      <c r="F27" s="2604"/>
      <c r="G27" s="2599"/>
      <c r="H27" s="2599"/>
      <c r="I27" s="2600"/>
      <c r="J27" s="2599"/>
      <c r="K27" s="2583"/>
      <c r="L27" s="2579"/>
      <c r="M27" s="2579"/>
      <c r="N27" s="2580"/>
      <c r="O27" s="2581"/>
      <c r="P27" s="2580"/>
      <c r="Q27" s="2580"/>
      <c r="R27" s="2580"/>
      <c r="S27" s="2580"/>
      <c r="T27" s="2580"/>
      <c r="U27" s="2580"/>
    </row>
    <row r="28" spans="1:21">
      <c r="A28" s="1453"/>
      <c r="B28" s="1450" t="s">
        <v>1490</v>
      </c>
      <c r="C28" s="1418"/>
      <c r="D28" s="2088" t="s">
        <v>1490</v>
      </c>
      <c r="E28" s="1419"/>
      <c r="F28" s="2604"/>
      <c r="G28" s="2599"/>
      <c r="H28" s="2599"/>
      <c r="I28" s="2600"/>
      <c r="J28" s="2599"/>
      <c r="K28" s="2583"/>
      <c r="L28" s="2579"/>
      <c r="M28" s="2579"/>
      <c r="N28" s="2580"/>
      <c r="O28" s="2581"/>
      <c r="P28" s="2580"/>
      <c r="Q28" s="2580"/>
      <c r="R28" s="2580"/>
      <c r="S28" s="2580"/>
      <c r="T28" s="2580"/>
      <c r="U28" s="2580"/>
    </row>
    <row r="29" spans="1:21">
      <c r="A29" s="1453"/>
      <c r="B29" s="1450" t="s">
        <v>1491</v>
      </c>
      <c r="C29" s="1418"/>
      <c r="D29" s="2088" t="s">
        <v>1491</v>
      </c>
      <c r="E29" s="1419"/>
      <c r="F29" s="2604"/>
      <c r="G29" s="2599"/>
      <c r="H29" s="2599"/>
      <c r="I29" s="2600"/>
      <c r="J29" s="2599"/>
      <c r="K29" s="2583"/>
      <c r="L29" s="2579"/>
      <c r="M29" s="2579"/>
      <c r="N29" s="2580"/>
      <c r="O29" s="2581"/>
      <c r="P29" s="2580"/>
      <c r="Q29" s="2580"/>
      <c r="R29" s="2580"/>
      <c r="S29" s="2580"/>
      <c r="T29" s="2580"/>
      <c r="U29" s="2580"/>
    </row>
    <row r="30" spans="1:21" ht="15" thickBot="1">
      <c r="A30" s="1454"/>
      <c r="B30" s="1451" t="s">
        <v>1492</v>
      </c>
      <c r="C30" s="1420"/>
      <c r="D30" s="2089" t="s">
        <v>1492</v>
      </c>
      <c r="E30" s="1421"/>
      <c r="F30" s="2605"/>
      <c r="G30" s="2602"/>
      <c r="H30" s="2602"/>
      <c r="I30" s="2603"/>
      <c r="J30" s="2599"/>
      <c r="K30" s="2583"/>
      <c r="L30" s="2579"/>
      <c r="M30" s="2579"/>
      <c r="N30" s="2580"/>
      <c r="O30" s="2581"/>
      <c r="P30" s="2580"/>
      <c r="Q30" s="2580"/>
      <c r="R30" s="2580"/>
      <c r="S30" s="2580"/>
      <c r="T30" s="2580"/>
      <c r="U30" s="2580"/>
    </row>
    <row r="31" spans="1:21" ht="15" thickTop="1">
      <c r="A31" s="3501" t="s">
        <v>1517</v>
      </c>
      <c r="B31" s="1461" t="s">
        <v>1518</v>
      </c>
      <c r="C31" s="3540" t="s">
        <v>3277</v>
      </c>
      <c r="D31" s="3541"/>
      <c r="E31" s="2599"/>
      <c r="F31" s="2599"/>
      <c r="G31" s="2599"/>
      <c r="H31" s="2599"/>
      <c r="I31" s="2600"/>
      <c r="J31" s="2599"/>
      <c r="K31" s="2586"/>
      <c r="L31" s="2580"/>
      <c r="M31" s="2580"/>
      <c r="N31" s="2580"/>
      <c r="O31" s="2580"/>
      <c r="P31" s="2580"/>
      <c r="Q31" s="2580"/>
      <c r="R31" s="2580"/>
      <c r="S31" s="2580"/>
      <c r="T31" s="2580"/>
      <c r="U31" s="2580"/>
    </row>
    <row r="32" spans="1:21">
      <c r="A32" s="3501"/>
      <c r="B32" s="1375" t="s">
        <v>1519</v>
      </c>
      <c r="C32" s="1422" t="s">
        <v>3278</v>
      </c>
      <c r="D32" s="1423"/>
      <c r="E32" s="2599"/>
      <c r="F32" s="2599"/>
      <c r="G32" s="2599"/>
      <c r="H32" s="2599"/>
      <c r="I32" s="2600"/>
      <c r="J32" s="2599"/>
      <c r="K32" s="2586"/>
      <c r="L32" s="2580"/>
      <c r="M32" s="2580"/>
      <c r="N32" s="2580"/>
      <c r="O32" s="2580"/>
      <c r="P32" s="2580"/>
      <c r="Q32" s="2580"/>
      <c r="R32" s="2580"/>
      <c r="S32" s="2580"/>
      <c r="T32" s="2580"/>
      <c r="U32" s="2580"/>
    </row>
    <row r="33" spans="1:28">
      <c r="A33" s="3501"/>
      <c r="B33" s="1375" t="s">
        <v>1520</v>
      </c>
      <c r="C33" s="1424" t="s">
        <v>3276</v>
      </c>
      <c r="D33" s="1524"/>
      <c r="E33" s="2599"/>
      <c r="F33" s="2599"/>
      <c r="G33" s="2599"/>
      <c r="H33" s="2599"/>
      <c r="I33" s="2600"/>
      <c r="J33" s="2599"/>
      <c r="K33" s="2586"/>
      <c r="L33" s="2580"/>
      <c r="M33" s="2580"/>
      <c r="N33" s="2580"/>
      <c r="O33" s="2580"/>
      <c r="P33" s="2580"/>
      <c r="Q33" s="2580"/>
      <c r="R33" s="2580"/>
      <c r="S33" s="2580"/>
      <c r="T33" s="2580"/>
      <c r="U33" s="2580"/>
    </row>
    <row r="34" spans="1:28">
      <c r="A34" s="3502"/>
      <c r="B34" s="1375" t="s">
        <v>1521</v>
      </c>
      <c r="C34" s="3503"/>
      <c r="D34" s="3504"/>
      <c r="E34" s="2599"/>
      <c r="F34" s="2599"/>
      <c r="G34" s="2599"/>
      <c r="H34" s="2599"/>
      <c r="I34" s="2600"/>
      <c r="J34" s="2599"/>
      <c r="K34" s="2586"/>
      <c r="L34" s="2580"/>
      <c r="M34" s="2580"/>
      <c r="N34" s="2580"/>
      <c r="O34" s="2580"/>
      <c r="P34" s="2580"/>
      <c r="Q34" s="2580"/>
      <c r="R34" s="2580"/>
      <c r="S34" s="2580"/>
      <c r="T34" s="2580"/>
      <c r="U34" s="2580"/>
    </row>
    <row r="35" spans="1:28">
      <c r="A35" s="3505" t="s">
        <v>785</v>
      </c>
      <c r="B35" s="1425" t="s">
        <v>3279</v>
      </c>
      <c r="C35" s="1469" t="str">
        <f>IF(B35="场地平整","——","具体情况：")</f>
        <v>——</v>
      </c>
      <c r="D35" s="3507"/>
      <c r="E35" s="3508"/>
      <c r="F35" s="3508"/>
      <c r="G35" s="3508"/>
      <c r="H35" s="3508"/>
      <c r="I35" s="3509"/>
      <c r="J35" s="2599"/>
      <c r="K35" s="2587"/>
      <c r="L35" s="2579"/>
      <c r="M35" s="2579"/>
      <c r="N35" s="2580"/>
      <c r="O35" s="2581"/>
      <c r="P35" s="2580"/>
      <c r="Q35" s="2580"/>
      <c r="R35" s="2580"/>
      <c r="S35" s="2580"/>
      <c r="T35" s="2580"/>
      <c r="U35" s="2580"/>
    </row>
    <row r="36" spans="1:28">
      <c r="A36" s="3501"/>
      <c r="B36" s="3510" t="s">
        <v>1570</v>
      </c>
      <c r="C36" s="3511"/>
      <c r="D36" s="1484" t="s">
        <v>2766</v>
      </c>
      <c r="E36" s="3512"/>
      <c r="F36" s="3512"/>
      <c r="G36" s="1396" t="str">
        <f>IF(B35="场地未平整","估价结果处理","")</f>
        <v/>
      </c>
      <c r="H36" s="3513"/>
      <c r="I36" s="3513"/>
      <c r="J36" s="2599"/>
      <c r="K36" s="2587"/>
      <c r="L36" s="2579"/>
      <c r="M36" s="2579"/>
      <c r="N36" s="2580"/>
      <c r="O36" s="2581"/>
      <c r="P36" s="2580"/>
      <c r="Q36" s="2580"/>
      <c r="R36" s="2580"/>
      <c r="S36" s="2580"/>
      <c r="T36" s="2580"/>
      <c r="U36" s="2580"/>
    </row>
    <row r="37" spans="1:28" ht="28.5">
      <c r="A37" s="3501"/>
      <c r="B37" s="3531" t="s">
        <v>786</v>
      </c>
      <c r="C37" s="1427" t="s">
        <v>787</v>
      </c>
      <c r="D37" s="1428"/>
      <c r="E37" s="1429"/>
      <c r="F37" s="2599"/>
      <c r="G37" s="2599"/>
      <c r="H37" s="2599"/>
      <c r="I37" s="2600"/>
      <c r="J37" s="2599"/>
      <c r="K37" s="2587"/>
      <c r="L37" s="2580"/>
      <c r="M37" s="2580"/>
      <c r="N37" s="2580"/>
      <c r="O37" s="2580"/>
      <c r="P37" s="2580"/>
      <c r="Q37" s="2580"/>
      <c r="R37" s="2580"/>
      <c r="S37" s="2580"/>
      <c r="T37" s="2580"/>
      <c r="U37" s="2580"/>
    </row>
    <row r="38" spans="1:28">
      <c r="A38" s="3501"/>
      <c r="B38" s="3532"/>
      <c r="C38" s="1383" t="s">
        <v>788</v>
      </c>
      <c r="D38" s="1483">
        <f>ROUNDDOWN(MIN(('数据-取费表'!$B$2-D37)/365,D34),1)</f>
        <v>124.9</v>
      </c>
      <c r="E38" s="1430" t="s">
        <v>789</v>
      </c>
      <c r="F38" s="2599"/>
      <c r="G38" s="2599"/>
      <c r="H38" s="2599"/>
      <c r="I38" s="2600"/>
      <c r="J38" s="2599"/>
      <c r="K38" s="2587"/>
      <c r="L38" s="2580"/>
      <c r="M38" s="2580"/>
      <c r="N38" s="2580"/>
      <c r="O38" s="2580"/>
      <c r="P38" s="2580"/>
      <c r="Q38" s="2580"/>
      <c r="R38" s="2580"/>
      <c r="S38" s="2580"/>
      <c r="T38" s="2580"/>
      <c r="U38" s="2580"/>
    </row>
    <row r="39" spans="1:28">
      <c r="A39" s="3502"/>
      <c r="B39" s="3533"/>
      <c r="C39" s="1402" t="str">
        <f>IF(D38&lt;1,"不存在土地闲置",IF(B35="宗地内已开工建设","已开工，不存在土地闲置","估价对象已涉嫌土地闲置"))</f>
        <v>估价对象已涉嫌土地闲置</v>
      </c>
      <c r="D39" s="1431"/>
      <c r="E39" s="1432"/>
      <c r="F39" s="2599"/>
      <c r="G39" s="2599"/>
      <c r="H39" s="2599"/>
      <c r="I39" s="2600"/>
      <c r="J39" s="2599"/>
      <c r="K39" s="2583"/>
      <c r="L39" s="2579"/>
      <c r="M39" s="2579"/>
      <c r="N39" s="2580"/>
      <c r="O39" s="2581"/>
      <c r="P39" s="2580"/>
      <c r="Q39" s="2580"/>
      <c r="R39" s="2580"/>
      <c r="S39" s="2580"/>
      <c r="T39" s="2580"/>
      <c r="U39" s="2580"/>
    </row>
    <row r="40" spans="1:28">
      <c r="A40" s="1396" t="s">
        <v>1493</v>
      </c>
      <c r="B40" s="1397" t="s">
        <v>2759</v>
      </c>
      <c r="C40" s="1397" t="s">
        <v>2760</v>
      </c>
      <c r="D40" s="1397" t="s">
        <v>2762</v>
      </c>
      <c r="E40" s="1397"/>
      <c r="F40" s="1397"/>
      <c r="G40" s="1397"/>
      <c r="H40" s="1397"/>
      <c r="I40" s="2600"/>
      <c r="J40" s="2599"/>
      <c r="K40" s="1433">
        <f>COUNTIF(B40:H40,"——")</f>
        <v>0</v>
      </c>
      <c r="L40" s="1404" t="s">
        <v>1494</v>
      </c>
      <c r="M40" s="1401" t="s">
        <v>1495</v>
      </c>
      <c r="N40" s="1401" t="s">
        <v>1496</v>
      </c>
      <c r="O40" s="1401" t="s">
        <v>1497</v>
      </c>
      <c r="P40" s="1401" t="s">
        <v>1498</v>
      </c>
      <c r="Q40" s="1401" t="s">
        <v>1499</v>
      </c>
      <c r="R40" s="1401" t="s">
        <v>1500</v>
      </c>
      <c r="S40" s="3514" t="s">
        <v>1501</v>
      </c>
      <c r="T40" s="1404" t="str">
        <f>NUMBERSTRING(7-K40,1)&amp;"通"</f>
        <v>七通</v>
      </c>
      <c r="U40" s="2580"/>
    </row>
    <row r="41" spans="1:28">
      <c r="A41" s="1377"/>
      <c r="B41" s="3506" t="s">
        <v>1250</v>
      </c>
      <c r="C41" s="3506"/>
      <c r="D41" s="3506"/>
      <c r="E41" s="3506"/>
      <c r="F41" s="1434">
        <f>C10</f>
        <v>0</v>
      </c>
      <c r="G41" s="2599"/>
      <c r="H41" s="2599"/>
      <c r="I41" s="2600"/>
      <c r="J41" s="2599"/>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14"/>
      <c r="T41" s="1435" t="str">
        <f>IF(T40="一通",L41,IF(T40="二通",M41,IF(T40="三通",N41,IF(T40="四通",O41,IF(T40="五通",P41,IF(T40="六通",Q41,R41))))))</f>
        <v>通路、通电、通上水、、、、</v>
      </c>
      <c r="U41" s="2580"/>
    </row>
    <row r="42" spans="1:28">
      <c r="A42" s="1437"/>
      <c r="B42" s="1463" t="s">
        <v>1422</v>
      </c>
      <c r="C42" s="1463" t="s">
        <v>1423</v>
      </c>
      <c r="D42" s="1463" t="s">
        <v>1424</v>
      </c>
      <c r="E42" s="1463" t="s">
        <v>2736</v>
      </c>
      <c r="F42" s="1463" t="s">
        <v>2737</v>
      </c>
      <c r="G42" s="2599"/>
      <c r="H42" s="2599"/>
      <c r="I42" s="2600"/>
      <c r="J42" s="2599"/>
      <c r="K42" s="2583"/>
      <c r="L42" s="2579"/>
      <c r="M42" s="2579"/>
      <c r="N42" s="2580"/>
      <c r="O42" s="2581"/>
      <c r="P42" s="2580"/>
      <c r="Q42" s="2580"/>
      <c r="R42" s="2580"/>
      <c r="S42" s="2580"/>
      <c r="T42" s="2580"/>
      <c r="U42" s="2580"/>
    </row>
    <row r="43" spans="1:28">
      <c r="A43" s="2555" t="s">
        <v>1235</v>
      </c>
      <c r="B43" s="1439" t="s">
        <v>1156</v>
      </c>
      <c r="C43" s="1439" t="s">
        <v>1156</v>
      </c>
      <c r="D43" s="1439" t="s">
        <v>1156</v>
      </c>
      <c r="E43" s="1439" t="s">
        <v>1156</v>
      </c>
      <c r="F43" s="1439" t="s">
        <v>1156</v>
      </c>
      <c r="G43" s="2599"/>
      <c r="H43" s="2599"/>
      <c r="I43" s="2600"/>
      <c r="J43" s="2599"/>
      <c r="K43" s="2583"/>
      <c r="L43" s="2579"/>
      <c r="M43" s="2579"/>
      <c r="N43" s="2580"/>
      <c r="O43" s="2581"/>
      <c r="P43" s="2580"/>
      <c r="Q43" s="2580"/>
      <c r="R43" s="2580"/>
      <c r="S43" s="2580"/>
      <c r="T43" s="2580"/>
      <c r="U43" s="2580"/>
    </row>
    <row r="44" spans="1:28">
      <c r="A44" s="2555" t="s">
        <v>1236</v>
      </c>
      <c r="B44" s="1439" t="s">
        <v>1125</v>
      </c>
      <c r="C44" s="1439" t="s">
        <v>1125</v>
      </c>
      <c r="D44" s="1439" t="s">
        <v>1125</v>
      </c>
      <c r="E44" s="1439" t="s">
        <v>1125</v>
      </c>
      <c r="F44" s="1439" t="s">
        <v>1125</v>
      </c>
      <c r="G44" s="2599"/>
      <c r="H44" s="2599"/>
      <c r="I44" s="2600"/>
      <c r="J44" s="2599"/>
      <c r="K44" s="2583"/>
      <c r="L44" s="2579"/>
      <c r="M44" s="2579"/>
      <c r="N44" s="2580"/>
      <c r="O44" s="2581"/>
      <c r="P44" s="2580"/>
      <c r="Q44" s="2580"/>
      <c r="R44" s="2580"/>
      <c r="S44" s="2580"/>
      <c r="T44" s="2580"/>
      <c r="U44" s="2580"/>
    </row>
    <row r="45" spans="1:28" s="2336" customFormat="1" ht="21" thickBot="1">
      <c r="A45" s="2337" t="s">
        <v>2163</v>
      </c>
      <c r="B45" s="2335"/>
      <c r="C45" s="2335"/>
      <c r="D45" s="2335"/>
      <c r="E45" s="2335"/>
      <c r="F45" s="2335"/>
      <c r="G45" s="2590"/>
      <c r="H45" s="2590"/>
      <c r="I45" s="2591"/>
      <c r="J45" s="2601"/>
      <c r="K45" s="2588"/>
      <c r="L45" s="2589"/>
      <c r="M45" s="2589"/>
      <c r="N45" s="2590"/>
      <c r="O45" s="2591"/>
      <c r="P45" s="2590"/>
      <c r="Q45" s="2590"/>
      <c r="R45" s="2590"/>
      <c r="S45" s="2590"/>
      <c r="T45" s="2590"/>
      <c r="U45" s="2590"/>
      <c r="V45" s="2592"/>
      <c r="W45" s="2592"/>
      <c r="X45" s="2592"/>
      <c r="Y45" s="2592"/>
      <c r="Z45" s="2592"/>
      <c r="AA45" s="2592"/>
      <c r="AB45" s="2592"/>
    </row>
    <row r="46" spans="1:28">
      <c r="A46" s="1374"/>
      <c r="B46" s="1374"/>
      <c r="C46" s="1374"/>
      <c r="D46" s="1374"/>
      <c r="E46" s="1374"/>
      <c r="F46" s="1374"/>
      <c r="G46" s="1374"/>
      <c r="H46" s="1374"/>
      <c r="I46" s="1400"/>
      <c r="J46" s="1374"/>
      <c r="K46" s="2583"/>
      <c r="L46" s="2579"/>
      <c r="M46" s="2579"/>
      <c r="N46" s="2580"/>
      <c r="O46" s="2581"/>
      <c r="P46" s="2580"/>
      <c r="Q46" s="2580"/>
      <c r="R46" s="2580"/>
      <c r="S46" s="2580"/>
      <c r="T46" s="2580"/>
      <c r="U46" s="2580"/>
    </row>
    <row r="47" spans="1:28">
      <c r="A47" s="1440" t="s">
        <v>1522</v>
      </c>
      <c r="B47" s="1441"/>
      <c r="C47" s="1432"/>
      <c r="D47" s="1374"/>
      <c r="E47" s="1374"/>
      <c r="F47" s="1374"/>
      <c r="G47" s="1374"/>
      <c r="H47" s="1374"/>
      <c r="I47" s="1400"/>
      <c r="J47" s="1374"/>
      <c r="K47" s="2583"/>
      <c r="L47" s="2579"/>
      <c r="M47" s="2579"/>
      <c r="N47" s="2580"/>
      <c r="O47" s="2581"/>
      <c r="P47" s="2580"/>
      <c r="Q47" s="2580"/>
      <c r="R47" s="2580"/>
      <c r="S47" s="2580"/>
      <c r="T47" s="2580"/>
      <c r="U47" s="2580"/>
    </row>
    <row r="48" spans="1:28" ht="28.5">
      <c r="A48" s="1404" t="s">
        <v>1523</v>
      </c>
      <c r="B48" s="1395" t="s">
        <v>1524</v>
      </c>
      <c r="C48" s="1395" t="s">
        <v>1525</v>
      </c>
      <c r="D48" s="1395" t="s">
        <v>1526</v>
      </c>
      <c r="E48" s="1395" t="s">
        <v>1527</v>
      </c>
      <c r="F48" s="1395" t="s">
        <v>1528</v>
      </c>
      <c r="G48" s="1395" t="s">
        <v>1529</v>
      </c>
      <c r="H48" s="1395" t="s">
        <v>1530</v>
      </c>
      <c r="I48" s="1395" t="s">
        <v>1531</v>
      </c>
      <c r="J48" s="1468" t="s">
        <v>1532</v>
      </c>
      <c r="K48" s="2593" t="s">
        <v>1533</v>
      </c>
      <c r="L48" s="2593" t="s">
        <v>1534</v>
      </c>
      <c r="M48" s="2593" t="s">
        <v>1535</v>
      </c>
      <c r="N48" s="2594" t="s">
        <v>1536</v>
      </c>
      <c r="O48" s="2594" t="s">
        <v>1537</v>
      </c>
      <c r="P48" s="2594" t="s">
        <v>1538</v>
      </c>
      <c r="Q48" s="2585" t="s">
        <v>1539</v>
      </c>
      <c r="R48" s="2585" t="s">
        <v>1540</v>
      </c>
      <c r="S48" s="2580"/>
      <c r="T48" s="2580"/>
      <c r="U48" s="2580"/>
    </row>
    <row r="49" spans="1:21">
      <c r="A49" s="1401"/>
      <c r="B49" s="1433"/>
      <c r="C49" s="1433"/>
      <c r="D49" s="1433"/>
      <c r="E49" s="1433"/>
      <c r="F49" s="1433"/>
      <c r="G49" s="1433"/>
      <c r="H49" s="1433"/>
      <c r="I49" s="1433"/>
      <c r="J49" s="1525"/>
      <c r="K49" s="2595"/>
      <c r="L49" s="2595"/>
      <c r="M49" s="1438"/>
      <c r="N49" s="1438"/>
      <c r="O49" s="1438"/>
      <c r="P49" s="1438"/>
      <c r="Q49" s="1438"/>
      <c r="R49" s="1438"/>
      <c r="S49" s="2580"/>
      <c r="T49" s="2580"/>
      <c r="U49" s="2580"/>
    </row>
    <row r="50" spans="1:21">
      <c r="A50" s="1401"/>
      <c r="B50" s="1401"/>
      <c r="C50" s="1433"/>
      <c r="D50" s="1433"/>
      <c r="E50" s="1433"/>
      <c r="F50" s="1433"/>
      <c r="G50" s="1433"/>
      <c r="H50" s="1433"/>
      <c r="I50" s="1433"/>
      <c r="J50" s="1525"/>
      <c r="K50" s="2595"/>
      <c r="L50" s="2595"/>
      <c r="M50" s="1438"/>
      <c r="N50" s="1438"/>
      <c r="O50" s="1438"/>
      <c r="P50" s="1438"/>
      <c r="Q50" s="1438"/>
      <c r="R50" s="1438"/>
      <c r="S50" s="2580"/>
      <c r="T50" s="2580"/>
      <c r="U50" s="2580"/>
    </row>
    <row r="51" spans="1:21">
      <c r="A51" s="1401"/>
      <c r="B51" s="1401"/>
      <c r="C51" s="1433"/>
      <c r="D51" s="1433"/>
      <c r="E51" s="1433"/>
      <c r="F51" s="1433"/>
      <c r="G51" s="1433"/>
      <c r="H51" s="1433"/>
      <c r="I51" s="1433"/>
      <c r="J51" s="1525"/>
      <c r="K51" s="2595"/>
      <c r="L51" s="2595"/>
      <c r="M51" s="1438"/>
      <c r="N51" s="1438"/>
      <c r="O51" s="1438"/>
      <c r="P51" s="1438"/>
      <c r="Q51" s="1438"/>
      <c r="R51" s="1438"/>
      <c r="S51" s="2580"/>
      <c r="T51" s="2580"/>
      <c r="U51" s="2580"/>
    </row>
    <row r="52" spans="1:21">
      <c r="A52" s="1401"/>
      <c r="B52" s="1401"/>
      <c r="C52" s="1433"/>
      <c r="D52" s="1433"/>
      <c r="E52" s="1433"/>
      <c r="F52" s="1433"/>
      <c r="G52" s="1433"/>
      <c r="H52" s="1433"/>
      <c r="I52" s="1433"/>
      <c r="J52" s="1525"/>
      <c r="K52" s="2595"/>
      <c r="L52" s="2595"/>
      <c r="M52" s="1438"/>
      <c r="N52" s="1438"/>
      <c r="O52" s="1438"/>
      <c r="P52" s="1438"/>
      <c r="Q52" s="1438"/>
      <c r="R52" s="1438"/>
      <c r="S52" s="2580"/>
      <c r="T52" s="2580"/>
      <c r="U52" s="2580"/>
    </row>
    <row r="53" spans="1:21">
      <c r="A53" s="1401"/>
      <c r="B53" s="1401"/>
      <c r="C53" s="1433"/>
      <c r="D53" s="1433"/>
      <c r="E53" s="1433"/>
      <c r="F53" s="1433"/>
      <c r="G53" s="1433"/>
      <c r="H53" s="1433"/>
      <c r="I53" s="1433"/>
      <c r="J53" s="1525"/>
      <c r="K53" s="2595"/>
      <c r="L53" s="2595"/>
      <c r="M53" s="1438"/>
      <c r="N53" s="1438"/>
      <c r="O53" s="1438"/>
      <c r="P53" s="1438"/>
      <c r="Q53" s="1438"/>
      <c r="R53" s="1438"/>
      <c r="S53" s="2580"/>
      <c r="T53" s="2580"/>
      <c r="U53" s="2580"/>
    </row>
    <row r="54" spans="1:21">
      <c r="A54" s="1401"/>
      <c r="B54" s="1401"/>
      <c r="C54" s="1401"/>
      <c r="D54" s="1401"/>
      <c r="E54" s="1401"/>
      <c r="F54" s="1433"/>
      <c r="G54" s="1401"/>
      <c r="H54" s="1401"/>
      <c r="I54" s="1401"/>
      <c r="J54" s="1526"/>
      <c r="K54" s="2595"/>
      <c r="L54" s="2595"/>
      <c r="M54" s="2595"/>
      <c r="N54" s="2552"/>
      <c r="O54" s="2552"/>
      <c r="P54" s="2552"/>
      <c r="Q54" s="2552"/>
      <c r="R54" s="2552"/>
      <c r="S54" s="2580"/>
      <c r="T54" s="2580"/>
      <c r="U54" s="2580"/>
    </row>
    <row r="55" spans="1:21">
      <c r="A55" s="1401"/>
      <c r="B55" s="1401"/>
      <c r="C55" s="1401"/>
      <c r="D55" s="1401"/>
      <c r="E55" s="1401"/>
      <c r="F55" s="1433"/>
      <c r="G55" s="1401"/>
      <c r="H55" s="1401"/>
      <c r="I55" s="1401"/>
      <c r="J55" s="1526"/>
      <c r="K55" s="2595"/>
      <c r="L55" s="2595"/>
      <c r="M55" s="2595"/>
      <c r="N55" s="2552"/>
      <c r="O55" s="2552"/>
      <c r="P55" s="2552"/>
      <c r="Q55" s="2552"/>
      <c r="R55" s="2552"/>
      <c r="S55" s="2580"/>
      <c r="T55" s="2580"/>
      <c r="U55" s="2580"/>
    </row>
    <row r="56" spans="1:21">
      <c r="A56" s="1401"/>
      <c r="B56" s="1401"/>
      <c r="C56" s="1401"/>
      <c r="D56" s="1401"/>
      <c r="E56" s="1401"/>
      <c r="F56" s="1433"/>
      <c r="G56" s="1401"/>
      <c r="H56" s="1401"/>
      <c r="I56" s="1401"/>
      <c r="J56" s="1526"/>
      <c r="K56" s="2595"/>
      <c r="L56" s="2595"/>
      <c r="M56" s="2595"/>
      <c r="N56" s="2552"/>
      <c r="O56" s="2552"/>
      <c r="P56" s="2552"/>
      <c r="Q56" s="2552"/>
      <c r="R56" s="2552"/>
      <c r="S56" s="2580"/>
      <c r="T56" s="2580"/>
      <c r="U56" s="2580"/>
    </row>
    <row r="57" spans="1:21">
      <c r="A57" s="1401"/>
      <c r="B57" s="1401"/>
      <c r="C57" s="1401"/>
      <c r="D57" s="1401"/>
      <c r="E57" s="1401"/>
      <c r="F57" s="1433"/>
      <c r="G57" s="1401"/>
      <c r="H57" s="1401"/>
      <c r="I57" s="1401"/>
      <c r="J57" s="1526"/>
      <c r="K57" s="2595"/>
      <c r="L57" s="2595"/>
      <c r="M57" s="2595"/>
      <c r="N57" s="2552"/>
      <c r="O57" s="2552"/>
      <c r="P57" s="2552"/>
      <c r="Q57" s="2552"/>
      <c r="R57" s="2552"/>
      <c r="S57" s="2580"/>
      <c r="T57" s="2580"/>
      <c r="U57" s="2580"/>
    </row>
    <row r="58" spans="1:21">
      <c r="A58" s="1401"/>
      <c r="B58" s="1401"/>
      <c r="C58" s="1401"/>
      <c r="D58" s="1401"/>
      <c r="E58" s="1401"/>
      <c r="F58" s="1433"/>
      <c r="G58" s="1401"/>
      <c r="H58" s="1401"/>
      <c r="I58" s="1401"/>
      <c r="J58" s="1526"/>
      <c r="K58" s="2595"/>
      <c r="L58" s="2595"/>
      <c r="M58" s="2595"/>
      <c r="N58" s="2552"/>
      <c r="O58" s="2552"/>
      <c r="P58" s="2552"/>
      <c r="Q58" s="2552"/>
      <c r="R58" s="2552"/>
      <c r="S58" s="2580"/>
      <c r="T58" s="2580"/>
      <c r="U58" s="258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1688</v>
      </c>
      <c r="BA2" s="1924"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0"/>
      <c r="AV5" s="22" t="s">
        <v>134</v>
      </c>
      <c r="AW5" s="901"/>
      <c r="AX5" s="901"/>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2" t="s">
        <v>793</v>
      </c>
      <c r="AU8" s="41" t="s">
        <v>151</v>
      </c>
      <c r="AV8" s="51"/>
      <c r="AW8" s="864"/>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0" t="s">
        <v>3317</v>
      </c>
      <c r="J9" s="47"/>
      <c r="K9" s="2300" t="s">
        <v>3317</v>
      </c>
      <c r="L9" s="47"/>
      <c r="M9" s="2300"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3"/>
      <c r="AT9" s="41"/>
      <c r="AU9" s="41" t="s">
        <v>160</v>
      </c>
      <c r="AV9" s="51"/>
      <c r="AW9" s="864"/>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0" t="s">
        <v>851</v>
      </c>
      <c r="J10" s="47"/>
      <c r="K10" s="2302" t="s">
        <v>2732</v>
      </c>
      <c r="L10" s="47"/>
      <c r="M10" s="2302" t="s">
        <v>2732</v>
      </c>
      <c r="N10" s="47"/>
      <c r="O10" s="62" t="s">
        <v>2733</v>
      </c>
      <c r="P10" s="47"/>
      <c r="Q10" s="62"/>
      <c r="R10" s="47"/>
      <c r="S10" s="62"/>
      <c r="T10" s="47"/>
      <c r="U10" s="62"/>
      <c r="V10" s="47"/>
      <c r="W10" s="62"/>
      <c r="X10" s="47"/>
      <c r="Y10" s="62"/>
      <c r="Z10" s="47"/>
      <c r="AA10" s="62"/>
      <c r="AB10" s="47"/>
      <c r="AC10" s="51"/>
      <c r="AD10" s="1898" t="s">
        <v>1672</v>
      </c>
      <c r="AE10" s="1920"/>
      <c r="AF10" s="1898" t="s">
        <v>1672</v>
      </c>
      <c r="AG10" s="1920"/>
      <c r="AH10" s="1898" t="s">
        <v>1673</v>
      </c>
      <c r="AI10" s="1920"/>
      <c r="AJ10" s="22" t="s">
        <v>1686</v>
      </c>
      <c r="AK10" s="1917"/>
      <c r="AL10" s="1898" t="s">
        <v>1674</v>
      </c>
      <c r="AM10" s="1899"/>
      <c r="AN10" s="22" t="s">
        <v>164</v>
      </c>
      <c r="AO10" s="57"/>
      <c r="AP10" s="1029" t="s">
        <v>165</v>
      </c>
      <c r="AQ10" s="1031"/>
      <c r="AR10" s="1029" t="s">
        <v>165</v>
      </c>
      <c r="AS10" s="1031"/>
      <c r="AT10" s="41"/>
      <c r="AU10" s="41"/>
      <c r="AV10" s="51"/>
      <c r="AW10" s="864"/>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1"/>
      <c r="J11" s="67"/>
      <c r="K11" s="2301" t="s">
        <v>3305</v>
      </c>
      <c r="L11" s="67"/>
      <c r="M11" s="66"/>
      <c r="N11" s="67"/>
      <c r="O11" s="66"/>
      <c r="P11" s="67"/>
      <c r="Q11" s="66"/>
      <c r="R11" s="67"/>
      <c r="S11" s="66"/>
      <c r="T11" s="67"/>
      <c r="U11" s="66"/>
      <c r="V11" s="67"/>
      <c r="W11" s="66"/>
      <c r="X11" s="67"/>
      <c r="Y11" s="66"/>
      <c r="Z11" s="67"/>
      <c r="AA11" s="66"/>
      <c r="AB11" s="67"/>
      <c r="AC11" s="51"/>
      <c r="AD11" s="1918" t="s">
        <v>1685</v>
      </c>
      <c r="AE11" s="913"/>
      <c r="AF11" s="1918" t="s">
        <v>1685</v>
      </c>
      <c r="AG11" s="913"/>
      <c r="AH11" s="1918" t="s">
        <v>1684</v>
      </c>
      <c r="AI11" s="1919"/>
      <c r="AJ11" s="1918" t="s">
        <v>1684</v>
      </c>
      <c r="AK11" s="1917"/>
      <c r="AL11" s="911"/>
      <c r="AM11" s="913"/>
      <c r="AN11" s="911"/>
      <c r="AO11" s="913"/>
      <c r="AP11" s="1030"/>
      <c r="AQ11" s="1032"/>
      <c r="AR11" s="1030"/>
      <c r="AS11" s="1032"/>
      <c r="AT11" s="864"/>
      <c r="AU11" s="41"/>
      <c r="AV11" s="51"/>
      <c r="AW11" s="864"/>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6"/>
      <c r="B13" s="2296"/>
      <c r="C13" s="2296"/>
      <c r="D13" s="2297" t="s">
        <v>3325</v>
      </c>
      <c r="E13" s="23">
        <f t="shared" ref="E13:E20" si="6">IF($C$3="是",ROUND($A$3*G13/$B$3,2),ROUND($A$3*(G13-AT13)/$B$3,2))</f>
        <v>21672.98</v>
      </c>
      <c r="F13" s="76"/>
      <c r="G13" s="77">
        <f t="shared" ref="G13:G20" si="7">H13+AC13+AT13</f>
        <v>64390.649999999994</v>
      </c>
      <c r="H13" s="29">
        <f t="shared" ref="H13:H20" si="8">SUMIF(I$12:AB$12,"总值",I13:AB13)</f>
        <v>53873.7</v>
      </c>
      <c r="I13" s="2299">
        <f>指标!B4</f>
        <v>34475.879999999997</v>
      </c>
      <c r="J13" s="2299"/>
      <c r="K13" s="2299">
        <f>指标!B7</f>
        <v>5896.96</v>
      </c>
      <c r="L13" s="2299"/>
      <c r="M13" s="2299">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3">
        <f>指标!B39+指标!B40</f>
        <v>23.1</v>
      </c>
      <c r="AE13" s="2303"/>
      <c r="AF13" s="2303">
        <f>指标!B42+指标!B14</f>
        <v>954.6099999999999</v>
      </c>
      <c r="AG13" s="2303"/>
      <c r="AH13" s="2303">
        <f>指标!B33</f>
        <v>100.02</v>
      </c>
      <c r="AI13" s="2303"/>
      <c r="AJ13" s="2303">
        <f>指标!B34</f>
        <v>50.08</v>
      </c>
      <c r="AK13" s="2303"/>
      <c r="AL13" s="2303">
        <f>指标!E39+指标!B9</f>
        <v>648.72</v>
      </c>
      <c r="AM13" s="2303"/>
      <c r="AN13" s="2303">
        <f>指标!E40</f>
        <v>2339.2800000000002</v>
      </c>
      <c r="AO13" s="2303"/>
      <c r="AP13" s="2303"/>
      <c r="AQ13" s="2303"/>
      <c r="AR13" s="2303"/>
      <c r="AS13" s="2303"/>
      <c r="AT13" s="2304">
        <f>指标!B30</f>
        <v>6401.14</v>
      </c>
      <c r="AU13" s="2305"/>
      <c r="AV13" s="14">
        <f t="shared" ref="AV13:AX20" si="10">A13</f>
        <v>0</v>
      </c>
      <c r="AW13" s="14">
        <f t="shared" si="10"/>
        <v>0</v>
      </c>
      <c r="AX13" s="14">
        <f t="shared" si="10"/>
        <v>0</v>
      </c>
      <c r="AY13" s="907">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6"/>
      <c r="B14" s="2296"/>
      <c r="C14" s="2298"/>
      <c r="D14" s="2297"/>
      <c r="E14" s="23">
        <f t="shared" si="6"/>
        <v>0</v>
      </c>
      <c r="F14" s="76"/>
      <c r="G14" s="77">
        <f t="shared" si="7"/>
        <v>0</v>
      </c>
      <c r="H14" s="29">
        <f t="shared" si="8"/>
        <v>0</v>
      </c>
      <c r="I14" s="2299"/>
      <c r="J14" s="2299"/>
      <c r="K14" s="2299"/>
      <c r="L14" s="2299"/>
      <c r="M14" s="2299"/>
      <c r="N14" s="78"/>
      <c r="O14" s="78"/>
      <c r="P14" s="78"/>
      <c r="Q14" s="78"/>
      <c r="R14" s="78"/>
      <c r="S14" s="78"/>
      <c r="T14" s="78"/>
      <c r="U14" s="78"/>
      <c r="V14" s="78"/>
      <c r="W14" s="78"/>
      <c r="X14" s="78"/>
      <c r="Y14" s="78"/>
      <c r="Z14" s="78"/>
      <c r="AA14" s="78"/>
      <c r="AB14" s="78"/>
      <c r="AC14" s="23">
        <f t="shared" si="9"/>
        <v>0</v>
      </c>
      <c r="AD14" s="2303"/>
      <c r="AE14" s="2303"/>
      <c r="AF14" s="2303"/>
      <c r="AG14" s="2303"/>
      <c r="AH14" s="2303"/>
      <c r="AI14" s="2303"/>
      <c r="AJ14" s="2303"/>
      <c r="AK14" s="2303"/>
      <c r="AL14" s="2303"/>
      <c r="AM14" s="2303"/>
      <c r="AN14" s="2303"/>
      <c r="AO14" s="2303"/>
      <c r="AP14" s="2303"/>
      <c r="AQ14" s="2303"/>
      <c r="AR14" s="2303"/>
      <c r="AS14" s="2303"/>
      <c r="AT14" s="2304"/>
      <c r="AU14" s="2305"/>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6"/>
      <c r="B15" s="2296"/>
      <c r="C15" s="2298"/>
      <c r="D15" s="2297"/>
      <c r="E15" s="23">
        <f t="shared" si="6"/>
        <v>0</v>
      </c>
      <c r="F15" s="76"/>
      <c r="G15" s="77">
        <f t="shared" si="7"/>
        <v>0</v>
      </c>
      <c r="H15" s="29">
        <f t="shared" si="8"/>
        <v>0</v>
      </c>
      <c r="I15" s="2299"/>
      <c r="J15" s="2299"/>
      <c r="K15" s="2299"/>
      <c r="L15" s="2299"/>
      <c r="M15" s="2299"/>
      <c r="N15" s="78"/>
      <c r="O15" s="78"/>
      <c r="P15" s="78"/>
      <c r="Q15" s="78"/>
      <c r="R15" s="78"/>
      <c r="S15" s="78"/>
      <c r="T15" s="78"/>
      <c r="U15" s="78"/>
      <c r="V15" s="78"/>
      <c r="W15" s="78"/>
      <c r="X15" s="78"/>
      <c r="Y15" s="78"/>
      <c r="Z15" s="78"/>
      <c r="AA15" s="78"/>
      <c r="AB15" s="78"/>
      <c r="AC15" s="23">
        <f t="shared" si="9"/>
        <v>0</v>
      </c>
      <c r="AD15" s="2303"/>
      <c r="AE15" s="2303"/>
      <c r="AF15" s="2303"/>
      <c r="AG15" s="2303"/>
      <c r="AH15" s="2303"/>
      <c r="AI15" s="2303"/>
      <c r="AJ15" s="2303"/>
      <c r="AK15" s="2303"/>
      <c r="AL15" s="2303"/>
      <c r="AM15" s="2303"/>
      <c r="AN15" s="2303"/>
      <c r="AO15" s="2303"/>
      <c r="AP15" s="2303"/>
      <c r="AQ15" s="2303"/>
      <c r="AR15" s="2303"/>
      <c r="AS15" s="2303"/>
      <c r="AT15" s="2304"/>
      <c r="AU15" s="2305"/>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6"/>
      <c r="B16" s="2296"/>
      <c r="C16" s="2298"/>
      <c r="D16" s="2297"/>
      <c r="E16" s="23">
        <f t="shared" si="6"/>
        <v>0</v>
      </c>
      <c r="F16" s="76"/>
      <c r="G16" s="77">
        <f t="shared" si="7"/>
        <v>0</v>
      </c>
      <c r="H16" s="29">
        <f t="shared" si="8"/>
        <v>0</v>
      </c>
      <c r="I16" s="2299"/>
      <c r="J16" s="2299"/>
      <c r="K16" s="2299"/>
      <c r="L16" s="2299"/>
      <c r="M16" s="2299"/>
      <c r="N16" s="78"/>
      <c r="O16" s="78"/>
      <c r="P16" s="78"/>
      <c r="Q16" s="78"/>
      <c r="R16" s="78"/>
      <c r="S16" s="78"/>
      <c r="T16" s="78"/>
      <c r="U16" s="78"/>
      <c r="V16" s="78"/>
      <c r="W16" s="78"/>
      <c r="X16" s="78"/>
      <c r="Y16" s="78"/>
      <c r="Z16" s="78"/>
      <c r="AA16" s="78"/>
      <c r="AB16" s="78"/>
      <c r="AC16" s="23">
        <f t="shared" si="9"/>
        <v>0</v>
      </c>
      <c r="AD16" s="2303"/>
      <c r="AE16" s="2303"/>
      <c r="AF16" s="2303"/>
      <c r="AG16" s="2303"/>
      <c r="AH16" s="2303"/>
      <c r="AI16" s="2303"/>
      <c r="AJ16" s="2303"/>
      <c r="AK16" s="2303"/>
      <c r="AL16" s="2303"/>
      <c r="AM16" s="2303"/>
      <c r="AN16" s="2303"/>
      <c r="AO16" s="2303"/>
      <c r="AP16" s="2303"/>
      <c r="AQ16" s="2303"/>
      <c r="AR16" s="2303"/>
      <c r="AS16" s="2303"/>
      <c r="AT16" s="2304"/>
      <c r="AU16" s="2305"/>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6"/>
      <c r="B17" s="2296"/>
      <c r="C17" s="2298"/>
      <c r="D17" s="2297"/>
      <c r="E17" s="23">
        <f t="shared" si="6"/>
        <v>0</v>
      </c>
      <c r="F17" s="76"/>
      <c r="G17" s="77">
        <f t="shared" si="7"/>
        <v>0</v>
      </c>
      <c r="H17" s="29">
        <f t="shared" si="8"/>
        <v>0</v>
      </c>
      <c r="I17" s="2299"/>
      <c r="J17" s="2299"/>
      <c r="K17" s="2299"/>
      <c r="L17" s="2299"/>
      <c r="M17" s="2299"/>
      <c r="N17" s="78"/>
      <c r="O17" s="78"/>
      <c r="P17" s="78"/>
      <c r="Q17" s="78"/>
      <c r="R17" s="78"/>
      <c r="S17" s="78"/>
      <c r="T17" s="78"/>
      <c r="U17" s="78"/>
      <c r="V17" s="78"/>
      <c r="W17" s="78"/>
      <c r="X17" s="78"/>
      <c r="Y17" s="78"/>
      <c r="Z17" s="78"/>
      <c r="AA17" s="78"/>
      <c r="AB17" s="78"/>
      <c r="AC17" s="23">
        <f t="shared" si="9"/>
        <v>0</v>
      </c>
      <c r="AD17" s="2303"/>
      <c r="AE17" s="2303"/>
      <c r="AF17" s="2303"/>
      <c r="AG17" s="2303"/>
      <c r="AH17" s="2303"/>
      <c r="AI17" s="2303"/>
      <c r="AJ17" s="2303"/>
      <c r="AK17" s="2303"/>
      <c r="AL17" s="2303"/>
      <c r="AM17" s="2303"/>
      <c r="AN17" s="2303"/>
      <c r="AO17" s="2303"/>
      <c r="AP17" s="2303"/>
      <c r="AQ17" s="2303"/>
      <c r="AR17" s="2303"/>
      <c r="AS17" s="2303"/>
      <c r="AT17" s="2304"/>
      <c r="AU17" s="2305"/>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7"/>
      <c r="E18" s="81">
        <f t="shared" si="6"/>
        <v>0</v>
      </c>
      <c r="F18" s="82"/>
      <c r="G18" s="83">
        <f t="shared" si="7"/>
        <v>0</v>
      </c>
      <c r="H18" s="84">
        <f t="shared" si="8"/>
        <v>0</v>
      </c>
      <c r="I18" s="1177"/>
      <c r="J18" s="85"/>
      <c r="K18" s="1177"/>
      <c r="L18" s="85"/>
      <c r="M18" s="85"/>
      <c r="N18" s="85"/>
      <c r="O18" s="85"/>
      <c r="P18" s="85"/>
      <c r="Q18" s="85"/>
      <c r="R18" s="85"/>
      <c r="S18" s="85"/>
      <c r="T18" s="85"/>
      <c r="U18" s="85"/>
      <c r="V18" s="85"/>
      <c r="W18" s="85"/>
      <c r="X18" s="85"/>
      <c r="Y18" s="85"/>
      <c r="Z18" s="85"/>
      <c r="AA18" s="85"/>
      <c r="AB18" s="85"/>
      <c r="AC18" s="81">
        <f t="shared" si="9"/>
        <v>0</v>
      </c>
      <c r="AD18" s="86"/>
      <c r="AE18" s="86"/>
      <c r="AF18" s="1177"/>
      <c r="AG18" s="86"/>
      <c r="AH18" s="86"/>
      <c r="AI18" s="86"/>
      <c r="AJ18" s="86"/>
      <c r="AK18" s="86"/>
      <c r="AL18" s="1155"/>
      <c r="AM18" s="86"/>
      <c r="AN18" s="1177"/>
      <c r="AO18" s="86"/>
      <c r="AP18" s="86"/>
      <c r="AQ18" s="86"/>
      <c r="AR18" s="86"/>
      <c r="AS18" s="86"/>
      <c r="AT18" s="82"/>
      <c r="AU18" s="87"/>
      <c r="AV18" s="815">
        <f t="shared" si="10"/>
        <v>0</v>
      </c>
      <c r="AW18" s="815">
        <f t="shared" si="10"/>
        <v>0</v>
      </c>
      <c r="AX18" s="81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9"/>
      <c r="C19" s="1177"/>
      <c r="D19" s="2297"/>
      <c r="E19" s="81">
        <f t="shared" si="6"/>
        <v>0</v>
      </c>
      <c r="F19" s="82"/>
      <c r="G19" s="83">
        <f t="shared" si="7"/>
        <v>0</v>
      </c>
      <c r="H19" s="84">
        <f t="shared" si="8"/>
        <v>0</v>
      </c>
      <c r="I19" s="1177"/>
      <c r="J19" s="85"/>
      <c r="K19" s="1177"/>
      <c r="L19" s="85"/>
      <c r="M19" s="85"/>
      <c r="N19" s="85"/>
      <c r="O19" s="85"/>
      <c r="P19" s="85"/>
      <c r="Q19" s="85"/>
      <c r="R19" s="85"/>
      <c r="S19" s="85"/>
      <c r="T19" s="85"/>
      <c r="U19" s="85"/>
      <c r="V19" s="85"/>
      <c r="W19" s="85"/>
      <c r="X19" s="85"/>
      <c r="Y19" s="85"/>
      <c r="Z19" s="85"/>
      <c r="AA19" s="85"/>
      <c r="AB19" s="85"/>
      <c r="AC19" s="81">
        <f t="shared" si="9"/>
        <v>0</v>
      </c>
      <c r="AD19" s="86"/>
      <c r="AE19" s="86"/>
      <c r="AF19" s="1177"/>
      <c r="AG19" s="86"/>
      <c r="AH19" s="86"/>
      <c r="AI19" s="86"/>
      <c r="AJ19" s="86"/>
      <c r="AK19" s="86"/>
      <c r="AL19" s="86"/>
      <c r="AM19" s="86"/>
      <c r="AN19" s="1177"/>
      <c r="AO19" s="86"/>
      <c r="AP19" s="86"/>
      <c r="AQ19" s="86"/>
      <c r="AR19" s="86"/>
      <c r="AS19" s="86"/>
      <c r="AT19" s="82"/>
      <c r="AU19" s="87"/>
      <c r="AV19" s="815">
        <f t="shared" si="10"/>
        <v>0</v>
      </c>
      <c r="AW19" s="815">
        <f t="shared" si="10"/>
        <v>0</v>
      </c>
      <c r="AX19" s="81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9"/>
      <c r="C20" s="1177"/>
      <c r="D20" s="2297"/>
      <c r="E20" s="81">
        <f t="shared" si="6"/>
        <v>0</v>
      </c>
      <c r="F20" s="82"/>
      <c r="G20" s="83">
        <f t="shared" si="7"/>
        <v>0</v>
      </c>
      <c r="H20" s="84">
        <f t="shared" si="8"/>
        <v>0</v>
      </c>
      <c r="I20" s="1177"/>
      <c r="J20" s="85"/>
      <c r="K20" s="1177"/>
      <c r="L20" s="85"/>
      <c r="M20" s="85"/>
      <c r="N20" s="85"/>
      <c r="O20" s="85"/>
      <c r="P20" s="85"/>
      <c r="Q20" s="85"/>
      <c r="R20" s="85"/>
      <c r="S20" s="85"/>
      <c r="T20" s="85"/>
      <c r="U20" s="85"/>
      <c r="V20" s="85"/>
      <c r="W20" s="85"/>
      <c r="X20" s="85"/>
      <c r="Y20" s="85"/>
      <c r="Z20" s="85"/>
      <c r="AA20" s="85"/>
      <c r="AB20" s="85"/>
      <c r="AC20" s="81">
        <f t="shared" si="9"/>
        <v>0</v>
      </c>
      <c r="AD20" s="86"/>
      <c r="AE20" s="86"/>
      <c r="AF20" s="1177"/>
      <c r="AG20" s="86"/>
      <c r="AH20" s="86"/>
      <c r="AI20" s="86"/>
      <c r="AJ20" s="86"/>
      <c r="AK20" s="86"/>
      <c r="AL20" s="86"/>
      <c r="AM20" s="86"/>
      <c r="AN20" s="1177"/>
      <c r="AO20" s="86"/>
      <c r="AP20" s="86"/>
      <c r="AQ20" s="86"/>
      <c r="AR20" s="86"/>
      <c r="AS20" s="86"/>
      <c r="AT20" s="82"/>
      <c r="AU20" s="87"/>
      <c r="AV20" s="815">
        <f t="shared" si="10"/>
        <v>0</v>
      </c>
      <c r="AW20" s="815">
        <f t="shared" si="10"/>
        <v>0</v>
      </c>
      <c r="AX20" s="81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6"/>
      <c r="C21" s="1177"/>
      <c r="D21" s="2297"/>
      <c r="E21" s="81">
        <f t="shared" ref="E21:E112" si="33">IF($C$3="是",ROUND($A$3*G21/$B$3,2),ROUND($A$3*(G21-AT21)/$B$3,2))</f>
        <v>0</v>
      </c>
      <c r="F21" s="82"/>
      <c r="G21" s="83">
        <f t="shared" ref="G21:G109" si="34">H21+AC21+AT21</f>
        <v>0</v>
      </c>
      <c r="H21" s="84">
        <f t="shared" ref="H21:H109" si="35">SUMIF(I$12:AB$12,"总值",I21:AB21)</f>
        <v>0</v>
      </c>
      <c r="I21" s="1177"/>
      <c r="J21" s="85"/>
      <c r="K21" s="1177"/>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8"/>
      <c r="AG21" s="86"/>
      <c r="AH21" s="86"/>
      <c r="AI21" s="86"/>
      <c r="AJ21" s="86"/>
      <c r="AK21" s="86"/>
      <c r="AL21" s="86"/>
      <c r="AM21" s="86"/>
      <c r="AN21" s="1155"/>
      <c r="AO21" s="86"/>
      <c r="AP21" s="86"/>
      <c r="AQ21" s="86"/>
      <c r="AR21" s="86"/>
      <c r="AS21" s="86"/>
      <c r="AT21" s="82"/>
      <c r="AU21" s="87"/>
      <c r="AV21" s="815">
        <f t="shared" ref="AV21:AV112" si="37">A21</f>
        <v>0</v>
      </c>
      <c r="AW21" s="815">
        <f t="shared" ref="AW21:AW112" si="38">B21</f>
        <v>0</v>
      </c>
      <c r="AX21" s="81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6"/>
      <c r="C22" s="1177"/>
      <c r="D22" s="2297"/>
      <c r="E22" s="81">
        <f t="shared" si="33"/>
        <v>0</v>
      </c>
      <c r="F22" s="82"/>
      <c r="G22" s="83">
        <f t="shared" si="34"/>
        <v>0</v>
      </c>
      <c r="H22" s="84">
        <f t="shared" si="35"/>
        <v>0</v>
      </c>
      <c r="I22" s="1177"/>
      <c r="J22" s="85"/>
      <c r="K22" s="1177"/>
      <c r="L22" s="85"/>
      <c r="M22" s="1155"/>
      <c r="N22" s="85"/>
      <c r="O22" s="85"/>
      <c r="P22" s="85"/>
      <c r="Q22" s="85"/>
      <c r="R22" s="85"/>
      <c r="S22" s="85"/>
      <c r="T22" s="85"/>
      <c r="U22" s="85"/>
      <c r="V22" s="85"/>
      <c r="W22" s="85"/>
      <c r="X22" s="85"/>
      <c r="Y22" s="85"/>
      <c r="Z22" s="85"/>
      <c r="AA22" s="85"/>
      <c r="AB22" s="85"/>
      <c r="AC22" s="81">
        <f t="shared" si="36"/>
        <v>0</v>
      </c>
      <c r="AD22" s="1155"/>
      <c r="AE22" s="86"/>
      <c r="AF22" s="1178"/>
      <c r="AG22" s="86"/>
      <c r="AH22" s="86"/>
      <c r="AI22" s="86"/>
      <c r="AJ22" s="86"/>
      <c r="AK22" s="86"/>
      <c r="AL22" s="1155"/>
      <c r="AM22" s="86"/>
      <c r="AN22" s="1155"/>
      <c r="AO22" s="86"/>
      <c r="AP22" s="86"/>
      <c r="AQ22" s="86"/>
      <c r="AR22" s="86"/>
      <c r="AS22" s="86"/>
      <c r="AT22" s="82"/>
      <c r="AU22" s="87"/>
      <c r="AV22" s="815">
        <f t="shared" si="37"/>
        <v>0</v>
      </c>
      <c r="AW22" s="815">
        <f t="shared" si="38"/>
        <v>0</v>
      </c>
      <c r="AX22" s="81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6"/>
      <c r="C23" s="1177"/>
      <c r="D23" s="2297"/>
      <c r="E23" s="81">
        <f t="shared" si="33"/>
        <v>0</v>
      </c>
      <c r="F23" s="82"/>
      <c r="G23" s="83">
        <f t="shared" si="34"/>
        <v>0</v>
      </c>
      <c r="H23" s="84">
        <f t="shared" si="35"/>
        <v>0</v>
      </c>
      <c r="I23" s="1177"/>
      <c r="J23" s="85"/>
      <c r="K23" s="1177"/>
      <c r="L23" s="85"/>
      <c r="M23" s="1155"/>
      <c r="N23" s="85"/>
      <c r="O23" s="85"/>
      <c r="P23" s="85"/>
      <c r="Q23" s="85"/>
      <c r="R23" s="85"/>
      <c r="S23" s="85"/>
      <c r="T23" s="85"/>
      <c r="U23" s="85"/>
      <c r="V23" s="85"/>
      <c r="W23" s="85"/>
      <c r="X23" s="85"/>
      <c r="Y23" s="85"/>
      <c r="Z23" s="85"/>
      <c r="AA23" s="85"/>
      <c r="AB23" s="85"/>
      <c r="AC23" s="81">
        <f t="shared" si="36"/>
        <v>0</v>
      </c>
      <c r="AD23" s="86"/>
      <c r="AE23" s="86"/>
      <c r="AF23" s="1178"/>
      <c r="AG23" s="86"/>
      <c r="AH23" s="86"/>
      <c r="AI23" s="86"/>
      <c r="AJ23" s="86"/>
      <c r="AK23" s="86"/>
      <c r="AL23" s="1155"/>
      <c r="AM23" s="86"/>
      <c r="AN23" s="1155"/>
      <c r="AO23" s="86"/>
      <c r="AP23" s="86"/>
      <c r="AQ23" s="86"/>
      <c r="AR23" s="86"/>
      <c r="AS23" s="86"/>
      <c r="AT23" s="82"/>
      <c r="AU23" s="87"/>
      <c r="AV23" s="815">
        <f t="shared" si="37"/>
        <v>0</v>
      </c>
      <c r="AW23" s="815">
        <f t="shared" si="38"/>
        <v>0</v>
      </c>
      <c r="AX23" s="81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6"/>
      <c r="C24" s="1177"/>
      <c r="D24" s="2297"/>
      <c r="E24" s="81">
        <f t="shared" si="33"/>
        <v>0</v>
      </c>
      <c r="F24" s="82"/>
      <c r="G24" s="83">
        <f t="shared" si="34"/>
        <v>0</v>
      </c>
      <c r="H24" s="84">
        <f t="shared" si="35"/>
        <v>0</v>
      </c>
      <c r="I24" s="1177"/>
      <c r="J24" s="85"/>
      <c r="K24" s="1177"/>
      <c r="L24" s="85"/>
      <c r="M24" s="85"/>
      <c r="N24" s="85"/>
      <c r="O24" s="1155"/>
      <c r="P24" s="85"/>
      <c r="Q24" s="85"/>
      <c r="R24" s="85"/>
      <c r="S24" s="85"/>
      <c r="T24" s="85"/>
      <c r="U24" s="85"/>
      <c r="V24" s="85"/>
      <c r="W24" s="85"/>
      <c r="X24" s="85"/>
      <c r="Y24" s="85"/>
      <c r="Z24" s="85"/>
      <c r="AA24" s="85"/>
      <c r="AB24" s="85"/>
      <c r="AC24" s="81">
        <f t="shared" si="36"/>
        <v>0</v>
      </c>
      <c r="AD24" s="86"/>
      <c r="AE24" s="86"/>
      <c r="AF24" s="1178"/>
      <c r="AG24" s="86"/>
      <c r="AH24" s="86"/>
      <c r="AI24" s="86"/>
      <c r="AJ24" s="86"/>
      <c r="AK24" s="86"/>
      <c r="AL24" s="86"/>
      <c r="AM24" s="86"/>
      <c r="AN24" s="1155"/>
      <c r="AO24" s="86"/>
      <c r="AP24" s="86"/>
      <c r="AQ24" s="86"/>
      <c r="AR24" s="86"/>
      <c r="AS24" s="86"/>
      <c r="AT24" s="82"/>
      <c r="AU24" s="87"/>
      <c r="AV24" s="815">
        <f t="shared" si="37"/>
        <v>0</v>
      </c>
      <c r="AW24" s="815">
        <f t="shared" si="38"/>
        <v>0</v>
      </c>
      <c r="AX24" s="81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6"/>
      <c r="C25" s="1177"/>
      <c r="D25" s="2297"/>
      <c r="E25" s="81">
        <f t="shared" si="33"/>
        <v>0</v>
      </c>
      <c r="F25" s="82"/>
      <c r="G25" s="83">
        <f t="shared" si="34"/>
        <v>0</v>
      </c>
      <c r="H25" s="84">
        <f t="shared" si="35"/>
        <v>0</v>
      </c>
      <c r="I25" s="1177"/>
      <c r="J25" s="85"/>
      <c r="K25" s="1177"/>
      <c r="L25" s="85"/>
      <c r="M25" s="85"/>
      <c r="N25" s="85"/>
      <c r="O25" s="85"/>
      <c r="P25" s="85"/>
      <c r="Q25" s="85"/>
      <c r="R25" s="85"/>
      <c r="S25" s="85"/>
      <c r="T25" s="85"/>
      <c r="U25" s="85"/>
      <c r="V25" s="85"/>
      <c r="W25" s="85"/>
      <c r="X25" s="85"/>
      <c r="Y25" s="85"/>
      <c r="Z25" s="85"/>
      <c r="AA25" s="85"/>
      <c r="AB25" s="85"/>
      <c r="AC25" s="81">
        <f t="shared" si="36"/>
        <v>0</v>
      </c>
      <c r="AD25" s="86"/>
      <c r="AE25" s="86"/>
      <c r="AF25" s="1178"/>
      <c r="AG25" s="86"/>
      <c r="AH25" s="86"/>
      <c r="AI25" s="86"/>
      <c r="AJ25" s="86"/>
      <c r="AK25" s="86"/>
      <c r="AL25" s="86"/>
      <c r="AM25" s="86"/>
      <c r="AN25" s="86"/>
      <c r="AO25" s="86"/>
      <c r="AP25" s="86"/>
      <c r="AQ25" s="86"/>
      <c r="AR25" s="86"/>
      <c r="AS25" s="86"/>
      <c r="AT25" s="82"/>
      <c r="AU25" s="87"/>
      <c r="AV25" s="815">
        <f t="shared" si="37"/>
        <v>0</v>
      </c>
      <c r="AW25" s="815">
        <f t="shared" si="38"/>
        <v>0</v>
      </c>
      <c r="AX25" s="81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6"/>
      <c r="C26" s="1177"/>
      <c r="D26" s="2297"/>
      <c r="E26" s="81">
        <f t="shared" si="33"/>
        <v>0</v>
      </c>
      <c r="F26" s="82"/>
      <c r="G26" s="83">
        <f t="shared" si="34"/>
        <v>0</v>
      </c>
      <c r="H26" s="84">
        <f t="shared" si="35"/>
        <v>0</v>
      </c>
      <c r="I26" s="1177"/>
      <c r="J26" s="85"/>
      <c r="K26" s="1177"/>
      <c r="L26" s="85"/>
      <c r="M26" s="85"/>
      <c r="N26" s="85"/>
      <c r="O26" s="85"/>
      <c r="P26" s="85"/>
      <c r="Q26" s="85"/>
      <c r="R26" s="85"/>
      <c r="S26" s="85"/>
      <c r="T26" s="85"/>
      <c r="U26" s="85"/>
      <c r="V26" s="85"/>
      <c r="W26" s="85"/>
      <c r="X26" s="85"/>
      <c r="Y26" s="85"/>
      <c r="Z26" s="85"/>
      <c r="AA26" s="85"/>
      <c r="AB26" s="85"/>
      <c r="AC26" s="81">
        <f t="shared" si="36"/>
        <v>0</v>
      </c>
      <c r="AD26" s="86"/>
      <c r="AE26" s="86"/>
      <c r="AF26" s="1178"/>
      <c r="AG26" s="86"/>
      <c r="AH26" s="86"/>
      <c r="AI26" s="86"/>
      <c r="AJ26" s="86"/>
      <c r="AK26" s="86"/>
      <c r="AL26" s="86"/>
      <c r="AM26" s="86"/>
      <c r="AN26" s="86"/>
      <c r="AO26" s="86"/>
      <c r="AP26" s="86"/>
      <c r="AQ26" s="86"/>
      <c r="AR26" s="86"/>
      <c r="AS26" s="86"/>
      <c r="AT26" s="82"/>
      <c r="AU26" s="87"/>
      <c r="AV26" s="815">
        <f t="shared" si="37"/>
        <v>0</v>
      </c>
      <c r="AW26" s="815">
        <f t="shared" si="38"/>
        <v>0</v>
      </c>
      <c r="AX26" s="81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6"/>
      <c r="C27" s="1177"/>
      <c r="D27" s="2297"/>
      <c r="E27" s="81">
        <f t="shared" si="33"/>
        <v>0</v>
      </c>
      <c r="F27" s="82"/>
      <c r="G27" s="83">
        <f t="shared" si="34"/>
        <v>0</v>
      </c>
      <c r="H27" s="84">
        <f t="shared" si="35"/>
        <v>0</v>
      </c>
      <c r="I27" s="1177"/>
      <c r="J27" s="85"/>
      <c r="K27" s="1177"/>
      <c r="L27" s="85"/>
      <c r="M27" s="85"/>
      <c r="N27" s="85"/>
      <c r="O27" s="85"/>
      <c r="P27" s="85"/>
      <c r="Q27" s="85"/>
      <c r="R27" s="85"/>
      <c r="S27" s="85"/>
      <c r="T27" s="85"/>
      <c r="U27" s="85"/>
      <c r="V27" s="85"/>
      <c r="W27" s="85"/>
      <c r="X27" s="85"/>
      <c r="Y27" s="85"/>
      <c r="Z27" s="85"/>
      <c r="AA27" s="85"/>
      <c r="AB27" s="85"/>
      <c r="AC27" s="81">
        <f t="shared" si="36"/>
        <v>0</v>
      </c>
      <c r="AD27" s="86"/>
      <c r="AE27" s="86"/>
      <c r="AF27" s="1178"/>
      <c r="AG27" s="86"/>
      <c r="AH27" s="86"/>
      <c r="AI27" s="86"/>
      <c r="AJ27" s="86"/>
      <c r="AK27" s="86"/>
      <c r="AL27" s="86"/>
      <c r="AM27" s="86"/>
      <c r="AN27" s="86"/>
      <c r="AO27" s="86"/>
      <c r="AP27" s="86"/>
      <c r="AQ27" s="86"/>
      <c r="AR27" s="86"/>
      <c r="AS27" s="86"/>
      <c r="AT27" s="82"/>
      <c r="AU27" s="87"/>
      <c r="AV27" s="815">
        <f t="shared" si="37"/>
        <v>0</v>
      </c>
      <c r="AW27" s="815">
        <f t="shared" si="38"/>
        <v>0</v>
      </c>
      <c r="AX27" s="81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6"/>
      <c r="C28" s="1177"/>
      <c r="D28" s="2297"/>
      <c r="E28" s="81">
        <f t="shared" si="33"/>
        <v>0</v>
      </c>
      <c r="F28" s="82"/>
      <c r="G28" s="83">
        <f t="shared" si="34"/>
        <v>0</v>
      </c>
      <c r="H28" s="84">
        <f t="shared" si="35"/>
        <v>0</v>
      </c>
      <c r="I28" s="1177"/>
      <c r="J28" s="85"/>
      <c r="K28" s="1177"/>
      <c r="L28" s="85"/>
      <c r="M28" s="85"/>
      <c r="N28" s="85"/>
      <c r="O28" s="85"/>
      <c r="P28" s="85"/>
      <c r="Q28" s="85"/>
      <c r="R28" s="85"/>
      <c r="S28" s="85"/>
      <c r="T28" s="85"/>
      <c r="U28" s="85"/>
      <c r="V28" s="85"/>
      <c r="W28" s="85"/>
      <c r="X28" s="85"/>
      <c r="Y28" s="85"/>
      <c r="Z28" s="85"/>
      <c r="AA28" s="85"/>
      <c r="AB28" s="85"/>
      <c r="AC28" s="81">
        <f t="shared" si="36"/>
        <v>0</v>
      </c>
      <c r="AD28" s="86"/>
      <c r="AE28" s="86"/>
      <c r="AF28" s="1177"/>
      <c r="AG28" s="86"/>
      <c r="AH28" s="86"/>
      <c r="AI28" s="86"/>
      <c r="AJ28" s="86"/>
      <c r="AK28" s="86"/>
      <c r="AL28" s="86"/>
      <c r="AM28" s="86"/>
      <c r="AN28" s="86"/>
      <c r="AO28" s="86"/>
      <c r="AP28" s="86"/>
      <c r="AQ28" s="86"/>
      <c r="AR28" s="86"/>
      <c r="AS28" s="86"/>
      <c r="AT28" s="82"/>
      <c r="AU28" s="87"/>
      <c r="AV28" s="815">
        <f t="shared" si="37"/>
        <v>0</v>
      </c>
      <c r="AW28" s="815">
        <f t="shared" si="38"/>
        <v>0</v>
      </c>
      <c r="AX28" s="81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6"/>
      <c r="C29" s="1177"/>
      <c r="D29" s="2297"/>
      <c r="E29" s="81">
        <f t="shared" si="33"/>
        <v>0</v>
      </c>
      <c r="F29" s="82"/>
      <c r="G29" s="83">
        <f t="shared" si="34"/>
        <v>0</v>
      </c>
      <c r="H29" s="84">
        <f t="shared" si="35"/>
        <v>0</v>
      </c>
      <c r="I29" s="1177"/>
      <c r="J29" s="85"/>
      <c r="K29" s="1177"/>
      <c r="L29" s="85"/>
      <c r="M29" s="85"/>
      <c r="N29" s="85"/>
      <c r="O29" s="85"/>
      <c r="P29" s="85"/>
      <c r="Q29" s="85"/>
      <c r="R29" s="85"/>
      <c r="S29" s="85"/>
      <c r="T29" s="85"/>
      <c r="U29" s="85"/>
      <c r="V29" s="85"/>
      <c r="W29" s="85"/>
      <c r="X29" s="85"/>
      <c r="Y29" s="85"/>
      <c r="Z29" s="85"/>
      <c r="AA29" s="85"/>
      <c r="AB29" s="85"/>
      <c r="AC29" s="81">
        <f t="shared" si="36"/>
        <v>0</v>
      </c>
      <c r="AD29" s="86"/>
      <c r="AE29" s="86"/>
      <c r="AF29" s="1177"/>
      <c r="AG29" s="86"/>
      <c r="AH29" s="86"/>
      <c r="AI29" s="86"/>
      <c r="AJ29" s="86"/>
      <c r="AK29" s="86"/>
      <c r="AL29" s="86"/>
      <c r="AM29" s="86"/>
      <c r="AN29" s="86"/>
      <c r="AO29" s="86"/>
      <c r="AP29" s="86"/>
      <c r="AQ29" s="86"/>
      <c r="AR29" s="86"/>
      <c r="AS29" s="86"/>
      <c r="AT29" s="82"/>
      <c r="AU29" s="87"/>
      <c r="AV29" s="815">
        <f t="shared" si="37"/>
        <v>0</v>
      </c>
      <c r="AW29" s="815">
        <f t="shared" si="38"/>
        <v>0</v>
      </c>
      <c r="AX29" s="81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6"/>
      <c r="C30" s="1177"/>
      <c r="D30" s="2297"/>
      <c r="E30" s="81">
        <f t="shared" si="33"/>
        <v>0</v>
      </c>
      <c r="F30" s="82"/>
      <c r="G30" s="83">
        <f t="shared" si="34"/>
        <v>0</v>
      </c>
      <c r="H30" s="84">
        <f t="shared" si="35"/>
        <v>0</v>
      </c>
      <c r="I30" s="1177"/>
      <c r="J30" s="85"/>
      <c r="K30" s="1177"/>
      <c r="L30" s="85"/>
      <c r="M30" s="85"/>
      <c r="N30" s="85"/>
      <c r="O30" s="85"/>
      <c r="P30" s="85"/>
      <c r="Q30" s="85"/>
      <c r="R30" s="85"/>
      <c r="S30" s="85"/>
      <c r="T30" s="85"/>
      <c r="U30" s="85"/>
      <c r="V30" s="85"/>
      <c r="W30" s="85"/>
      <c r="X30" s="85"/>
      <c r="Y30" s="85"/>
      <c r="Z30" s="85"/>
      <c r="AA30" s="85"/>
      <c r="AB30" s="85"/>
      <c r="AC30" s="81">
        <f t="shared" si="36"/>
        <v>0</v>
      </c>
      <c r="AD30" s="86"/>
      <c r="AE30" s="86"/>
      <c r="AF30" s="1177"/>
      <c r="AG30" s="86"/>
      <c r="AH30" s="86"/>
      <c r="AI30" s="86"/>
      <c r="AJ30" s="86"/>
      <c r="AK30" s="86"/>
      <c r="AL30" s="86"/>
      <c r="AM30" s="86"/>
      <c r="AN30" s="86"/>
      <c r="AO30" s="86"/>
      <c r="AP30" s="86"/>
      <c r="AQ30" s="86"/>
      <c r="AR30" s="86"/>
      <c r="AS30" s="86"/>
      <c r="AT30" s="82"/>
      <c r="AU30" s="87"/>
      <c r="AV30" s="815">
        <f t="shared" si="37"/>
        <v>0</v>
      </c>
      <c r="AW30" s="815">
        <f t="shared" si="38"/>
        <v>0</v>
      </c>
      <c r="AX30" s="81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6"/>
      <c r="C31" s="1177"/>
      <c r="D31" s="2297"/>
      <c r="E31" s="81">
        <f t="shared" si="33"/>
        <v>0</v>
      </c>
      <c r="F31" s="82"/>
      <c r="G31" s="83">
        <f t="shared" si="34"/>
        <v>0</v>
      </c>
      <c r="H31" s="84">
        <f t="shared" si="35"/>
        <v>0</v>
      </c>
      <c r="I31" s="1177"/>
      <c r="J31" s="85"/>
      <c r="K31" s="1177"/>
      <c r="L31" s="85"/>
      <c r="M31" s="85"/>
      <c r="N31" s="85"/>
      <c r="O31" s="85"/>
      <c r="P31" s="85"/>
      <c r="Q31" s="85"/>
      <c r="R31" s="85"/>
      <c r="S31" s="85"/>
      <c r="T31" s="85"/>
      <c r="U31" s="85"/>
      <c r="V31" s="85"/>
      <c r="W31" s="85"/>
      <c r="X31" s="85"/>
      <c r="Y31" s="85"/>
      <c r="Z31" s="85"/>
      <c r="AA31" s="85"/>
      <c r="AB31" s="85"/>
      <c r="AC31" s="81">
        <f t="shared" si="36"/>
        <v>0</v>
      </c>
      <c r="AD31" s="86"/>
      <c r="AE31" s="86"/>
      <c r="AF31" s="1177"/>
      <c r="AG31" s="86"/>
      <c r="AH31" s="86"/>
      <c r="AI31" s="86"/>
      <c r="AJ31" s="86"/>
      <c r="AK31" s="86"/>
      <c r="AL31" s="86"/>
      <c r="AM31" s="86"/>
      <c r="AN31" s="86"/>
      <c r="AO31" s="86"/>
      <c r="AP31" s="86"/>
      <c r="AQ31" s="86"/>
      <c r="AR31" s="86"/>
      <c r="AS31" s="86"/>
      <c r="AT31" s="82"/>
      <c r="AU31" s="87"/>
      <c r="AV31" s="815">
        <f t="shared" si="37"/>
        <v>0</v>
      </c>
      <c r="AW31" s="815">
        <f t="shared" si="38"/>
        <v>0</v>
      </c>
      <c r="AX31" s="81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6"/>
      <c r="C32" s="1177"/>
      <c r="D32" s="2297"/>
      <c r="E32" s="81">
        <f t="shared" si="33"/>
        <v>0</v>
      </c>
      <c r="F32" s="82"/>
      <c r="G32" s="83">
        <f t="shared" si="34"/>
        <v>0</v>
      </c>
      <c r="H32" s="84">
        <f t="shared" si="35"/>
        <v>0</v>
      </c>
      <c r="I32" s="1177"/>
      <c r="J32" s="85"/>
      <c r="K32" s="1177"/>
      <c r="L32" s="85"/>
      <c r="M32" s="85"/>
      <c r="N32" s="85"/>
      <c r="O32" s="85"/>
      <c r="P32" s="85"/>
      <c r="Q32" s="85"/>
      <c r="R32" s="85"/>
      <c r="S32" s="85"/>
      <c r="T32" s="85"/>
      <c r="U32" s="85"/>
      <c r="V32" s="85"/>
      <c r="W32" s="85"/>
      <c r="X32" s="85"/>
      <c r="Y32" s="85"/>
      <c r="Z32" s="85"/>
      <c r="AA32" s="85"/>
      <c r="AB32" s="85"/>
      <c r="AC32" s="81">
        <f t="shared" si="36"/>
        <v>0</v>
      </c>
      <c r="AD32" s="86"/>
      <c r="AE32" s="86"/>
      <c r="AF32" s="1177"/>
      <c r="AG32" s="86"/>
      <c r="AH32" s="86"/>
      <c r="AI32" s="86"/>
      <c r="AJ32" s="86"/>
      <c r="AK32" s="86"/>
      <c r="AL32" s="86"/>
      <c r="AM32" s="86"/>
      <c r="AN32" s="86"/>
      <c r="AO32" s="86"/>
      <c r="AP32" s="86"/>
      <c r="AQ32" s="86"/>
      <c r="AR32" s="86"/>
      <c r="AS32" s="86"/>
      <c r="AT32" s="82"/>
      <c r="AU32" s="87"/>
      <c r="AV32" s="815">
        <f t="shared" si="37"/>
        <v>0</v>
      </c>
      <c r="AW32" s="815">
        <f t="shared" si="38"/>
        <v>0</v>
      </c>
      <c r="AX32" s="81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6"/>
      <c r="C33" s="1177"/>
      <c r="D33" s="2297"/>
      <c r="E33" s="81">
        <f t="shared" si="33"/>
        <v>0</v>
      </c>
      <c r="F33" s="82"/>
      <c r="G33" s="83">
        <f t="shared" si="34"/>
        <v>0</v>
      </c>
      <c r="H33" s="84">
        <f t="shared" si="35"/>
        <v>0</v>
      </c>
      <c r="I33" s="1177"/>
      <c r="J33" s="85"/>
      <c r="K33" s="1177"/>
      <c r="L33" s="85"/>
      <c r="M33" s="85"/>
      <c r="N33" s="85"/>
      <c r="O33" s="85"/>
      <c r="P33" s="85"/>
      <c r="Q33" s="85"/>
      <c r="R33" s="85"/>
      <c r="S33" s="85"/>
      <c r="T33" s="85"/>
      <c r="U33" s="85"/>
      <c r="V33" s="85"/>
      <c r="W33" s="85"/>
      <c r="X33" s="85"/>
      <c r="Y33" s="85"/>
      <c r="Z33" s="85"/>
      <c r="AA33" s="85"/>
      <c r="AB33" s="85"/>
      <c r="AC33" s="81">
        <f t="shared" si="36"/>
        <v>0</v>
      </c>
      <c r="AD33" s="86"/>
      <c r="AE33" s="86"/>
      <c r="AF33" s="1177"/>
      <c r="AG33" s="86"/>
      <c r="AH33" s="86"/>
      <c r="AI33" s="86"/>
      <c r="AJ33" s="86"/>
      <c r="AK33" s="86"/>
      <c r="AL33" s="86"/>
      <c r="AM33" s="86"/>
      <c r="AN33" s="86"/>
      <c r="AO33" s="86"/>
      <c r="AP33" s="86"/>
      <c r="AQ33" s="86"/>
      <c r="AR33" s="86"/>
      <c r="AS33" s="86"/>
      <c r="AT33" s="82"/>
      <c r="AU33" s="87"/>
      <c r="AV33" s="815">
        <f t="shared" si="37"/>
        <v>0</v>
      </c>
      <c r="AW33" s="815">
        <f t="shared" si="38"/>
        <v>0</v>
      </c>
      <c r="AX33" s="81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6"/>
      <c r="C34" s="1177"/>
      <c r="D34" s="2297"/>
      <c r="E34" s="81">
        <f t="shared" si="33"/>
        <v>0</v>
      </c>
      <c r="F34" s="82"/>
      <c r="G34" s="83">
        <f t="shared" si="34"/>
        <v>0</v>
      </c>
      <c r="H34" s="84">
        <f t="shared" si="35"/>
        <v>0</v>
      </c>
      <c r="I34" s="1177"/>
      <c r="J34" s="85"/>
      <c r="K34" s="1177"/>
      <c r="L34" s="85"/>
      <c r="M34" s="85"/>
      <c r="N34" s="85"/>
      <c r="O34" s="85"/>
      <c r="P34" s="85"/>
      <c r="Q34" s="85"/>
      <c r="R34" s="85"/>
      <c r="S34" s="85"/>
      <c r="T34" s="85"/>
      <c r="U34" s="85"/>
      <c r="V34" s="85"/>
      <c r="W34" s="85"/>
      <c r="X34" s="85"/>
      <c r="Y34" s="85"/>
      <c r="Z34" s="85"/>
      <c r="AA34" s="85"/>
      <c r="AB34" s="85"/>
      <c r="AC34" s="81">
        <f t="shared" si="36"/>
        <v>0</v>
      </c>
      <c r="AD34" s="86"/>
      <c r="AE34" s="86"/>
      <c r="AF34" s="1177"/>
      <c r="AG34" s="86"/>
      <c r="AH34" s="86"/>
      <c r="AI34" s="86"/>
      <c r="AJ34" s="86"/>
      <c r="AK34" s="86"/>
      <c r="AL34" s="86"/>
      <c r="AM34" s="86"/>
      <c r="AN34" s="86"/>
      <c r="AO34" s="86"/>
      <c r="AP34" s="86"/>
      <c r="AQ34" s="86"/>
      <c r="AR34" s="86"/>
      <c r="AS34" s="86"/>
      <c r="AT34" s="82"/>
      <c r="AU34" s="87"/>
      <c r="AV34" s="815">
        <f t="shared" si="37"/>
        <v>0</v>
      </c>
      <c r="AW34" s="815">
        <f t="shared" si="38"/>
        <v>0</v>
      </c>
      <c r="AX34" s="81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6"/>
      <c r="C35" s="1177"/>
      <c r="D35" s="2297"/>
      <c r="E35" s="81">
        <f t="shared" si="33"/>
        <v>0</v>
      </c>
      <c r="F35" s="82"/>
      <c r="G35" s="83">
        <f t="shared" si="34"/>
        <v>0</v>
      </c>
      <c r="H35" s="84">
        <f t="shared" si="35"/>
        <v>0</v>
      </c>
      <c r="I35" s="1177"/>
      <c r="J35" s="85"/>
      <c r="K35" s="1177"/>
      <c r="L35" s="85"/>
      <c r="M35" s="85"/>
      <c r="N35" s="85"/>
      <c r="O35" s="85"/>
      <c r="P35" s="85"/>
      <c r="Q35" s="85"/>
      <c r="R35" s="85"/>
      <c r="S35" s="85"/>
      <c r="T35" s="85"/>
      <c r="U35" s="85"/>
      <c r="V35" s="85"/>
      <c r="W35" s="85"/>
      <c r="X35" s="85"/>
      <c r="Y35" s="85"/>
      <c r="Z35" s="85"/>
      <c r="AA35" s="85"/>
      <c r="AB35" s="85"/>
      <c r="AC35" s="81">
        <f t="shared" si="36"/>
        <v>0</v>
      </c>
      <c r="AD35" s="86"/>
      <c r="AE35" s="86"/>
      <c r="AF35" s="1177"/>
      <c r="AG35" s="86"/>
      <c r="AH35" s="86"/>
      <c r="AI35" s="86"/>
      <c r="AJ35" s="86"/>
      <c r="AK35" s="86"/>
      <c r="AL35" s="86"/>
      <c r="AM35" s="86"/>
      <c r="AN35" s="86"/>
      <c r="AO35" s="86"/>
      <c r="AP35" s="86"/>
      <c r="AQ35" s="86"/>
      <c r="AR35" s="86"/>
      <c r="AS35" s="86"/>
      <c r="AT35" s="82"/>
      <c r="AU35" s="87"/>
      <c r="AV35" s="815">
        <f t="shared" si="37"/>
        <v>0</v>
      </c>
      <c r="AW35" s="815">
        <f t="shared" si="38"/>
        <v>0</v>
      </c>
      <c r="AX35" s="81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6"/>
      <c r="C36" s="1177"/>
      <c r="D36" s="2297"/>
      <c r="E36" s="81">
        <f t="shared" si="33"/>
        <v>0</v>
      </c>
      <c r="F36" s="82"/>
      <c r="G36" s="83">
        <f t="shared" si="34"/>
        <v>0</v>
      </c>
      <c r="H36" s="84">
        <f t="shared" si="35"/>
        <v>0</v>
      </c>
      <c r="I36" s="1177"/>
      <c r="J36" s="85"/>
      <c r="K36" s="1177"/>
      <c r="L36" s="85"/>
      <c r="M36" s="85"/>
      <c r="N36" s="85"/>
      <c r="O36" s="85"/>
      <c r="P36" s="85"/>
      <c r="Q36" s="85"/>
      <c r="R36" s="85"/>
      <c r="S36" s="85"/>
      <c r="T36" s="85"/>
      <c r="U36" s="85"/>
      <c r="V36" s="85"/>
      <c r="W36" s="85"/>
      <c r="X36" s="85"/>
      <c r="Y36" s="85"/>
      <c r="Z36" s="85"/>
      <c r="AA36" s="85"/>
      <c r="AB36" s="85"/>
      <c r="AC36" s="81">
        <f t="shared" si="36"/>
        <v>0</v>
      </c>
      <c r="AD36" s="86"/>
      <c r="AE36" s="86"/>
      <c r="AF36" s="1177"/>
      <c r="AG36" s="86"/>
      <c r="AH36" s="86"/>
      <c r="AI36" s="86"/>
      <c r="AJ36" s="86"/>
      <c r="AK36" s="86"/>
      <c r="AL36" s="86"/>
      <c r="AM36" s="86"/>
      <c r="AN36" s="86"/>
      <c r="AO36" s="86"/>
      <c r="AP36" s="86"/>
      <c r="AQ36" s="86"/>
      <c r="AR36" s="86"/>
      <c r="AS36" s="86"/>
      <c r="AT36" s="82"/>
      <c r="AU36" s="87"/>
      <c r="AV36" s="815">
        <f t="shared" si="37"/>
        <v>0</v>
      </c>
      <c r="AW36" s="815">
        <f t="shared" si="38"/>
        <v>0</v>
      </c>
      <c r="AX36" s="81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6"/>
      <c r="C37" s="1177"/>
      <c r="D37" s="2297"/>
      <c r="E37" s="81">
        <f t="shared" si="33"/>
        <v>0</v>
      </c>
      <c r="F37" s="82"/>
      <c r="G37" s="83">
        <f t="shared" si="34"/>
        <v>0</v>
      </c>
      <c r="H37" s="84">
        <f t="shared" si="35"/>
        <v>0</v>
      </c>
      <c r="I37" s="1177"/>
      <c r="J37" s="85"/>
      <c r="K37" s="1177"/>
      <c r="L37" s="85"/>
      <c r="M37" s="85"/>
      <c r="N37" s="85"/>
      <c r="O37" s="85"/>
      <c r="P37" s="85"/>
      <c r="Q37" s="85"/>
      <c r="R37" s="85"/>
      <c r="S37" s="85"/>
      <c r="T37" s="85"/>
      <c r="U37" s="85"/>
      <c r="V37" s="85"/>
      <c r="W37" s="85"/>
      <c r="X37" s="85"/>
      <c r="Y37" s="85"/>
      <c r="Z37" s="85"/>
      <c r="AA37" s="85"/>
      <c r="AB37" s="85"/>
      <c r="AC37" s="81">
        <f t="shared" si="36"/>
        <v>0</v>
      </c>
      <c r="AD37" s="86"/>
      <c r="AE37" s="86"/>
      <c r="AF37" s="1177"/>
      <c r="AG37" s="86"/>
      <c r="AH37" s="86"/>
      <c r="AI37" s="86"/>
      <c r="AJ37" s="86"/>
      <c r="AK37" s="86"/>
      <c r="AL37" s="86"/>
      <c r="AM37" s="86"/>
      <c r="AN37" s="86"/>
      <c r="AO37" s="86"/>
      <c r="AP37" s="86"/>
      <c r="AQ37" s="86"/>
      <c r="AR37" s="86"/>
      <c r="AS37" s="86"/>
      <c r="AT37" s="82"/>
      <c r="AU37" s="87"/>
      <c r="AV37" s="815">
        <f t="shared" si="37"/>
        <v>0</v>
      </c>
      <c r="AW37" s="815">
        <f t="shared" si="38"/>
        <v>0</v>
      </c>
      <c r="AX37" s="81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6"/>
      <c r="C38" s="1177"/>
      <c r="D38" s="2297"/>
      <c r="E38" s="81">
        <f t="shared" si="33"/>
        <v>0</v>
      </c>
      <c r="F38" s="82"/>
      <c r="G38" s="83">
        <f t="shared" si="34"/>
        <v>0</v>
      </c>
      <c r="H38" s="84">
        <f t="shared" si="35"/>
        <v>0</v>
      </c>
      <c r="I38" s="1177"/>
      <c r="J38" s="85"/>
      <c r="K38" s="1177"/>
      <c r="L38" s="85"/>
      <c r="M38" s="85"/>
      <c r="N38" s="85"/>
      <c r="O38" s="85"/>
      <c r="P38" s="85"/>
      <c r="Q38" s="85"/>
      <c r="R38" s="85"/>
      <c r="S38" s="85"/>
      <c r="T38" s="85"/>
      <c r="U38" s="85"/>
      <c r="V38" s="85"/>
      <c r="W38" s="85"/>
      <c r="X38" s="85"/>
      <c r="Y38" s="85"/>
      <c r="Z38" s="85"/>
      <c r="AA38" s="85"/>
      <c r="AB38" s="85"/>
      <c r="AC38" s="81">
        <f t="shared" si="36"/>
        <v>0</v>
      </c>
      <c r="AD38" s="86"/>
      <c r="AE38" s="86"/>
      <c r="AF38" s="1177"/>
      <c r="AG38" s="86"/>
      <c r="AH38" s="86"/>
      <c r="AI38" s="86"/>
      <c r="AJ38" s="86"/>
      <c r="AK38" s="86"/>
      <c r="AL38" s="86"/>
      <c r="AM38" s="86"/>
      <c r="AN38" s="86"/>
      <c r="AO38" s="86"/>
      <c r="AP38" s="86"/>
      <c r="AQ38" s="86"/>
      <c r="AR38" s="86"/>
      <c r="AS38" s="86"/>
      <c r="AT38" s="82"/>
      <c r="AU38" s="87"/>
      <c r="AV38" s="815">
        <f t="shared" si="37"/>
        <v>0</v>
      </c>
      <c r="AW38" s="815">
        <f t="shared" si="38"/>
        <v>0</v>
      </c>
      <c r="AX38" s="81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6"/>
      <c r="C39" s="1177"/>
      <c r="D39" s="2297"/>
      <c r="E39" s="81">
        <f t="shared" si="33"/>
        <v>0</v>
      </c>
      <c r="F39" s="82"/>
      <c r="G39" s="83">
        <f t="shared" si="34"/>
        <v>0</v>
      </c>
      <c r="H39" s="84">
        <f t="shared" si="35"/>
        <v>0</v>
      </c>
      <c r="I39" s="1177"/>
      <c r="J39" s="85"/>
      <c r="K39" s="1177"/>
      <c r="L39" s="85"/>
      <c r="M39" s="85"/>
      <c r="N39" s="85"/>
      <c r="O39" s="85"/>
      <c r="P39" s="85"/>
      <c r="Q39" s="85"/>
      <c r="R39" s="85"/>
      <c r="S39" s="85"/>
      <c r="T39" s="85"/>
      <c r="U39" s="85"/>
      <c r="V39" s="85"/>
      <c r="W39" s="85"/>
      <c r="X39" s="85"/>
      <c r="Y39" s="85"/>
      <c r="Z39" s="85"/>
      <c r="AA39" s="85"/>
      <c r="AB39" s="85"/>
      <c r="AC39" s="81">
        <f t="shared" si="36"/>
        <v>0</v>
      </c>
      <c r="AD39" s="86"/>
      <c r="AE39" s="86"/>
      <c r="AF39" s="1177"/>
      <c r="AG39" s="86"/>
      <c r="AH39" s="86"/>
      <c r="AI39" s="86"/>
      <c r="AJ39" s="86"/>
      <c r="AK39" s="86"/>
      <c r="AL39" s="86"/>
      <c r="AM39" s="86"/>
      <c r="AN39" s="86"/>
      <c r="AO39" s="86"/>
      <c r="AP39" s="86"/>
      <c r="AQ39" s="86"/>
      <c r="AR39" s="86"/>
      <c r="AS39" s="86"/>
      <c r="AT39" s="82"/>
      <c r="AU39" s="87"/>
      <c r="AV39" s="815">
        <f t="shared" si="37"/>
        <v>0</v>
      </c>
      <c r="AW39" s="815">
        <f t="shared" si="38"/>
        <v>0</v>
      </c>
      <c r="AX39" s="81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6"/>
      <c r="C40" s="1177"/>
      <c r="D40" s="2297"/>
      <c r="E40" s="81">
        <f t="shared" si="33"/>
        <v>0</v>
      </c>
      <c r="F40" s="82"/>
      <c r="G40" s="83">
        <f t="shared" si="34"/>
        <v>0</v>
      </c>
      <c r="H40" s="84">
        <f t="shared" si="35"/>
        <v>0</v>
      </c>
      <c r="I40" s="1177"/>
      <c r="J40" s="85"/>
      <c r="K40" s="1177"/>
      <c r="L40" s="85"/>
      <c r="M40" s="85"/>
      <c r="N40" s="85"/>
      <c r="O40" s="85"/>
      <c r="P40" s="85"/>
      <c r="Q40" s="85"/>
      <c r="R40" s="85"/>
      <c r="S40" s="85"/>
      <c r="T40" s="85"/>
      <c r="U40" s="85"/>
      <c r="V40" s="85"/>
      <c r="W40" s="85"/>
      <c r="X40" s="85"/>
      <c r="Y40" s="85"/>
      <c r="Z40" s="85"/>
      <c r="AA40" s="85"/>
      <c r="AB40" s="85"/>
      <c r="AC40" s="81">
        <f t="shared" si="36"/>
        <v>0</v>
      </c>
      <c r="AD40" s="86"/>
      <c r="AE40" s="86"/>
      <c r="AF40" s="1177"/>
      <c r="AG40" s="86"/>
      <c r="AH40" s="86"/>
      <c r="AI40" s="86"/>
      <c r="AJ40" s="86"/>
      <c r="AK40" s="86"/>
      <c r="AL40" s="86"/>
      <c r="AM40" s="86"/>
      <c r="AN40" s="86"/>
      <c r="AO40" s="86"/>
      <c r="AP40" s="86"/>
      <c r="AQ40" s="86"/>
      <c r="AR40" s="86"/>
      <c r="AS40" s="86"/>
      <c r="AT40" s="82"/>
      <c r="AU40" s="87"/>
      <c r="AV40" s="815">
        <f t="shared" si="37"/>
        <v>0</v>
      </c>
      <c r="AW40" s="815">
        <f t="shared" si="38"/>
        <v>0</v>
      </c>
      <c r="AX40" s="81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6"/>
      <c r="C41" s="1177"/>
      <c r="D41" s="2297"/>
      <c r="E41" s="81">
        <f t="shared" si="33"/>
        <v>0</v>
      </c>
      <c r="F41" s="82"/>
      <c r="G41" s="83">
        <f t="shared" si="34"/>
        <v>0</v>
      </c>
      <c r="H41" s="84">
        <f t="shared" si="35"/>
        <v>0</v>
      </c>
      <c r="I41" s="1177"/>
      <c r="J41" s="85"/>
      <c r="K41" s="1177"/>
      <c r="L41" s="85"/>
      <c r="M41" s="85"/>
      <c r="N41" s="85"/>
      <c r="O41" s="85"/>
      <c r="P41" s="85"/>
      <c r="Q41" s="85"/>
      <c r="R41" s="85"/>
      <c r="S41" s="85"/>
      <c r="T41" s="85"/>
      <c r="U41" s="85"/>
      <c r="V41" s="85"/>
      <c r="W41" s="85"/>
      <c r="X41" s="85"/>
      <c r="Y41" s="85"/>
      <c r="Z41" s="85"/>
      <c r="AA41" s="85"/>
      <c r="AB41" s="85"/>
      <c r="AC41" s="81">
        <f t="shared" si="36"/>
        <v>0</v>
      </c>
      <c r="AD41" s="86"/>
      <c r="AE41" s="86"/>
      <c r="AF41" s="1177"/>
      <c r="AG41" s="86"/>
      <c r="AH41" s="86"/>
      <c r="AI41" s="86"/>
      <c r="AJ41" s="86"/>
      <c r="AK41" s="86"/>
      <c r="AL41" s="86"/>
      <c r="AM41" s="86"/>
      <c r="AN41" s="86"/>
      <c r="AO41" s="86"/>
      <c r="AP41" s="86"/>
      <c r="AQ41" s="86"/>
      <c r="AR41" s="86"/>
      <c r="AS41" s="86"/>
      <c r="AT41" s="82"/>
      <c r="AU41" s="87"/>
      <c r="AV41" s="815">
        <f t="shared" si="37"/>
        <v>0</v>
      </c>
      <c r="AW41" s="815">
        <f t="shared" si="38"/>
        <v>0</v>
      </c>
      <c r="AX41" s="81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6"/>
      <c r="C42" s="1177"/>
      <c r="D42" s="2297"/>
      <c r="E42" s="81">
        <f t="shared" si="33"/>
        <v>0</v>
      </c>
      <c r="F42" s="82"/>
      <c r="G42" s="83">
        <f t="shared" si="34"/>
        <v>0</v>
      </c>
      <c r="H42" s="84">
        <f t="shared" si="35"/>
        <v>0</v>
      </c>
      <c r="I42" s="1177"/>
      <c r="J42" s="85"/>
      <c r="K42" s="1177"/>
      <c r="L42" s="85"/>
      <c r="M42" s="85"/>
      <c r="N42" s="85"/>
      <c r="O42" s="85"/>
      <c r="P42" s="85"/>
      <c r="Q42" s="85"/>
      <c r="R42" s="85"/>
      <c r="S42" s="85"/>
      <c r="T42" s="85"/>
      <c r="U42" s="85"/>
      <c r="V42" s="85"/>
      <c r="W42" s="85"/>
      <c r="X42" s="85"/>
      <c r="Y42" s="85"/>
      <c r="Z42" s="85"/>
      <c r="AA42" s="85"/>
      <c r="AB42" s="85"/>
      <c r="AC42" s="81">
        <f t="shared" si="36"/>
        <v>0</v>
      </c>
      <c r="AD42" s="86"/>
      <c r="AE42" s="86"/>
      <c r="AF42" s="1177"/>
      <c r="AG42" s="86"/>
      <c r="AH42" s="86"/>
      <c r="AI42" s="86"/>
      <c r="AJ42" s="86"/>
      <c r="AK42" s="86"/>
      <c r="AL42" s="86"/>
      <c r="AM42" s="86"/>
      <c r="AN42" s="86"/>
      <c r="AO42" s="86"/>
      <c r="AP42" s="86"/>
      <c r="AQ42" s="86"/>
      <c r="AR42" s="86"/>
      <c r="AS42" s="86"/>
      <c r="AT42" s="82"/>
      <c r="AU42" s="87"/>
      <c r="AV42" s="815">
        <f t="shared" si="37"/>
        <v>0</v>
      </c>
      <c r="AW42" s="815">
        <f t="shared" si="38"/>
        <v>0</v>
      </c>
      <c r="AX42" s="81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6"/>
      <c r="C43" s="1177"/>
      <c r="D43" s="2297"/>
      <c r="E43" s="81">
        <f t="shared" si="33"/>
        <v>0</v>
      </c>
      <c r="F43" s="82"/>
      <c r="G43" s="83">
        <f t="shared" si="34"/>
        <v>0</v>
      </c>
      <c r="H43" s="84">
        <f t="shared" si="35"/>
        <v>0</v>
      </c>
      <c r="I43" s="1177"/>
      <c r="J43" s="85"/>
      <c r="K43" s="1177"/>
      <c r="L43" s="85"/>
      <c r="M43" s="85"/>
      <c r="N43" s="85"/>
      <c r="O43" s="85"/>
      <c r="P43" s="85"/>
      <c r="Q43" s="85"/>
      <c r="R43" s="85"/>
      <c r="S43" s="85"/>
      <c r="T43" s="85"/>
      <c r="U43" s="85"/>
      <c r="V43" s="85"/>
      <c r="W43" s="85"/>
      <c r="X43" s="85"/>
      <c r="Y43" s="85"/>
      <c r="Z43" s="85"/>
      <c r="AA43" s="85"/>
      <c r="AB43" s="85"/>
      <c r="AC43" s="81">
        <f t="shared" si="36"/>
        <v>0</v>
      </c>
      <c r="AD43" s="86"/>
      <c r="AE43" s="86"/>
      <c r="AF43" s="1177"/>
      <c r="AG43" s="86"/>
      <c r="AH43" s="86"/>
      <c r="AI43" s="86"/>
      <c r="AJ43" s="86"/>
      <c r="AK43" s="86"/>
      <c r="AL43" s="86"/>
      <c r="AM43" s="86"/>
      <c r="AN43" s="86"/>
      <c r="AO43" s="86"/>
      <c r="AP43" s="86"/>
      <c r="AQ43" s="86"/>
      <c r="AR43" s="86"/>
      <c r="AS43" s="86"/>
      <c r="AT43" s="82"/>
      <c r="AU43" s="87"/>
      <c r="AV43" s="815">
        <f t="shared" si="37"/>
        <v>0</v>
      </c>
      <c r="AW43" s="815">
        <f t="shared" si="38"/>
        <v>0</v>
      </c>
      <c r="AX43" s="81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6"/>
      <c r="C44" s="1177"/>
      <c r="D44" s="2297"/>
      <c r="E44" s="81">
        <f t="shared" si="33"/>
        <v>0</v>
      </c>
      <c r="F44" s="82"/>
      <c r="G44" s="83">
        <f t="shared" si="34"/>
        <v>0</v>
      </c>
      <c r="H44" s="84">
        <f t="shared" si="35"/>
        <v>0</v>
      </c>
      <c r="I44" s="1177"/>
      <c r="J44" s="85"/>
      <c r="K44" s="1177"/>
      <c r="L44" s="85"/>
      <c r="M44" s="85"/>
      <c r="N44" s="85"/>
      <c r="O44" s="85"/>
      <c r="P44" s="85"/>
      <c r="Q44" s="85"/>
      <c r="R44" s="85"/>
      <c r="S44" s="85"/>
      <c r="T44" s="85"/>
      <c r="U44" s="85"/>
      <c r="V44" s="85"/>
      <c r="W44" s="85"/>
      <c r="X44" s="85"/>
      <c r="Y44" s="85"/>
      <c r="Z44" s="85"/>
      <c r="AA44" s="85"/>
      <c r="AB44" s="85"/>
      <c r="AC44" s="81">
        <f t="shared" si="36"/>
        <v>0</v>
      </c>
      <c r="AD44" s="86"/>
      <c r="AE44" s="86"/>
      <c r="AF44" s="1177"/>
      <c r="AG44" s="86"/>
      <c r="AH44" s="86"/>
      <c r="AI44" s="86"/>
      <c r="AJ44" s="86"/>
      <c r="AK44" s="86"/>
      <c r="AL44" s="86"/>
      <c r="AM44" s="86"/>
      <c r="AN44" s="86"/>
      <c r="AO44" s="86"/>
      <c r="AP44" s="86"/>
      <c r="AQ44" s="86"/>
      <c r="AR44" s="86"/>
      <c r="AS44" s="86"/>
      <c r="AT44" s="82"/>
      <c r="AU44" s="87"/>
      <c r="AV44" s="815">
        <f t="shared" si="37"/>
        <v>0</v>
      </c>
      <c r="AW44" s="815">
        <f t="shared" si="38"/>
        <v>0</v>
      </c>
      <c r="AX44" s="81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6"/>
      <c r="C45" s="1177"/>
      <c r="D45" s="2297"/>
      <c r="E45" s="81">
        <f t="shared" si="33"/>
        <v>0</v>
      </c>
      <c r="F45" s="82"/>
      <c r="G45" s="83">
        <f t="shared" si="34"/>
        <v>0</v>
      </c>
      <c r="H45" s="84">
        <f t="shared" si="35"/>
        <v>0</v>
      </c>
      <c r="I45" s="1177"/>
      <c r="J45" s="85"/>
      <c r="K45" s="1177"/>
      <c r="L45" s="85"/>
      <c r="M45" s="85"/>
      <c r="N45" s="85"/>
      <c r="O45" s="85"/>
      <c r="P45" s="85"/>
      <c r="Q45" s="85"/>
      <c r="R45" s="85"/>
      <c r="S45" s="85"/>
      <c r="T45" s="85"/>
      <c r="U45" s="85"/>
      <c r="V45" s="85"/>
      <c r="W45" s="85"/>
      <c r="X45" s="85"/>
      <c r="Y45" s="85"/>
      <c r="Z45" s="85"/>
      <c r="AA45" s="85"/>
      <c r="AB45" s="85"/>
      <c r="AC45" s="81">
        <f t="shared" si="36"/>
        <v>0</v>
      </c>
      <c r="AD45" s="86"/>
      <c r="AE45" s="86"/>
      <c r="AF45" s="1177"/>
      <c r="AG45" s="86"/>
      <c r="AH45" s="86"/>
      <c r="AI45" s="86"/>
      <c r="AJ45" s="86"/>
      <c r="AK45" s="86"/>
      <c r="AL45" s="86"/>
      <c r="AM45" s="86"/>
      <c r="AN45" s="86"/>
      <c r="AO45" s="86"/>
      <c r="AP45" s="86"/>
      <c r="AQ45" s="86"/>
      <c r="AR45" s="86"/>
      <c r="AS45" s="86"/>
      <c r="AT45" s="82"/>
      <c r="AU45" s="87"/>
      <c r="AV45" s="815">
        <f t="shared" si="37"/>
        <v>0</v>
      </c>
      <c r="AW45" s="815">
        <f t="shared" si="38"/>
        <v>0</v>
      </c>
      <c r="AX45" s="81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6"/>
      <c r="C46" s="1177"/>
      <c r="D46" s="2297"/>
      <c r="E46" s="81">
        <f t="shared" si="33"/>
        <v>0</v>
      </c>
      <c r="F46" s="82"/>
      <c r="G46" s="83">
        <f t="shared" si="34"/>
        <v>0</v>
      </c>
      <c r="H46" s="84">
        <f t="shared" si="35"/>
        <v>0</v>
      </c>
      <c r="I46" s="1177"/>
      <c r="J46" s="85"/>
      <c r="K46" s="1177"/>
      <c r="L46" s="85"/>
      <c r="M46" s="85"/>
      <c r="N46" s="85"/>
      <c r="O46" s="85"/>
      <c r="P46" s="85"/>
      <c r="Q46" s="85"/>
      <c r="R46" s="85"/>
      <c r="S46" s="85"/>
      <c r="T46" s="85"/>
      <c r="U46" s="85"/>
      <c r="V46" s="85"/>
      <c r="W46" s="85"/>
      <c r="X46" s="85"/>
      <c r="Y46" s="85"/>
      <c r="Z46" s="85"/>
      <c r="AA46" s="85"/>
      <c r="AB46" s="85"/>
      <c r="AC46" s="81">
        <f t="shared" si="36"/>
        <v>0</v>
      </c>
      <c r="AD46" s="86"/>
      <c r="AE46" s="86"/>
      <c r="AF46" s="1177"/>
      <c r="AG46" s="86"/>
      <c r="AH46" s="86"/>
      <c r="AI46" s="86"/>
      <c r="AJ46" s="86"/>
      <c r="AK46" s="86"/>
      <c r="AL46" s="86"/>
      <c r="AM46" s="86"/>
      <c r="AN46" s="86"/>
      <c r="AO46" s="86"/>
      <c r="AP46" s="86"/>
      <c r="AQ46" s="86"/>
      <c r="AR46" s="86"/>
      <c r="AS46" s="86"/>
      <c r="AT46" s="82"/>
      <c r="AU46" s="87"/>
      <c r="AV46" s="815">
        <f t="shared" si="37"/>
        <v>0</v>
      </c>
      <c r="AW46" s="815">
        <f t="shared" si="38"/>
        <v>0</v>
      </c>
      <c r="AX46" s="81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6"/>
      <c r="C47" s="1177"/>
      <c r="D47" s="2297"/>
      <c r="E47" s="81">
        <f t="shared" si="33"/>
        <v>0</v>
      </c>
      <c r="F47" s="82"/>
      <c r="G47" s="83">
        <f t="shared" si="34"/>
        <v>0</v>
      </c>
      <c r="H47" s="84">
        <f t="shared" si="35"/>
        <v>0</v>
      </c>
      <c r="I47" s="1177"/>
      <c r="J47" s="85"/>
      <c r="K47" s="1177"/>
      <c r="L47" s="85"/>
      <c r="M47" s="85"/>
      <c r="N47" s="85"/>
      <c r="O47" s="85"/>
      <c r="P47" s="85"/>
      <c r="Q47" s="85"/>
      <c r="R47" s="85"/>
      <c r="S47" s="85"/>
      <c r="T47" s="85"/>
      <c r="U47" s="85"/>
      <c r="V47" s="85"/>
      <c r="W47" s="85"/>
      <c r="X47" s="85"/>
      <c r="Y47" s="85"/>
      <c r="Z47" s="85"/>
      <c r="AA47" s="85"/>
      <c r="AB47" s="85"/>
      <c r="AC47" s="81">
        <f t="shared" si="36"/>
        <v>0</v>
      </c>
      <c r="AD47" s="86"/>
      <c r="AE47" s="86"/>
      <c r="AF47" s="1177"/>
      <c r="AG47" s="86"/>
      <c r="AH47" s="86"/>
      <c r="AI47" s="86"/>
      <c r="AJ47" s="86"/>
      <c r="AK47" s="86"/>
      <c r="AL47" s="86"/>
      <c r="AM47" s="86"/>
      <c r="AN47" s="86"/>
      <c r="AO47" s="86"/>
      <c r="AP47" s="86"/>
      <c r="AQ47" s="86"/>
      <c r="AR47" s="86"/>
      <c r="AS47" s="86"/>
      <c r="AT47" s="82"/>
      <c r="AU47" s="87"/>
      <c r="AV47" s="815">
        <f t="shared" si="37"/>
        <v>0</v>
      </c>
      <c r="AW47" s="815">
        <f t="shared" si="38"/>
        <v>0</v>
      </c>
      <c r="AX47" s="81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6"/>
      <c r="C48" s="1177"/>
      <c r="D48" s="2297"/>
      <c r="E48" s="81">
        <f t="shared" si="33"/>
        <v>0</v>
      </c>
      <c r="F48" s="82"/>
      <c r="G48" s="83">
        <f t="shared" si="34"/>
        <v>0</v>
      </c>
      <c r="H48" s="84">
        <f t="shared" si="35"/>
        <v>0</v>
      </c>
      <c r="I48" s="1177"/>
      <c r="J48" s="85"/>
      <c r="K48" s="1177"/>
      <c r="L48" s="85"/>
      <c r="M48" s="85"/>
      <c r="N48" s="85"/>
      <c r="O48" s="85"/>
      <c r="P48" s="85"/>
      <c r="Q48" s="85"/>
      <c r="R48" s="85"/>
      <c r="S48" s="85"/>
      <c r="T48" s="85"/>
      <c r="U48" s="85"/>
      <c r="V48" s="85"/>
      <c r="W48" s="85"/>
      <c r="X48" s="85"/>
      <c r="Y48" s="85"/>
      <c r="Z48" s="85"/>
      <c r="AA48" s="85"/>
      <c r="AB48" s="85"/>
      <c r="AC48" s="81">
        <f t="shared" si="36"/>
        <v>0</v>
      </c>
      <c r="AD48" s="86"/>
      <c r="AE48" s="86"/>
      <c r="AF48" s="1177"/>
      <c r="AG48" s="86"/>
      <c r="AH48" s="86"/>
      <c r="AI48" s="86"/>
      <c r="AJ48" s="86"/>
      <c r="AK48" s="86"/>
      <c r="AL48" s="86"/>
      <c r="AM48" s="86"/>
      <c r="AN48" s="86"/>
      <c r="AO48" s="86"/>
      <c r="AP48" s="86"/>
      <c r="AQ48" s="86"/>
      <c r="AR48" s="86"/>
      <c r="AS48" s="86"/>
      <c r="AT48" s="82"/>
      <c r="AU48" s="87"/>
      <c r="AV48" s="815">
        <f t="shared" si="37"/>
        <v>0</v>
      </c>
      <c r="AW48" s="815">
        <f t="shared" si="38"/>
        <v>0</v>
      </c>
      <c r="AX48" s="81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6"/>
      <c r="C49" s="1177"/>
      <c r="D49" s="2297"/>
      <c r="E49" s="81">
        <f t="shared" si="33"/>
        <v>0</v>
      </c>
      <c r="F49" s="82"/>
      <c r="G49" s="83">
        <f t="shared" si="34"/>
        <v>0</v>
      </c>
      <c r="H49" s="84">
        <f t="shared" si="35"/>
        <v>0</v>
      </c>
      <c r="I49" s="1177"/>
      <c r="J49" s="85"/>
      <c r="K49" s="1177"/>
      <c r="L49" s="85"/>
      <c r="M49" s="85"/>
      <c r="N49" s="85"/>
      <c r="O49" s="85"/>
      <c r="P49" s="85"/>
      <c r="Q49" s="85"/>
      <c r="R49" s="85"/>
      <c r="S49" s="85"/>
      <c r="T49" s="85"/>
      <c r="U49" s="85"/>
      <c r="V49" s="85"/>
      <c r="W49" s="85"/>
      <c r="X49" s="85"/>
      <c r="Y49" s="85"/>
      <c r="Z49" s="85"/>
      <c r="AA49" s="85"/>
      <c r="AB49" s="85"/>
      <c r="AC49" s="81">
        <f t="shared" si="36"/>
        <v>0</v>
      </c>
      <c r="AD49" s="86"/>
      <c r="AE49" s="86"/>
      <c r="AF49" s="1177"/>
      <c r="AG49" s="86"/>
      <c r="AH49" s="86"/>
      <c r="AI49" s="86"/>
      <c r="AJ49" s="86"/>
      <c r="AK49" s="86"/>
      <c r="AL49" s="86"/>
      <c r="AM49" s="86"/>
      <c r="AN49" s="86"/>
      <c r="AO49" s="86"/>
      <c r="AP49" s="86"/>
      <c r="AQ49" s="86"/>
      <c r="AR49" s="86"/>
      <c r="AS49" s="86"/>
      <c r="AT49" s="82"/>
      <c r="AU49" s="87"/>
      <c r="AV49" s="815">
        <f t="shared" si="37"/>
        <v>0</v>
      </c>
      <c r="AW49" s="815">
        <f t="shared" si="38"/>
        <v>0</v>
      </c>
      <c r="AX49" s="81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6"/>
      <c r="C50" s="1177"/>
      <c r="D50" s="2297"/>
      <c r="E50" s="81">
        <f t="shared" si="33"/>
        <v>0</v>
      </c>
      <c r="F50" s="82"/>
      <c r="G50" s="83">
        <f t="shared" si="34"/>
        <v>0</v>
      </c>
      <c r="H50" s="84">
        <f t="shared" si="35"/>
        <v>0</v>
      </c>
      <c r="I50" s="1177"/>
      <c r="J50" s="85"/>
      <c r="K50" s="1177"/>
      <c r="L50" s="85"/>
      <c r="M50" s="85"/>
      <c r="N50" s="85"/>
      <c r="O50" s="85"/>
      <c r="P50" s="85"/>
      <c r="Q50" s="85"/>
      <c r="R50" s="85"/>
      <c r="S50" s="85"/>
      <c r="T50" s="85"/>
      <c r="U50" s="85"/>
      <c r="V50" s="85"/>
      <c r="W50" s="85"/>
      <c r="X50" s="85"/>
      <c r="Y50" s="85"/>
      <c r="Z50" s="85"/>
      <c r="AA50" s="85"/>
      <c r="AB50" s="85"/>
      <c r="AC50" s="81">
        <f t="shared" si="36"/>
        <v>0</v>
      </c>
      <c r="AD50" s="86"/>
      <c r="AE50" s="86"/>
      <c r="AF50" s="1177"/>
      <c r="AG50" s="86"/>
      <c r="AH50" s="86"/>
      <c r="AI50" s="86"/>
      <c r="AJ50" s="86"/>
      <c r="AK50" s="86"/>
      <c r="AL50" s="86"/>
      <c r="AM50" s="86"/>
      <c r="AN50" s="86"/>
      <c r="AO50" s="86"/>
      <c r="AP50" s="86"/>
      <c r="AQ50" s="86"/>
      <c r="AR50" s="86"/>
      <c r="AS50" s="86"/>
      <c r="AT50" s="82"/>
      <c r="AU50" s="87"/>
      <c r="AV50" s="815">
        <f t="shared" si="37"/>
        <v>0</v>
      </c>
      <c r="AW50" s="815">
        <f t="shared" si="38"/>
        <v>0</v>
      </c>
      <c r="AX50" s="81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6"/>
      <c r="C51" s="1177"/>
      <c r="D51" s="2297"/>
      <c r="E51" s="81">
        <f t="shared" si="33"/>
        <v>0</v>
      </c>
      <c r="F51" s="82"/>
      <c r="G51" s="83">
        <f t="shared" si="34"/>
        <v>0</v>
      </c>
      <c r="H51" s="84">
        <f t="shared" si="35"/>
        <v>0</v>
      </c>
      <c r="I51" s="1177"/>
      <c r="J51" s="85"/>
      <c r="K51" s="1177"/>
      <c r="L51" s="85"/>
      <c r="M51" s="85"/>
      <c r="N51" s="85"/>
      <c r="O51" s="85"/>
      <c r="P51" s="85"/>
      <c r="Q51" s="85"/>
      <c r="R51" s="85"/>
      <c r="S51" s="85"/>
      <c r="T51" s="85"/>
      <c r="U51" s="85"/>
      <c r="V51" s="85"/>
      <c r="W51" s="85"/>
      <c r="X51" s="85"/>
      <c r="Y51" s="85"/>
      <c r="Z51" s="85"/>
      <c r="AA51" s="85"/>
      <c r="AB51" s="85"/>
      <c r="AC51" s="81">
        <f t="shared" si="36"/>
        <v>0</v>
      </c>
      <c r="AD51" s="86"/>
      <c r="AE51" s="86"/>
      <c r="AF51" s="1177"/>
      <c r="AG51" s="86"/>
      <c r="AH51" s="86"/>
      <c r="AI51" s="86"/>
      <c r="AJ51" s="86"/>
      <c r="AK51" s="86"/>
      <c r="AL51" s="86"/>
      <c r="AM51" s="86"/>
      <c r="AN51" s="86"/>
      <c r="AO51" s="86"/>
      <c r="AP51" s="86"/>
      <c r="AQ51" s="86"/>
      <c r="AR51" s="86"/>
      <c r="AS51" s="86"/>
      <c r="AT51" s="82"/>
      <c r="AU51" s="87"/>
      <c r="AV51" s="815">
        <f t="shared" si="37"/>
        <v>0</v>
      </c>
      <c r="AW51" s="815">
        <f t="shared" si="38"/>
        <v>0</v>
      </c>
      <c r="AX51" s="81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6"/>
      <c r="C52" s="1177"/>
      <c r="D52" s="2297"/>
      <c r="E52" s="81">
        <f t="shared" si="33"/>
        <v>0</v>
      </c>
      <c r="F52" s="82"/>
      <c r="G52" s="83">
        <f t="shared" si="34"/>
        <v>0</v>
      </c>
      <c r="H52" s="84">
        <f t="shared" si="35"/>
        <v>0</v>
      </c>
      <c r="I52" s="1177"/>
      <c r="J52" s="85"/>
      <c r="K52" s="1177"/>
      <c r="L52" s="85"/>
      <c r="M52" s="85"/>
      <c r="N52" s="85"/>
      <c r="O52" s="85"/>
      <c r="P52" s="85"/>
      <c r="Q52" s="85"/>
      <c r="R52" s="85"/>
      <c r="S52" s="85"/>
      <c r="T52" s="85"/>
      <c r="U52" s="85"/>
      <c r="V52" s="85"/>
      <c r="W52" s="85"/>
      <c r="X52" s="85"/>
      <c r="Y52" s="85"/>
      <c r="Z52" s="85"/>
      <c r="AA52" s="85"/>
      <c r="AB52" s="85"/>
      <c r="AC52" s="81">
        <f t="shared" si="36"/>
        <v>0</v>
      </c>
      <c r="AD52" s="86"/>
      <c r="AE52" s="86"/>
      <c r="AF52" s="1177"/>
      <c r="AG52" s="86"/>
      <c r="AH52" s="86"/>
      <c r="AI52" s="86"/>
      <c r="AJ52" s="86"/>
      <c r="AK52" s="86"/>
      <c r="AL52" s="86"/>
      <c r="AM52" s="86"/>
      <c r="AN52" s="86"/>
      <c r="AO52" s="86"/>
      <c r="AP52" s="86"/>
      <c r="AQ52" s="86"/>
      <c r="AR52" s="86"/>
      <c r="AS52" s="86"/>
      <c r="AT52" s="82"/>
      <c r="AU52" s="87"/>
      <c r="AV52" s="815">
        <f t="shared" si="37"/>
        <v>0</v>
      </c>
      <c r="AW52" s="815">
        <f t="shared" si="38"/>
        <v>0</v>
      </c>
      <c r="AX52" s="81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6"/>
      <c r="C53" s="1177"/>
      <c r="D53" s="2297"/>
      <c r="E53" s="81">
        <f t="shared" si="33"/>
        <v>0</v>
      </c>
      <c r="F53" s="82"/>
      <c r="G53" s="83">
        <f t="shared" si="34"/>
        <v>0</v>
      </c>
      <c r="H53" s="84">
        <f t="shared" si="35"/>
        <v>0</v>
      </c>
      <c r="I53" s="1177"/>
      <c r="J53" s="85"/>
      <c r="K53" s="1177"/>
      <c r="L53" s="85"/>
      <c r="M53" s="85"/>
      <c r="N53" s="85"/>
      <c r="O53" s="85"/>
      <c r="P53" s="85"/>
      <c r="Q53" s="85"/>
      <c r="R53" s="85"/>
      <c r="S53" s="85"/>
      <c r="T53" s="85"/>
      <c r="U53" s="85"/>
      <c r="V53" s="85"/>
      <c r="W53" s="85"/>
      <c r="X53" s="85"/>
      <c r="Y53" s="85"/>
      <c r="Z53" s="85"/>
      <c r="AA53" s="85"/>
      <c r="AB53" s="85"/>
      <c r="AC53" s="81">
        <f t="shared" si="36"/>
        <v>0</v>
      </c>
      <c r="AD53" s="86"/>
      <c r="AE53" s="86"/>
      <c r="AF53" s="1177"/>
      <c r="AG53" s="86"/>
      <c r="AH53" s="86"/>
      <c r="AI53" s="86"/>
      <c r="AJ53" s="86"/>
      <c r="AK53" s="86"/>
      <c r="AL53" s="86"/>
      <c r="AM53" s="86"/>
      <c r="AN53" s="86"/>
      <c r="AO53" s="86"/>
      <c r="AP53" s="86"/>
      <c r="AQ53" s="86"/>
      <c r="AR53" s="86"/>
      <c r="AS53" s="86"/>
      <c r="AT53" s="82"/>
      <c r="AU53" s="87"/>
      <c r="AV53" s="815">
        <f t="shared" si="37"/>
        <v>0</v>
      </c>
      <c r="AW53" s="815">
        <f t="shared" si="38"/>
        <v>0</v>
      </c>
      <c r="AX53" s="81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6"/>
      <c r="C54" s="1177"/>
      <c r="D54" s="2297"/>
      <c r="E54" s="81">
        <f t="shared" si="33"/>
        <v>0</v>
      </c>
      <c r="F54" s="82"/>
      <c r="G54" s="83">
        <f t="shared" si="34"/>
        <v>0</v>
      </c>
      <c r="H54" s="84">
        <f t="shared" si="35"/>
        <v>0</v>
      </c>
      <c r="I54" s="1177"/>
      <c r="J54" s="85"/>
      <c r="K54" s="1177"/>
      <c r="L54" s="85"/>
      <c r="M54" s="85"/>
      <c r="N54" s="85"/>
      <c r="O54" s="85"/>
      <c r="P54" s="85"/>
      <c r="Q54" s="85"/>
      <c r="R54" s="85"/>
      <c r="S54" s="85"/>
      <c r="T54" s="85"/>
      <c r="U54" s="85"/>
      <c r="V54" s="85"/>
      <c r="W54" s="85"/>
      <c r="X54" s="85"/>
      <c r="Y54" s="85"/>
      <c r="Z54" s="85"/>
      <c r="AA54" s="85"/>
      <c r="AB54" s="85"/>
      <c r="AC54" s="81">
        <f t="shared" si="36"/>
        <v>0</v>
      </c>
      <c r="AD54" s="86"/>
      <c r="AE54" s="86"/>
      <c r="AF54" s="1177"/>
      <c r="AG54" s="86"/>
      <c r="AH54" s="86"/>
      <c r="AI54" s="86"/>
      <c r="AJ54" s="86"/>
      <c r="AK54" s="86"/>
      <c r="AL54" s="86"/>
      <c r="AM54" s="86"/>
      <c r="AN54" s="86"/>
      <c r="AO54" s="86"/>
      <c r="AP54" s="86"/>
      <c r="AQ54" s="86"/>
      <c r="AR54" s="86"/>
      <c r="AS54" s="86"/>
      <c r="AT54" s="82"/>
      <c r="AU54" s="87"/>
      <c r="AV54" s="815">
        <f t="shared" si="37"/>
        <v>0</v>
      </c>
      <c r="AW54" s="815">
        <f t="shared" si="38"/>
        <v>0</v>
      </c>
      <c r="AX54" s="81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6"/>
      <c r="C55" s="1177"/>
      <c r="D55" s="2297"/>
      <c r="E55" s="81">
        <f t="shared" si="33"/>
        <v>0</v>
      </c>
      <c r="F55" s="82"/>
      <c r="G55" s="83">
        <f t="shared" si="34"/>
        <v>0</v>
      </c>
      <c r="H55" s="84">
        <f t="shared" si="35"/>
        <v>0</v>
      </c>
      <c r="I55" s="1177"/>
      <c r="J55" s="85"/>
      <c r="K55" s="1177"/>
      <c r="L55" s="85"/>
      <c r="M55" s="1177"/>
      <c r="N55" s="85"/>
      <c r="O55" s="85"/>
      <c r="P55" s="85"/>
      <c r="Q55" s="85"/>
      <c r="R55" s="85"/>
      <c r="S55" s="85"/>
      <c r="T55" s="85"/>
      <c r="U55" s="85"/>
      <c r="V55" s="85"/>
      <c r="W55" s="85"/>
      <c r="X55" s="85"/>
      <c r="Y55" s="85"/>
      <c r="Z55" s="85"/>
      <c r="AA55" s="85"/>
      <c r="AB55" s="85"/>
      <c r="AC55" s="81">
        <f t="shared" si="36"/>
        <v>0</v>
      </c>
      <c r="AD55" s="86"/>
      <c r="AE55" s="86"/>
      <c r="AF55" s="1177"/>
      <c r="AG55" s="86"/>
      <c r="AH55" s="86"/>
      <c r="AI55" s="86"/>
      <c r="AJ55" s="86"/>
      <c r="AK55" s="86"/>
      <c r="AL55" s="86"/>
      <c r="AM55" s="86"/>
      <c r="AN55" s="86"/>
      <c r="AO55" s="86"/>
      <c r="AP55" s="86"/>
      <c r="AQ55" s="86"/>
      <c r="AR55" s="86"/>
      <c r="AS55" s="86"/>
      <c r="AT55" s="82"/>
      <c r="AU55" s="87"/>
      <c r="AV55" s="815">
        <f t="shared" si="37"/>
        <v>0</v>
      </c>
      <c r="AW55" s="815">
        <f t="shared" si="38"/>
        <v>0</v>
      </c>
      <c r="AX55" s="81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5">
        <f t="shared" si="37"/>
        <v>0</v>
      </c>
      <c r="AW56" s="815">
        <f t="shared" si="38"/>
        <v>0</v>
      </c>
      <c r="AX56" s="81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5">
        <f t="shared" si="37"/>
        <v>0</v>
      </c>
      <c r="AW57" s="815">
        <f t="shared" si="38"/>
        <v>0</v>
      </c>
      <c r="AX57" s="81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5">
        <f t="shared" si="37"/>
        <v>0</v>
      </c>
      <c r="AW58" s="815">
        <f t="shared" si="38"/>
        <v>0</v>
      </c>
      <c r="AX58" s="81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5">
        <f t="shared" si="37"/>
        <v>0</v>
      </c>
      <c r="AW59" s="815">
        <f t="shared" si="38"/>
        <v>0</v>
      </c>
      <c r="AX59" s="81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5">
        <f t="shared" si="37"/>
        <v>0</v>
      </c>
      <c r="AW60" s="815">
        <f t="shared" si="38"/>
        <v>0</v>
      </c>
      <c r="AX60" s="81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5">
        <f t="shared" si="37"/>
        <v>0</v>
      </c>
      <c r="AW61" s="815">
        <f t="shared" si="38"/>
        <v>0</v>
      </c>
      <c r="AX61" s="81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5">
        <f t="shared" si="37"/>
        <v>0</v>
      </c>
      <c r="AW62" s="815">
        <f t="shared" si="38"/>
        <v>0</v>
      </c>
      <c r="AX62" s="81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5">
        <f t="shared" si="37"/>
        <v>0</v>
      </c>
      <c r="AW63" s="815">
        <f t="shared" si="38"/>
        <v>0</v>
      </c>
      <c r="AX63" s="81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5">
        <f t="shared" si="37"/>
        <v>0</v>
      </c>
      <c r="AW64" s="815">
        <f t="shared" si="38"/>
        <v>0</v>
      </c>
      <c r="AX64" s="81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5">
        <f t="shared" si="37"/>
        <v>0</v>
      </c>
      <c r="AW65" s="815">
        <f t="shared" si="38"/>
        <v>0</v>
      </c>
      <c r="AX65" s="81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5">
        <f t="shared" si="37"/>
        <v>0</v>
      </c>
      <c r="AW66" s="815">
        <f t="shared" si="38"/>
        <v>0</v>
      </c>
      <c r="AX66" s="81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5">
        <f t="shared" si="37"/>
        <v>0</v>
      </c>
      <c r="AW67" s="815">
        <f t="shared" si="38"/>
        <v>0</v>
      </c>
      <c r="AX67" s="81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5">
        <f t="shared" si="37"/>
        <v>0</v>
      </c>
      <c r="AW68" s="815">
        <f t="shared" si="38"/>
        <v>0</v>
      </c>
      <c r="AX68" s="81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5">
        <f t="shared" si="37"/>
        <v>0</v>
      </c>
      <c r="AW69" s="815">
        <f t="shared" si="38"/>
        <v>0</v>
      </c>
      <c r="AX69" s="81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5">
        <f t="shared" si="37"/>
        <v>0</v>
      </c>
      <c r="AW70" s="815">
        <f t="shared" si="38"/>
        <v>0</v>
      </c>
      <c r="AX70" s="81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5">
        <f t="shared" si="37"/>
        <v>0</v>
      </c>
      <c r="AW71" s="815">
        <f t="shared" si="38"/>
        <v>0</v>
      </c>
      <c r="AX71" s="81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5">
        <f t="shared" si="37"/>
        <v>0</v>
      </c>
      <c r="AW72" s="815">
        <f t="shared" si="38"/>
        <v>0</v>
      </c>
      <c r="AX72" s="81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5">
        <f t="shared" si="37"/>
        <v>0</v>
      </c>
      <c r="AW73" s="815">
        <f t="shared" si="38"/>
        <v>0</v>
      </c>
      <c r="AX73" s="81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5">
        <f t="shared" si="37"/>
        <v>0</v>
      </c>
      <c r="AW74" s="815">
        <f t="shared" si="38"/>
        <v>0</v>
      </c>
      <c r="AX74" s="81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5">
        <f t="shared" si="37"/>
        <v>0</v>
      </c>
      <c r="AW75" s="815">
        <f t="shared" si="38"/>
        <v>0</v>
      </c>
      <c r="AX75" s="81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5">
        <f t="shared" si="37"/>
        <v>0</v>
      </c>
      <c r="AW76" s="815">
        <f t="shared" si="38"/>
        <v>0</v>
      </c>
      <c r="AX76" s="81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5">
        <f t="shared" si="37"/>
        <v>0</v>
      </c>
      <c r="AW77" s="815">
        <f t="shared" si="38"/>
        <v>0</v>
      </c>
      <c r="AX77" s="81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5">
        <f t="shared" si="37"/>
        <v>0</v>
      </c>
      <c r="AW78" s="815">
        <f t="shared" si="38"/>
        <v>0</v>
      </c>
      <c r="AX78" s="81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5">
        <f t="shared" si="37"/>
        <v>0</v>
      </c>
      <c r="AW79" s="815">
        <f t="shared" si="38"/>
        <v>0</v>
      </c>
      <c r="AX79" s="81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5">
        <f t="shared" si="37"/>
        <v>0</v>
      </c>
      <c r="AW80" s="815">
        <f t="shared" si="38"/>
        <v>0</v>
      </c>
      <c r="AX80" s="81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5">
        <f t="shared" si="37"/>
        <v>0</v>
      </c>
      <c r="AW81" s="815">
        <f t="shared" si="38"/>
        <v>0</v>
      </c>
      <c r="AX81" s="81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5">
        <f t="shared" si="37"/>
        <v>0</v>
      </c>
      <c r="AW82" s="815">
        <f t="shared" si="38"/>
        <v>0</v>
      </c>
      <c r="AX82" s="81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5">
        <f t="shared" si="37"/>
        <v>0</v>
      </c>
      <c r="AW83" s="815">
        <f t="shared" si="38"/>
        <v>0</v>
      </c>
      <c r="AX83" s="81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5">
        <f t="shared" si="37"/>
        <v>0</v>
      </c>
      <c r="AW84" s="815">
        <f t="shared" si="38"/>
        <v>0</v>
      </c>
      <c r="AX84" s="81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5">
        <f t="shared" si="37"/>
        <v>0</v>
      </c>
      <c r="AW85" s="815">
        <f t="shared" si="38"/>
        <v>0</v>
      </c>
      <c r="AX85" s="81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5">
        <f t="shared" si="37"/>
        <v>0</v>
      </c>
      <c r="AW86" s="815">
        <f t="shared" si="38"/>
        <v>0</v>
      </c>
      <c r="AX86" s="81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5">
        <f t="shared" si="37"/>
        <v>0</v>
      </c>
      <c r="AW87" s="815">
        <f t="shared" si="38"/>
        <v>0</v>
      </c>
      <c r="AX87" s="81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5">
        <f t="shared" si="37"/>
        <v>0</v>
      </c>
      <c r="AW88" s="815">
        <f t="shared" si="38"/>
        <v>0</v>
      </c>
      <c r="AX88" s="81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5">
        <f t="shared" si="37"/>
        <v>0</v>
      </c>
      <c r="AW89" s="815">
        <f t="shared" si="38"/>
        <v>0</v>
      </c>
      <c r="AX89" s="81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5">
        <f t="shared" si="37"/>
        <v>0</v>
      </c>
      <c r="AW90" s="815">
        <f t="shared" si="38"/>
        <v>0</v>
      </c>
      <c r="AX90" s="81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5">
        <f t="shared" si="37"/>
        <v>0</v>
      </c>
      <c r="AW91" s="815">
        <f t="shared" si="38"/>
        <v>0</v>
      </c>
      <c r="AX91" s="81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5">
        <f t="shared" si="37"/>
        <v>0</v>
      </c>
      <c r="AW92" s="815">
        <f t="shared" si="38"/>
        <v>0</v>
      </c>
      <c r="AX92" s="81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5">
        <f t="shared" si="37"/>
        <v>0</v>
      </c>
      <c r="AW93" s="815">
        <f t="shared" si="38"/>
        <v>0</v>
      </c>
      <c r="AX93" s="81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5">
        <f t="shared" si="37"/>
        <v>0</v>
      </c>
      <c r="AW94" s="815">
        <f t="shared" si="38"/>
        <v>0</v>
      </c>
      <c r="AX94" s="81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5">
        <f t="shared" si="37"/>
        <v>0</v>
      </c>
      <c r="AW95" s="815">
        <f t="shared" si="38"/>
        <v>0</v>
      </c>
      <c r="AX95" s="81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5">
        <f t="shared" si="37"/>
        <v>0</v>
      </c>
      <c r="AW96" s="815">
        <f t="shared" si="38"/>
        <v>0</v>
      </c>
      <c r="AX96" s="81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5">
        <f t="shared" si="37"/>
        <v>0</v>
      </c>
      <c r="AW97" s="815">
        <f t="shared" si="38"/>
        <v>0</v>
      </c>
      <c r="AX97" s="81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5">
        <f t="shared" si="37"/>
        <v>0</v>
      </c>
      <c r="AW98" s="815">
        <f t="shared" si="38"/>
        <v>0</v>
      </c>
      <c r="AX98" s="81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5">
        <f t="shared" si="37"/>
        <v>0</v>
      </c>
      <c r="AW99" s="815">
        <f t="shared" si="38"/>
        <v>0</v>
      </c>
      <c r="AX99" s="81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5">
        <f t="shared" si="37"/>
        <v>0</v>
      </c>
      <c r="AW100" s="815">
        <f t="shared" si="38"/>
        <v>0</v>
      </c>
      <c r="AX100" s="81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5">
        <f t="shared" si="37"/>
        <v>0</v>
      </c>
      <c r="AW101" s="815">
        <f t="shared" si="38"/>
        <v>0</v>
      </c>
      <c r="AX101" s="81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5">
        <f t="shared" si="37"/>
        <v>0</v>
      </c>
      <c r="AW102" s="815">
        <f t="shared" si="38"/>
        <v>0</v>
      </c>
      <c r="AX102" s="81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5">
        <f t="shared" si="37"/>
        <v>0</v>
      </c>
      <c r="AW103" s="815">
        <f t="shared" si="38"/>
        <v>0</v>
      </c>
      <c r="AX103" s="81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5">
        <f t="shared" si="37"/>
        <v>0</v>
      </c>
      <c r="AW104" s="815">
        <f t="shared" si="38"/>
        <v>0</v>
      </c>
      <c r="AX104" s="81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5">
        <f t="shared" si="37"/>
        <v>0</v>
      </c>
      <c r="AW105" s="815">
        <f t="shared" si="38"/>
        <v>0</v>
      </c>
      <c r="AX105" s="81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5">
        <f t="shared" si="37"/>
        <v>0</v>
      </c>
      <c r="AW106" s="815">
        <f t="shared" si="38"/>
        <v>0</v>
      </c>
      <c r="AX106" s="81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5">
        <f t="shared" si="37"/>
        <v>0</v>
      </c>
      <c r="AW107" s="815">
        <f t="shared" si="38"/>
        <v>0</v>
      </c>
      <c r="AX107" s="81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5">
        <f t="shared" si="37"/>
        <v>0</v>
      </c>
      <c r="AW108" s="815">
        <f t="shared" si="38"/>
        <v>0</v>
      </c>
      <c r="AX108" s="81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5">
        <f t="shared" si="37"/>
        <v>0</v>
      </c>
      <c r="AW109" s="815">
        <f t="shared" si="38"/>
        <v>0</v>
      </c>
      <c r="AX109" s="81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5">
        <f t="shared" si="37"/>
        <v>0</v>
      </c>
      <c r="AW110" s="815">
        <f t="shared" si="38"/>
        <v>0</v>
      </c>
      <c r="AX110" s="81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5">
        <f t="shared" si="37"/>
        <v>0</v>
      </c>
      <c r="AW111" s="815">
        <f t="shared" si="38"/>
        <v>0</v>
      </c>
      <c r="AX111" s="81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5">
        <f t="shared" si="37"/>
        <v>0</v>
      </c>
      <c r="AW112" s="815">
        <f t="shared" si="38"/>
        <v>0</v>
      </c>
      <c r="AX112" s="81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6"/>
      <c r="C113" s="1177"/>
      <c r="D113" s="2297"/>
      <c r="E113" s="81">
        <f t="shared" ref="E113:E144" si="87">IF($C$3="是",ROUND($A$3*G113/$B$3,2),ROUND($A$3*(G113-AT113)/$B$3,2))</f>
        <v>0</v>
      </c>
      <c r="F113" s="82"/>
      <c r="G113" s="83">
        <f t="shared" si="62"/>
        <v>0</v>
      </c>
      <c r="H113" s="84">
        <f t="shared" si="63"/>
        <v>0</v>
      </c>
      <c r="I113" s="1177"/>
      <c r="J113" s="85"/>
      <c r="K113" s="1177"/>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8"/>
      <c r="AG113" s="86"/>
      <c r="AH113" s="86"/>
      <c r="AI113" s="86"/>
      <c r="AJ113" s="86"/>
      <c r="AK113" s="86"/>
      <c r="AL113" s="86"/>
      <c r="AM113" s="86"/>
      <c r="AN113" s="1155"/>
      <c r="AO113" s="86"/>
      <c r="AP113" s="86"/>
      <c r="AQ113" s="86"/>
      <c r="AR113" s="86"/>
      <c r="AS113" s="86"/>
      <c r="AT113" s="82"/>
      <c r="AU113" s="87"/>
      <c r="AV113" s="815">
        <f t="shared" ref="AV113:AV144" si="88">A113</f>
        <v>0</v>
      </c>
      <c r="AW113" s="815">
        <f t="shared" ref="AW113:AW144" si="89">B113</f>
        <v>0</v>
      </c>
      <c r="AX113" s="81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6"/>
      <c r="C114" s="1177"/>
      <c r="D114" s="2297"/>
      <c r="E114" s="81">
        <f t="shared" si="87"/>
        <v>0</v>
      </c>
      <c r="F114" s="82"/>
      <c r="G114" s="83">
        <f t="shared" si="62"/>
        <v>0</v>
      </c>
      <c r="H114" s="84">
        <f t="shared" si="63"/>
        <v>0</v>
      </c>
      <c r="I114" s="1177"/>
      <c r="J114" s="85"/>
      <c r="K114" s="1177"/>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8"/>
      <c r="AG114" s="86"/>
      <c r="AH114" s="86"/>
      <c r="AI114" s="86"/>
      <c r="AJ114" s="86"/>
      <c r="AK114" s="86"/>
      <c r="AL114" s="1155"/>
      <c r="AM114" s="86"/>
      <c r="AN114" s="1155"/>
      <c r="AO114" s="86"/>
      <c r="AP114" s="86"/>
      <c r="AQ114" s="86"/>
      <c r="AR114" s="86"/>
      <c r="AS114" s="86"/>
      <c r="AT114" s="82"/>
      <c r="AU114" s="87"/>
      <c r="AV114" s="815">
        <f t="shared" si="88"/>
        <v>0</v>
      </c>
      <c r="AW114" s="815">
        <f t="shared" si="89"/>
        <v>0</v>
      </c>
      <c r="AX114" s="81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6"/>
      <c r="C115" s="1177"/>
      <c r="D115" s="2297"/>
      <c r="E115" s="81">
        <f t="shared" si="87"/>
        <v>0</v>
      </c>
      <c r="F115" s="82"/>
      <c r="G115" s="83">
        <f t="shared" si="62"/>
        <v>0</v>
      </c>
      <c r="H115" s="84">
        <f t="shared" si="63"/>
        <v>0</v>
      </c>
      <c r="I115" s="1177"/>
      <c r="J115" s="85"/>
      <c r="K115" s="1177"/>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8"/>
      <c r="AG115" s="86"/>
      <c r="AH115" s="86"/>
      <c r="AI115" s="86"/>
      <c r="AJ115" s="86"/>
      <c r="AK115" s="86"/>
      <c r="AL115" s="1155"/>
      <c r="AM115" s="86"/>
      <c r="AN115" s="1155"/>
      <c r="AO115" s="86"/>
      <c r="AP115" s="86"/>
      <c r="AQ115" s="86"/>
      <c r="AR115" s="86"/>
      <c r="AS115" s="86"/>
      <c r="AT115" s="82"/>
      <c r="AU115" s="87"/>
      <c r="AV115" s="815">
        <f t="shared" si="88"/>
        <v>0</v>
      </c>
      <c r="AW115" s="815">
        <f t="shared" si="89"/>
        <v>0</v>
      </c>
      <c r="AX115" s="81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6"/>
      <c r="C116" s="1177"/>
      <c r="D116" s="2297"/>
      <c r="E116" s="81">
        <f t="shared" si="87"/>
        <v>0</v>
      </c>
      <c r="F116" s="82"/>
      <c r="G116" s="83">
        <f t="shared" si="62"/>
        <v>0</v>
      </c>
      <c r="H116" s="84">
        <f t="shared" si="63"/>
        <v>0</v>
      </c>
      <c r="I116" s="1177"/>
      <c r="J116" s="85"/>
      <c r="K116" s="1177"/>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8"/>
      <c r="AG116" s="86"/>
      <c r="AH116" s="86"/>
      <c r="AI116" s="86"/>
      <c r="AJ116" s="86"/>
      <c r="AK116" s="86"/>
      <c r="AL116" s="86"/>
      <c r="AM116" s="86"/>
      <c r="AN116" s="1155"/>
      <c r="AO116" s="86"/>
      <c r="AP116" s="86"/>
      <c r="AQ116" s="86"/>
      <c r="AR116" s="86"/>
      <c r="AS116" s="86"/>
      <c r="AT116" s="82"/>
      <c r="AU116" s="87"/>
      <c r="AV116" s="815">
        <f t="shared" si="88"/>
        <v>0</v>
      </c>
      <c r="AW116" s="815">
        <f t="shared" si="89"/>
        <v>0</v>
      </c>
      <c r="AX116" s="81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6"/>
      <c r="C117" s="1177"/>
      <c r="D117" s="2297"/>
      <c r="E117" s="81">
        <f t="shared" si="87"/>
        <v>0</v>
      </c>
      <c r="F117" s="82"/>
      <c r="G117" s="83">
        <f t="shared" si="62"/>
        <v>0</v>
      </c>
      <c r="H117" s="84">
        <f t="shared" si="63"/>
        <v>0</v>
      </c>
      <c r="I117" s="1177"/>
      <c r="J117" s="85"/>
      <c r="K117" s="1177"/>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8"/>
      <c r="AG117" s="86"/>
      <c r="AH117" s="86"/>
      <c r="AI117" s="86"/>
      <c r="AJ117" s="86"/>
      <c r="AK117" s="86"/>
      <c r="AL117" s="86"/>
      <c r="AM117" s="86"/>
      <c r="AN117" s="86"/>
      <c r="AO117" s="86"/>
      <c r="AP117" s="86"/>
      <c r="AQ117" s="86"/>
      <c r="AR117" s="86"/>
      <c r="AS117" s="86"/>
      <c r="AT117" s="82"/>
      <c r="AU117" s="87"/>
      <c r="AV117" s="815">
        <f t="shared" si="88"/>
        <v>0</v>
      </c>
      <c r="AW117" s="815">
        <f t="shared" si="89"/>
        <v>0</v>
      </c>
      <c r="AX117" s="81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6"/>
      <c r="C118" s="1177"/>
      <c r="D118" s="2297"/>
      <c r="E118" s="81">
        <f t="shared" si="87"/>
        <v>0</v>
      </c>
      <c r="F118" s="82"/>
      <c r="G118" s="83">
        <f t="shared" si="62"/>
        <v>0</v>
      </c>
      <c r="H118" s="84">
        <f t="shared" si="63"/>
        <v>0</v>
      </c>
      <c r="I118" s="1177"/>
      <c r="J118" s="85"/>
      <c r="K118" s="1177"/>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8"/>
      <c r="AG118" s="86"/>
      <c r="AH118" s="86"/>
      <c r="AI118" s="86"/>
      <c r="AJ118" s="86"/>
      <c r="AK118" s="86"/>
      <c r="AL118" s="86"/>
      <c r="AM118" s="86"/>
      <c r="AN118" s="86"/>
      <c r="AO118" s="86"/>
      <c r="AP118" s="86"/>
      <c r="AQ118" s="86"/>
      <c r="AR118" s="86"/>
      <c r="AS118" s="86"/>
      <c r="AT118" s="82"/>
      <c r="AU118" s="87"/>
      <c r="AV118" s="815">
        <f t="shared" si="88"/>
        <v>0</v>
      </c>
      <c r="AW118" s="815">
        <f t="shared" si="89"/>
        <v>0</v>
      </c>
      <c r="AX118" s="81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6"/>
      <c r="C119" s="1177"/>
      <c r="D119" s="2297"/>
      <c r="E119" s="81">
        <f t="shared" si="87"/>
        <v>0</v>
      </c>
      <c r="F119" s="82"/>
      <c r="G119" s="83">
        <f t="shared" si="62"/>
        <v>0</v>
      </c>
      <c r="H119" s="84">
        <f t="shared" si="63"/>
        <v>0</v>
      </c>
      <c r="I119" s="1177"/>
      <c r="J119" s="85"/>
      <c r="K119" s="1177"/>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8"/>
      <c r="AG119" s="86"/>
      <c r="AH119" s="86"/>
      <c r="AI119" s="86"/>
      <c r="AJ119" s="86"/>
      <c r="AK119" s="86"/>
      <c r="AL119" s="86"/>
      <c r="AM119" s="86"/>
      <c r="AN119" s="86"/>
      <c r="AO119" s="86"/>
      <c r="AP119" s="86"/>
      <c r="AQ119" s="86"/>
      <c r="AR119" s="86"/>
      <c r="AS119" s="86"/>
      <c r="AT119" s="82"/>
      <c r="AU119" s="87"/>
      <c r="AV119" s="815">
        <f t="shared" si="88"/>
        <v>0</v>
      </c>
      <c r="AW119" s="815">
        <f t="shared" si="89"/>
        <v>0</v>
      </c>
      <c r="AX119" s="81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6"/>
      <c r="C120" s="1177"/>
      <c r="D120" s="2297"/>
      <c r="E120" s="81">
        <f t="shared" si="87"/>
        <v>0</v>
      </c>
      <c r="F120" s="82"/>
      <c r="G120" s="83">
        <f t="shared" si="62"/>
        <v>0</v>
      </c>
      <c r="H120" s="84">
        <f t="shared" si="63"/>
        <v>0</v>
      </c>
      <c r="I120" s="1177"/>
      <c r="J120" s="85"/>
      <c r="K120" s="1177"/>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7"/>
      <c r="AG120" s="86"/>
      <c r="AH120" s="86"/>
      <c r="AI120" s="86"/>
      <c r="AJ120" s="86"/>
      <c r="AK120" s="86"/>
      <c r="AL120" s="86"/>
      <c r="AM120" s="86"/>
      <c r="AN120" s="86"/>
      <c r="AO120" s="86"/>
      <c r="AP120" s="86"/>
      <c r="AQ120" s="86"/>
      <c r="AR120" s="86"/>
      <c r="AS120" s="86"/>
      <c r="AT120" s="82"/>
      <c r="AU120" s="87"/>
      <c r="AV120" s="815">
        <f t="shared" si="88"/>
        <v>0</v>
      </c>
      <c r="AW120" s="815">
        <f t="shared" si="89"/>
        <v>0</v>
      </c>
      <c r="AX120" s="81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6"/>
      <c r="C121" s="1177"/>
      <c r="D121" s="2297"/>
      <c r="E121" s="81">
        <f t="shared" si="87"/>
        <v>0</v>
      </c>
      <c r="F121" s="82"/>
      <c r="G121" s="83">
        <f t="shared" si="62"/>
        <v>0</v>
      </c>
      <c r="H121" s="84">
        <f t="shared" si="63"/>
        <v>0</v>
      </c>
      <c r="I121" s="1177"/>
      <c r="J121" s="85"/>
      <c r="K121" s="1177"/>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7"/>
      <c r="AG121" s="86"/>
      <c r="AH121" s="86"/>
      <c r="AI121" s="86"/>
      <c r="AJ121" s="86"/>
      <c r="AK121" s="86"/>
      <c r="AL121" s="86"/>
      <c r="AM121" s="86"/>
      <c r="AN121" s="86"/>
      <c r="AO121" s="86"/>
      <c r="AP121" s="86"/>
      <c r="AQ121" s="86"/>
      <c r="AR121" s="86"/>
      <c r="AS121" s="86"/>
      <c r="AT121" s="82"/>
      <c r="AU121" s="87"/>
      <c r="AV121" s="815">
        <f t="shared" si="88"/>
        <v>0</v>
      </c>
      <c r="AW121" s="815">
        <f t="shared" si="89"/>
        <v>0</v>
      </c>
      <c r="AX121" s="81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6"/>
      <c r="C122" s="1177"/>
      <c r="D122" s="2297"/>
      <c r="E122" s="81">
        <f t="shared" si="87"/>
        <v>0</v>
      </c>
      <c r="F122" s="82"/>
      <c r="G122" s="83">
        <f t="shared" si="62"/>
        <v>0</v>
      </c>
      <c r="H122" s="84">
        <f t="shared" si="63"/>
        <v>0</v>
      </c>
      <c r="I122" s="1177"/>
      <c r="J122" s="85"/>
      <c r="K122" s="1177"/>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7"/>
      <c r="AG122" s="86"/>
      <c r="AH122" s="86"/>
      <c r="AI122" s="86"/>
      <c r="AJ122" s="86"/>
      <c r="AK122" s="86"/>
      <c r="AL122" s="86"/>
      <c r="AM122" s="86"/>
      <c r="AN122" s="86"/>
      <c r="AO122" s="86"/>
      <c r="AP122" s="86"/>
      <c r="AQ122" s="86"/>
      <c r="AR122" s="86"/>
      <c r="AS122" s="86"/>
      <c r="AT122" s="82"/>
      <c r="AU122" s="87"/>
      <c r="AV122" s="815">
        <f t="shared" si="88"/>
        <v>0</v>
      </c>
      <c r="AW122" s="815">
        <f t="shared" si="89"/>
        <v>0</v>
      </c>
      <c r="AX122" s="81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6"/>
      <c r="C123" s="1177"/>
      <c r="D123" s="2297"/>
      <c r="E123" s="81">
        <f t="shared" si="87"/>
        <v>0</v>
      </c>
      <c r="F123" s="82"/>
      <c r="G123" s="83">
        <f t="shared" si="62"/>
        <v>0</v>
      </c>
      <c r="H123" s="84">
        <f t="shared" si="63"/>
        <v>0</v>
      </c>
      <c r="I123" s="1177"/>
      <c r="J123" s="85"/>
      <c r="K123" s="1177"/>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7"/>
      <c r="AG123" s="86"/>
      <c r="AH123" s="86"/>
      <c r="AI123" s="86"/>
      <c r="AJ123" s="86"/>
      <c r="AK123" s="86"/>
      <c r="AL123" s="86"/>
      <c r="AM123" s="86"/>
      <c r="AN123" s="86"/>
      <c r="AO123" s="86"/>
      <c r="AP123" s="86"/>
      <c r="AQ123" s="86"/>
      <c r="AR123" s="86"/>
      <c r="AS123" s="86"/>
      <c r="AT123" s="82"/>
      <c r="AU123" s="87"/>
      <c r="AV123" s="815">
        <f t="shared" si="88"/>
        <v>0</v>
      </c>
      <c r="AW123" s="815">
        <f t="shared" si="89"/>
        <v>0</v>
      </c>
      <c r="AX123" s="81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6"/>
      <c r="C124" s="1177"/>
      <c r="D124" s="2297"/>
      <c r="E124" s="81">
        <f t="shared" si="87"/>
        <v>0</v>
      </c>
      <c r="F124" s="82"/>
      <c r="G124" s="83">
        <f t="shared" si="62"/>
        <v>0</v>
      </c>
      <c r="H124" s="84">
        <f t="shared" si="63"/>
        <v>0</v>
      </c>
      <c r="I124" s="1177"/>
      <c r="J124" s="85"/>
      <c r="K124" s="1177"/>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7"/>
      <c r="AG124" s="86"/>
      <c r="AH124" s="86"/>
      <c r="AI124" s="86"/>
      <c r="AJ124" s="86"/>
      <c r="AK124" s="86"/>
      <c r="AL124" s="86"/>
      <c r="AM124" s="86"/>
      <c r="AN124" s="86"/>
      <c r="AO124" s="86"/>
      <c r="AP124" s="86"/>
      <c r="AQ124" s="86"/>
      <c r="AR124" s="86"/>
      <c r="AS124" s="86"/>
      <c r="AT124" s="82"/>
      <c r="AU124" s="87"/>
      <c r="AV124" s="815">
        <f t="shared" si="88"/>
        <v>0</v>
      </c>
      <c r="AW124" s="815">
        <f t="shared" si="89"/>
        <v>0</v>
      </c>
      <c r="AX124" s="81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6"/>
      <c r="C125" s="1177"/>
      <c r="D125" s="2297"/>
      <c r="E125" s="81">
        <f t="shared" si="87"/>
        <v>0</v>
      </c>
      <c r="F125" s="82"/>
      <c r="G125" s="83">
        <f t="shared" si="62"/>
        <v>0</v>
      </c>
      <c r="H125" s="84">
        <f t="shared" si="63"/>
        <v>0</v>
      </c>
      <c r="I125" s="1177"/>
      <c r="J125" s="85"/>
      <c r="K125" s="1177"/>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7"/>
      <c r="AG125" s="86"/>
      <c r="AH125" s="86"/>
      <c r="AI125" s="86"/>
      <c r="AJ125" s="86"/>
      <c r="AK125" s="86"/>
      <c r="AL125" s="86"/>
      <c r="AM125" s="86"/>
      <c r="AN125" s="86"/>
      <c r="AO125" s="86"/>
      <c r="AP125" s="86"/>
      <c r="AQ125" s="86"/>
      <c r="AR125" s="86"/>
      <c r="AS125" s="86"/>
      <c r="AT125" s="82"/>
      <c r="AU125" s="87"/>
      <c r="AV125" s="815">
        <f t="shared" si="88"/>
        <v>0</v>
      </c>
      <c r="AW125" s="815">
        <f t="shared" si="89"/>
        <v>0</v>
      </c>
      <c r="AX125" s="81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6"/>
      <c r="C126" s="1177"/>
      <c r="D126" s="2297"/>
      <c r="E126" s="81">
        <f t="shared" si="87"/>
        <v>0</v>
      </c>
      <c r="F126" s="82"/>
      <c r="G126" s="83">
        <f t="shared" si="62"/>
        <v>0</v>
      </c>
      <c r="H126" s="84">
        <f t="shared" si="63"/>
        <v>0</v>
      </c>
      <c r="I126" s="1177"/>
      <c r="J126" s="85"/>
      <c r="K126" s="1177"/>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7"/>
      <c r="AG126" s="86"/>
      <c r="AH126" s="86"/>
      <c r="AI126" s="86"/>
      <c r="AJ126" s="86"/>
      <c r="AK126" s="86"/>
      <c r="AL126" s="86"/>
      <c r="AM126" s="86"/>
      <c r="AN126" s="86"/>
      <c r="AO126" s="86"/>
      <c r="AP126" s="86"/>
      <c r="AQ126" s="86"/>
      <c r="AR126" s="86"/>
      <c r="AS126" s="86"/>
      <c r="AT126" s="82"/>
      <c r="AU126" s="87"/>
      <c r="AV126" s="815">
        <f t="shared" si="88"/>
        <v>0</v>
      </c>
      <c r="AW126" s="815">
        <f t="shared" si="89"/>
        <v>0</v>
      </c>
      <c r="AX126" s="81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6"/>
      <c r="C127" s="1177"/>
      <c r="D127" s="2297"/>
      <c r="E127" s="81">
        <f t="shared" si="87"/>
        <v>0</v>
      </c>
      <c r="F127" s="82"/>
      <c r="G127" s="83">
        <f t="shared" si="62"/>
        <v>0</v>
      </c>
      <c r="H127" s="84">
        <f t="shared" si="63"/>
        <v>0</v>
      </c>
      <c r="I127" s="1177"/>
      <c r="J127" s="85"/>
      <c r="K127" s="1177"/>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7"/>
      <c r="AG127" s="86"/>
      <c r="AH127" s="86"/>
      <c r="AI127" s="86"/>
      <c r="AJ127" s="86"/>
      <c r="AK127" s="86"/>
      <c r="AL127" s="86"/>
      <c r="AM127" s="86"/>
      <c r="AN127" s="86"/>
      <c r="AO127" s="86"/>
      <c r="AP127" s="86"/>
      <c r="AQ127" s="86"/>
      <c r="AR127" s="86"/>
      <c r="AS127" s="86"/>
      <c r="AT127" s="82"/>
      <c r="AU127" s="87"/>
      <c r="AV127" s="815">
        <f t="shared" si="88"/>
        <v>0</v>
      </c>
      <c r="AW127" s="815">
        <f t="shared" si="89"/>
        <v>0</v>
      </c>
      <c r="AX127" s="81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6"/>
      <c r="C128" s="1177"/>
      <c r="D128" s="2297"/>
      <c r="E128" s="81">
        <f t="shared" si="87"/>
        <v>0</v>
      </c>
      <c r="F128" s="82"/>
      <c r="G128" s="83">
        <f t="shared" si="62"/>
        <v>0</v>
      </c>
      <c r="H128" s="84">
        <f t="shared" si="63"/>
        <v>0</v>
      </c>
      <c r="I128" s="1177"/>
      <c r="J128" s="85"/>
      <c r="K128" s="1177"/>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7"/>
      <c r="AG128" s="86"/>
      <c r="AH128" s="86"/>
      <c r="AI128" s="86"/>
      <c r="AJ128" s="86"/>
      <c r="AK128" s="86"/>
      <c r="AL128" s="86"/>
      <c r="AM128" s="86"/>
      <c r="AN128" s="86"/>
      <c r="AO128" s="86"/>
      <c r="AP128" s="86"/>
      <c r="AQ128" s="86"/>
      <c r="AR128" s="86"/>
      <c r="AS128" s="86"/>
      <c r="AT128" s="82"/>
      <c r="AU128" s="87"/>
      <c r="AV128" s="815">
        <f t="shared" si="88"/>
        <v>0</v>
      </c>
      <c r="AW128" s="815">
        <f t="shared" si="89"/>
        <v>0</v>
      </c>
      <c r="AX128" s="81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6"/>
      <c r="C129" s="1177"/>
      <c r="D129" s="2297"/>
      <c r="E129" s="81">
        <f t="shared" si="87"/>
        <v>0</v>
      </c>
      <c r="F129" s="82"/>
      <c r="G129" s="83">
        <f t="shared" si="62"/>
        <v>0</v>
      </c>
      <c r="H129" s="84">
        <f t="shared" si="63"/>
        <v>0</v>
      </c>
      <c r="I129" s="1177"/>
      <c r="J129" s="85"/>
      <c r="K129" s="1177"/>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7"/>
      <c r="AG129" s="86"/>
      <c r="AH129" s="86"/>
      <c r="AI129" s="86"/>
      <c r="AJ129" s="86"/>
      <c r="AK129" s="86"/>
      <c r="AL129" s="86"/>
      <c r="AM129" s="86"/>
      <c r="AN129" s="86"/>
      <c r="AO129" s="86"/>
      <c r="AP129" s="86"/>
      <c r="AQ129" s="86"/>
      <c r="AR129" s="86"/>
      <c r="AS129" s="86"/>
      <c r="AT129" s="82"/>
      <c r="AU129" s="87"/>
      <c r="AV129" s="815">
        <f t="shared" si="88"/>
        <v>0</v>
      </c>
      <c r="AW129" s="815">
        <f t="shared" si="89"/>
        <v>0</v>
      </c>
      <c r="AX129" s="81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6"/>
      <c r="C130" s="1177"/>
      <c r="D130" s="2297"/>
      <c r="E130" s="81">
        <f t="shared" si="87"/>
        <v>0</v>
      </c>
      <c r="F130" s="82"/>
      <c r="G130" s="83">
        <f t="shared" si="62"/>
        <v>0</v>
      </c>
      <c r="H130" s="84">
        <f t="shared" si="63"/>
        <v>0</v>
      </c>
      <c r="I130" s="1177"/>
      <c r="J130" s="85"/>
      <c r="K130" s="1177"/>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7"/>
      <c r="AG130" s="86"/>
      <c r="AH130" s="86"/>
      <c r="AI130" s="86"/>
      <c r="AJ130" s="86"/>
      <c r="AK130" s="86"/>
      <c r="AL130" s="86"/>
      <c r="AM130" s="86"/>
      <c r="AN130" s="86"/>
      <c r="AO130" s="86"/>
      <c r="AP130" s="86"/>
      <c r="AQ130" s="86"/>
      <c r="AR130" s="86"/>
      <c r="AS130" s="86"/>
      <c r="AT130" s="82"/>
      <c r="AU130" s="87"/>
      <c r="AV130" s="815">
        <f t="shared" si="88"/>
        <v>0</v>
      </c>
      <c r="AW130" s="815">
        <f t="shared" si="89"/>
        <v>0</v>
      </c>
      <c r="AX130" s="81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6"/>
      <c r="C131" s="1177"/>
      <c r="D131" s="2297"/>
      <c r="E131" s="81">
        <f t="shared" si="87"/>
        <v>0</v>
      </c>
      <c r="F131" s="82"/>
      <c r="G131" s="83">
        <f t="shared" si="62"/>
        <v>0</v>
      </c>
      <c r="H131" s="84">
        <f t="shared" si="63"/>
        <v>0</v>
      </c>
      <c r="I131" s="1177"/>
      <c r="J131" s="85"/>
      <c r="K131" s="1177"/>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7"/>
      <c r="AG131" s="86"/>
      <c r="AH131" s="86"/>
      <c r="AI131" s="86"/>
      <c r="AJ131" s="86"/>
      <c r="AK131" s="86"/>
      <c r="AL131" s="86"/>
      <c r="AM131" s="86"/>
      <c r="AN131" s="86"/>
      <c r="AO131" s="86"/>
      <c r="AP131" s="86"/>
      <c r="AQ131" s="86"/>
      <c r="AR131" s="86"/>
      <c r="AS131" s="86"/>
      <c r="AT131" s="82"/>
      <c r="AU131" s="87"/>
      <c r="AV131" s="815">
        <f t="shared" si="88"/>
        <v>0</v>
      </c>
      <c r="AW131" s="815">
        <f t="shared" si="89"/>
        <v>0</v>
      </c>
      <c r="AX131" s="81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6"/>
      <c r="C132" s="1177"/>
      <c r="D132" s="2297"/>
      <c r="E132" s="81">
        <f t="shared" si="87"/>
        <v>0</v>
      </c>
      <c r="F132" s="82"/>
      <c r="G132" s="83">
        <f t="shared" si="62"/>
        <v>0</v>
      </c>
      <c r="H132" s="84">
        <f t="shared" si="63"/>
        <v>0</v>
      </c>
      <c r="I132" s="1177"/>
      <c r="J132" s="85"/>
      <c r="K132" s="1177"/>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7"/>
      <c r="AG132" s="86"/>
      <c r="AH132" s="86"/>
      <c r="AI132" s="86"/>
      <c r="AJ132" s="86"/>
      <c r="AK132" s="86"/>
      <c r="AL132" s="86"/>
      <c r="AM132" s="86"/>
      <c r="AN132" s="86"/>
      <c r="AO132" s="86"/>
      <c r="AP132" s="86"/>
      <c r="AQ132" s="86"/>
      <c r="AR132" s="86"/>
      <c r="AS132" s="86"/>
      <c r="AT132" s="82"/>
      <c r="AU132" s="87"/>
      <c r="AV132" s="815">
        <f t="shared" si="88"/>
        <v>0</v>
      </c>
      <c r="AW132" s="815">
        <f t="shared" si="89"/>
        <v>0</v>
      </c>
      <c r="AX132" s="81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6"/>
      <c r="C133" s="1177"/>
      <c r="D133" s="2297"/>
      <c r="E133" s="81">
        <f t="shared" si="87"/>
        <v>0</v>
      </c>
      <c r="F133" s="82"/>
      <c r="G133" s="83">
        <f t="shared" si="62"/>
        <v>0</v>
      </c>
      <c r="H133" s="84">
        <f t="shared" si="63"/>
        <v>0</v>
      </c>
      <c r="I133" s="1177"/>
      <c r="J133" s="85"/>
      <c r="K133" s="1177"/>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7"/>
      <c r="AG133" s="86"/>
      <c r="AH133" s="86"/>
      <c r="AI133" s="86"/>
      <c r="AJ133" s="86"/>
      <c r="AK133" s="86"/>
      <c r="AL133" s="86"/>
      <c r="AM133" s="86"/>
      <c r="AN133" s="86"/>
      <c r="AO133" s="86"/>
      <c r="AP133" s="86"/>
      <c r="AQ133" s="86"/>
      <c r="AR133" s="86"/>
      <c r="AS133" s="86"/>
      <c r="AT133" s="82"/>
      <c r="AU133" s="87"/>
      <c r="AV133" s="815">
        <f t="shared" si="88"/>
        <v>0</v>
      </c>
      <c r="AW133" s="815">
        <f t="shared" si="89"/>
        <v>0</v>
      </c>
      <c r="AX133" s="81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6"/>
      <c r="C134" s="1177"/>
      <c r="D134" s="2297"/>
      <c r="E134" s="81">
        <f t="shared" si="87"/>
        <v>0</v>
      </c>
      <c r="F134" s="82"/>
      <c r="G134" s="83">
        <f t="shared" si="62"/>
        <v>0</v>
      </c>
      <c r="H134" s="84">
        <f t="shared" si="63"/>
        <v>0</v>
      </c>
      <c r="I134" s="1177"/>
      <c r="J134" s="85"/>
      <c r="K134" s="1177"/>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7"/>
      <c r="AG134" s="86"/>
      <c r="AH134" s="86"/>
      <c r="AI134" s="86"/>
      <c r="AJ134" s="86"/>
      <c r="AK134" s="86"/>
      <c r="AL134" s="86"/>
      <c r="AM134" s="86"/>
      <c r="AN134" s="86"/>
      <c r="AO134" s="86"/>
      <c r="AP134" s="86"/>
      <c r="AQ134" s="86"/>
      <c r="AR134" s="86"/>
      <c r="AS134" s="86"/>
      <c r="AT134" s="82"/>
      <c r="AU134" s="87"/>
      <c r="AV134" s="815">
        <f t="shared" si="88"/>
        <v>0</v>
      </c>
      <c r="AW134" s="815">
        <f t="shared" si="89"/>
        <v>0</v>
      </c>
      <c r="AX134" s="81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6"/>
      <c r="C135" s="1177"/>
      <c r="D135" s="2297"/>
      <c r="E135" s="81">
        <f t="shared" si="87"/>
        <v>0</v>
      </c>
      <c r="F135" s="82"/>
      <c r="G135" s="83">
        <f t="shared" si="62"/>
        <v>0</v>
      </c>
      <c r="H135" s="84">
        <f t="shared" si="63"/>
        <v>0</v>
      </c>
      <c r="I135" s="1177"/>
      <c r="J135" s="85"/>
      <c r="K135" s="1177"/>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7"/>
      <c r="AG135" s="86"/>
      <c r="AH135" s="86"/>
      <c r="AI135" s="86"/>
      <c r="AJ135" s="86"/>
      <c r="AK135" s="86"/>
      <c r="AL135" s="86"/>
      <c r="AM135" s="86"/>
      <c r="AN135" s="86"/>
      <c r="AO135" s="86"/>
      <c r="AP135" s="86"/>
      <c r="AQ135" s="86"/>
      <c r="AR135" s="86"/>
      <c r="AS135" s="86"/>
      <c r="AT135" s="82"/>
      <c r="AU135" s="87"/>
      <c r="AV135" s="815">
        <f t="shared" si="88"/>
        <v>0</v>
      </c>
      <c r="AW135" s="815">
        <f t="shared" si="89"/>
        <v>0</v>
      </c>
      <c r="AX135" s="81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6"/>
      <c r="C136" s="1177"/>
      <c r="D136" s="2297"/>
      <c r="E136" s="81">
        <f t="shared" si="87"/>
        <v>0</v>
      </c>
      <c r="F136" s="82"/>
      <c r="G136" s="83">
        <f t="shared" si="62"/>
        <v>0</v>
      </c>
      <c r="H136" s="84">
        <f t="shared" si="63"/>
        <v>0</v>
      </c>
      <c r="I136" s="1177"/>
      <c r="J136" s="85"/>
      <c r="K136" s="1177"/>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7"/>
      <c r="AG136" s="86"/>
      <c r="AH136" s="86"/>
      <c r="AI136" s="86"/>
      <c r="AJ136" s="86"/>
      <c r="AK136" s="86"/>
      <c r="AL136" s="86"/>
      <c r="AM136" s="86"/>
      <c r="AN136" s="86"/>
      <c r="AO136" s="86"/>
      <c r="AP136" s="86"/>
      <c r="AQ136" s="86"/>
      <c r="AR136" s="86"/>
      <c r="AS136" s="86"/>
      <c r="AT136" s="82"/>
      <c r="AU136" s="87"/>
      <c r="AV136" s="815">
        <f t="shared" si="88"/>
        <v>0</v>
      </c>
      <c r="AW136" s="815">
        <f t="shared" si="89"/>
        <v>0</v>
      </c>
      <c r="AX136" s="81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6"/>
      <c r="C137" s="1177"/>
      <c r="D137" s="2297"/>
      <c r="E137" s="81">
        <f t="shared" si="87"/>
        <v>0</v>
      </c>
      <c r="F137" s="82"/>
      <c r="G137" s="83">
        <f t="shared" si="62"/>
        <v>0</v>
      </c>
      <c r="H137" s="84">
        <f t="shared" si="63"/>
        <v>0</v>
      </c>
      <c r="I137" s="1177"/>
      <c r="J137" s="85"/>
      <c r="K137" s="1177"/>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7"/>
      <c r="AG137" s="86"/>
      <c r="AH137" s="86"/>
      <c r="AI137" s="86"/>
      <c r="AJ137" s="86"/>
      <c r="AK137" s="86"/>
      <c r="AL137" s="86"/>
      <c r="AM137" s="86"/>
      <c r="AN137" s="86"/>
      <c r="AO137" s="86"/>
      <c r="AP137" s="86"/>
      <c r="AQ137" s="86"/>
      <c r="AR137" s="86"/>
      <c r="AS137" s="86"/>
      <c r="AT137" s="82"/>
      <c r="AU137" s="87"/>
      <c r="AV137" s="815">
        <f t="shared" si="88"/>
        <v>0</v>
      </c>
      <c r="AW137" s="815">
        <f t="shared" si="89"/>
        <v>0</v>
      </c>
      <c r="AX137" s="81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6"/>
      <c r="C138" s="1177"/>
      <c r="D138" s="2297"/>
      <c r="E138" s="81">
        <f t="shared" si="87"/>
        <v>0</v>
      </c>
      <c r="F138" s="82"/>
      <c r="G138" s="83">
        <f t="shared" si="62"/>
        <v>0</v>
      </c>
      <c r="H138" s="84">
        <f t="shared" si="63"/>
        <v>0</v>
      </c>
      <c r="I138" s="1177"/>
      <c r="J138" s="85"/>
      <c r="K138" s="1177"/>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7"/>
      <c r="AG138" s="86"/>
      <c r="AH138" s="86"/>
      <c r="AI138" s="86"/>
      <c r="AJ138" s="86"/>
      <c r="AK138" s="86"/>
      <c r="AL138" s="86"/>
      <c r="AM138" s="86"/>
      <c r="AN138" s="86"/>
      <c r="AO138" s="86"/>
      <c r="AP138" s="86"/>
      <c r="AQ138" s="86"/>
      <c r="AR138" s="86"/>
      <c r="AS138" s="86"/>
      <c r="AT138" s="82"/>
      <c r="AU138" s="87"/>
      <c r="AV138" s="815">
        <f t="shared" si="88"/>
        <v>0</v>
      </c>
      <c r="AW138" s="815">
        <f t="shared" si="89"/>
        <v>0</v>
      </c>
      <c r="AX138" s="81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6"/>
      <c r="C139" s="1177"/>
      <c r="D139" s="2297"/>
      <c r="E139" s="81">
        <f t="shared" si="87"/>
        <v>0</v>
      </c>
      <c r="F139" s="82"/>
      <c r="G139" s="83">
        <f t="shared" si="62"/>
        <v>0</v>
      </c>
      <c r="H139" s="84">
        <f t="shared" si="63"/>
        <v>0</v>
      </c>
      <c r="I139" s="1177"/>
      <c r="J139" s="85"/>
      <c r="K139" s="1177"/>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7"/>
      <c r="AG139" s="86"/>
      <c r="AH139" s="86"/>
      <c r="AI139" s="86"/>
      <c r="AJ139" s="86"/>
      <c r="AK139" s="86"/>
      <c r="AL139" s="86"/>
      <c r="AM139" s="86"/>
      <c r="AN139" s="86"/>
      <c r="AO139" s="86"/>
      <c r="AP139" s="86"/>
      <c r="AQ139" s="86"/>
      <c r="AR139" s="86"/>
      <c r="AS139" s="86"/>
      <c r="AT139" s="82"/>
      <c r="AU139" s="87"/>
      <c r="AV139" s="815">
        <f t="shared" si="88"/>
        <v>0</v>
      </c>
      <c r="AW139" s="815">
        <f t="shared" si="89"/>
        <v>0</v>
      </c>
      <c r="AX139" s="81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6"/>
      <c r="C140" s="1177"/>
      <c r="D140" s="2297"/>
      <c r="E140" s="81">
        <f t="shared" si="87"/>
        <v>0</v>
      </c>
      <c r="F140" s="82"/>
      <c r="G140" s="83">
        <f t="shared" si="62"/>
        <v>0</v>
      </c>
      <c r="H140" s="84">
        <f t="shared" si="63"/>
        <v>0</v>
      </c>
      <c r="I140" s="1177"/>
      <c r="J140" s="85"/>
      <c r="K140" s="1177"/>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7"/>
      <c r="AG140" s="86"/>
      <c r="AH140" s="86"/>
      <c r="AI140" s="86"/>
      <c r="AJ140" s="86"/>
      <c r="AK140" s="86"/>
      <c r="AL140" s="86"/>
      <c r="AM140" s="86"/>
      <c r="AN140" s="86"/>
      <c r="AO140" s="86"/>
      <c r="AP140" s="86"/>
      <c r="AQ140" s="86"/>
      <c r="AR140" s="86"/>
      <c r="AS140" s="86"/>
      <c r="AT140" s="82"/>
      <c r="AU140" s="87"/>
      <c r="AV140" s="815">
        <f t="shared" si="88"/>
        <v>0</v>
      </c>
      <c r="AW140" s="815">
        <f t="shared" si="89"/>
        <v>0</v>
      </c>
      <c r="AX140" s="81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6"/>
      <c r="C141" s="1177"/>
      <c r="D141" s="2297"/>
      <c r="E141" s="81">
        <f t="shared" si="87"/>
        <v>0</v>
      </c>
      <c r="F141" s="82"/>
      <c r="G141" s="83">
        <f t="shared" si="62"/>
        <v>0</v>
      </c>
      <c r="H141" s="84">
        <f t="shared" si="63"/>
        <v>0</v>
      </c>
      <c r="I141" s="1177"/>
      <c r="J141" s="85"/>
      <c r="K141" s="1177"/>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7"/>
      <c r="AG141" s="86"/>
      <c r="AH141" s="86"/>
      <c r="AI141" s="86"/>
      <c r="AJ141" s="86"/>
      <c r="AK141" s="86"/>
      <c r="AL141" s="86"/>
      <c r="AM141" s="86"/>
      <c r="AN141" s="86"/>
      <c r="AO141" s="86"/>
      <c r="AP141" s="86"/>
      <c r="AQ141" s="86"/>
      <c r="AR141" s="86"/>
      <c r="AS141" s="86"/>
      <c r="AT141" s="82"/>
      <c r="AU141" s="87"/>
      <c r="AV141" s="815">
        <f t="shared" si="88"/>
        <v>0</v>
      </c>
      <c r="AW141" s="815">
        <f t="shared" si="89"/>
        <v>0</v>
      </c>
      <c r="AX141" s="81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6"/>
      <c r="C142" s="1177"/>
      <c r="D142" s="2297"/>
      <c r="E142" s="81">
        <f t="shared" si="87"/>
        <v>0</v>
      </c>
      <c r="F142" s="82"/>
      <c r="G142" s="83">
        <f t="shared" ref="G142:G173" si="91">H142+AC142+AT142</f>
        <v>0</v>
      </c>
      <c r="H142" s="84">
        <f t="shared" ref="H142:H173" si="92">SUMIF(I$12:AB$12,"总值",I142:AB142)</f>
        <v>0</v>
      </c>
      <c r="I142" s="1177"/>
      <c r="J142" s="85"/>
      <c r="K142" s="1177"/>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7"/>
      <c r="AG142" s="86"/>
      <c r="AH142" s="86"/>
      <c r="AI142" s="86"/>
      <c r="AJ142" s="86"/>
      <c r="AK142" s="86"/>
      <c r="AL142" s="86"/>
      <c r="AM142" s="86"/>
      <c r="AN142" s="86"/>
      <c r="AO142" s="86"/>
      <c r="AP142" s="86"/>
      <c r="AQ142" s="86"/>
      <c r="AR142" s="86"/>
      <c r="AS142" s="86"/>
      <c r="AT142" s="82"/>
      <c r="AU142" s="87"/>
      <c r="AV142" s="815">
        <f t="shared" si="88"/>
        <v>0</v>
      </c>
      <c r="AW142" s="815">
        <f t="shared" si="89"/>
        <v>0</v>
      </c>
      <c r="AX142" s="81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6"/>
      <c r="C143" s="1177"/>
      <c r="D143" s="2297"/>
      <c r="E143" s="81">
        <f t="shared" si="87"/>
        <v>0</v>
      </c>
      <c r="F143" s="82"/>
      <c r="G143" s="83">
        <f t="shared" si="91"/>
        <v>0</v>
      </c>
      <c r="H143" s="84">
        <f t="shared" si="92"/>
        <v>0</v>
      </c>
      <c r="I143" s="1177"/>
      <c r="J143" s="85"/>
      <c r="K143" s="1177"/>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7"/>
      <c r="AG143" s="86"/>
      <c r="AH143" s="86"/>
      <c r="AI143" s="86"/>
      <c r="AJ143" s="86"/>
      <c r="AK143" s="86"/>
      <c r="AL143" s="86"/>
      <c r="AM143" s="86"/>
      <c r="AN143" s="86"/>
      <c r="AO143" s="86"/>
      <c r="AP143" s="86"/>
      <c r="AQ143" s="86"/>
      <c r="AR143" s="86"/>
      <c r="AS143" s="86"/>
      <c r="AT143" s="82"/>
      <c r="AU143" s="87"/>
      <c r="AV143" s="815">
        <f t="shared" si="88"/>
        <v>0</v>
      </c>
      <c r="AW143" s="815">
        <f t="shared" si="89"/>
        <v>0</v>
      </c>
      <c r="AX143" s="81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6"/>
      <c r="C144" s="1177"/>
      <c r="D144" s="2297"/>
      <c r="E144" s="81">
        <f t="shared" si="87"/>
        <v>0</v>
      </c>
      <c r="F144" s="82"/>
      <c r="G144" s="83">
        <f t="shared" si="91"/>
        <v>0</v>
      </c>
      <c r="H144" s="84">
        <f t="shared" si="92"/>
        <v>0</v>
      </c>
      <c r="I144" s="1177"/>
      <c r="J144" s="85"/>
      <c r="K144" s="1177"/>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7"/>
      <c r="AG144" s="86"/>
      <c r="AH144" s="86"/>
      <c r="AI144" s="86"/>
      <c r="AJ144" s="86"/>
      <c r="AK144" s="86"/>
      <c r="AL144" s="86"/>
      <c r="AM144" s="86"/>
      <c r="AN144" s="86"/>
      <c r="AO144" s="86"/>
      <c r="AP144" s="86"/>
      <c r="AQ144" s="86"/>
      <c r="AR144" s="86"/>
      <c r="AS144" s="86"/>
      <c r="AT144" s="82"/>
      <c r="AU144" s="87"/>
      <c r="AV144" s="815">
        <f t="shared" si="88"/>
        <v>0</v>
      </c>
      <c r="AW144" s="815">
        <f t="shared" si="89"/>
        <v>0</v>
      </c>
      <c r="AX144" s="81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6"/>
      <c r="C145" s="1177"/>
      <c r="D145" s="2297"/>
      <c r="E145" s="81">
        <f t="shared" ref="E145:E176" si="116">IF($C$3="是",ROUND($A$3*G145/$B$3,2),ROUND($A$3*(G145-AT145)/$B$3,2))</f>
        <v>0</v>
      </c>
      <c r="F145" s="82"/>
      <c r="G145" s="83">
        <f t="shared" si="91"/>
        <v>0</v>
      </c>
      <c r="H145" s="84">
        <f t="shared" si="92"/>
        <v>0</v>
      </c>
      <c r="I145" s="1177"/>
      <c r="J145" s="85"/>
      <c r="K145" s="1177"/>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7"/>
      <c r="AG145" s="86"/>
      <c r="AH145" s="86"/>
      <c r="AI145" s="86"/>
      <c r="AJ145" s="86"/>
      <c r="AK145" s="86"/>
      <c r="AL145" s="86"/>
      <c r="AM145" s="86"/>
      <c r="AN145" s="86"/>
      <c r="AO145" s="86"/>
      <c r="AP145" s="86"/>
      <c r="AQ145" s="86"/>
      <c r="AR145" s="86"/>
      <c r="AS145" s="86"/>
      <c r="AT145" s="82"/>
      <c r="AU145" s="87"/>
      <c r="AV145" s="815">
        <f t="shared" ref="AV145:AV176" si="117">A145</f>
        <v>0</v>
      </c>
      <c r="AW145" s="815">
        <f t="shared" ref="AW145:AW176" si="118">B145</f>
        <v>0</v>
      </c>
      <c r="AX145" s="81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6"/>
      <c r="C146" s="1177"/>
      <c r="D146" s="2297"/>
      <c r="E146" s="81">
        <f t="shared" si="116"/>
        <v>0</v>
      </c>
      <c r="F146" s="82"/>
      <c r="G146" s="83">
        <f t="shared" si="91"/>
        <v>0</v>
      </c>
      <c r="H146" s="84">
        <f t="shared" si="92"/>
        <v>0</v>
      </c>
      <c r="I146" s="1177"/>
      <c r="J146" s="85"/>
      <c r="K146" s="1177"/>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7"/>
      <c r="AG146" s="86"/>
      <c r="AH146" s="86"/>
      <c r="AI146" s="86"/>
      <c r="AJ146" s="86"/>
      <c r="AK146" s="86"/>
      <c r="AL146" s="86"/>
      <c r="AM146" s="86"/>
      <c r="AN146" s="86"/>
      <c r="AO146" s="86"/>
      <c r="AP146" s="86"/>
      <c r="AQ146" s="86"/>
      <c r="AR146" s="86"/>
      <c r="AS146" s="86"/>
      <c r="AT146" s="82"/>
      <c r="AU146" s="87"/>
      <c r="AV146" s="815">
        <f t="shared" si="117"/>
        <v>0</v>
      </c>
      <c r="AW146" s="815">
        <f t="shared" si="118"/>
        <v>0</v>
      </c>
      <c r="AX146" s="81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6"/>
      <c r="C147" s="1177"/>
      <c r="D147" s="2297"/>
      <c r="E147" s="81">
        <f t="shared" si="116"/>
        <v>0</v>
      </c>
      <c r="F147" s="82"/>
      <c r="G147" s="83">
        <f t="shared" si="91"/>
        <v>0</v>
      </c>
      <c r="H147" s="84">
        <f t="shared" si="92"/>
        <v>0</v>
      </c>
      <c r="I147" s="1177"/>
      <c r="J147" s="85"/>
      <c r="K147" s="1177"/>
      <c r="L147" s="85"/>
      <c r="M147" s="1177"/>
      <c r="N147" s="85"/>
      <c r="O147" s="85"/>
      <c r="P147" s="85"/>
      <c r="Q147" s="85"/>
      <c r="R147" s="85"/>
      <c r="S147" s="85"/>
      <c r="T147" s="85"/>
      <c r="U147" s="85"/>
      <c r="V147" s="85"/>
      <c r="W147" s="85"/>
      <c r="X147" s="85"/>
      <c r="Y147" s="85"/>
      <c r="Z147" s="85"/>
      <c r="AA147" s="85"/>
      <c r="AB147" s="85"/>
      <c r="AC147" s="81">
        <f t="shared" si="93"/>
        <v>0</v>
      </c>
      <c r="AD147" s="86"/>
      <c r="AE147" s="86"/>
      <c r="AF147" s="1177"/>
      <c r="AG147" s="86"/>
      <c r="AH147" s="86"/>
      <c r="AI147" s="86"/>
      <c r="AJ147" s="86"/>
      <c r="AK147" s="86"/>
      <c r="AL147" s="86"/>
      <c r="AM147" s="86"/>
      <c r="AN147" s="86"/>
      <c r="AO147" s="86"/>
      <c r="AP147" s="86"/>
      <c r="AQ147" s="86"/>
      <c r="AR147" s="86"/>
      <c r="AS147" s="86"/>
      <c r="AT147" s="82"/>
      <c r="AU147" s="87"/>
      <c r="AV147" s="815">
        <f t="shared" si="117"/>
        <v>0</v>
      </c>
      <c r="AW147" s="815">
        <f t="shared" si="118"/>
        <v>0</v>
      </c>
      <c r="AX147" s="81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5">
        <f t="shared" si="117"/>
        <v>0</v>
      </c>
      <c r="AW148" s="815">
        <f t="shared" si="118"/>
        <v>0</v>
      </c>
      <c r="AX148" s="81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5">
        <f t="shared" si="117"/>
        <v>0</v>
      </c>
      <c r="AW149" s="815">
        <f t="shared" si="118"/>
        <v>0</v>
      </c>
      <c r="AX149" s="81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5">
        <f t="shared" si="117"/>
        <v>0</v>
      </c>
      <c r="AW150" s="815">
        <f t="shared" si="118"/>
        <v>0</v>
      </c>
      <c r="AX150" s="81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5">
        <f t="shared" si="117"/>
        <v>0</v>
      </c>
      <c r="AW151" s="815">
        <f t="shared" si="118"/>
        <v>0</v>
      </c>
      <c r="AX151" s="81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5">
        <f t="shared" si="117"/>
        <v>0</v>
      </c>
      <c r="AW152" s="815">
        <f t="shared" si="118"/>
        <v>0</v>
      </c>
      <c r="AX152" s="81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5">
        <f t="shared" si="117"/>
        <v>0</v>
      </c>
      <c r="AW153" s="815">
        <f t="shared" si="118"/>
        <v>0</v>
      </c>
      <c r="AX153" s="81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5">
        <f t="shared" si="117"/>
        <v>0</v>
      </c>
      <c r="AW154" s="815">
        <f t="shared" si="118"/>
        <v>0</v>
      </c>
      <c r="AX154" s="81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5">
        <f t="shared" si="117"/>
        <v>0</v>
      </c>
      <c r="AW155" s="815">
        <f t="shared" si="118"/>
        <v>0</v>
      </c>
      <c r="AX155" s="81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5">
        <f t="shared" si="117"/>
        <v>0</v>
      </c>
      <c r="AW156" s="815">
        <f t="shared" si="118"/>
        <v>0</v>
      </c>
      <c r="AX156" s="81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5">
        <f t="shared" si="117"/>
        <v>0</v>
      </c>
      <c r="AW157" s="815">
        <f t="shared" si="118"/>
        <v>0</v>
      </c>
      <c r="AX157" s="81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5">
        <f t="shared" si="117"/>
        <v>0</v>
      </c>
      <c r="AW158" s="815">
        <f t="shared" si="118"/>
        <v>0</v>
      </c>
      <c r="AX158" s="81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5">
        <f t="shared" si="117"/>
        <v>0</v>
      </c>
      <c r="AW159" s="815">
        <f t="shared" si="118"/>
        <v>0</v>
      </c>
      <c r="AX159" s="81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5">
        <f t="shared" si="117"/>
        <v>0</v>
      </c>
      <c r="AW160" s="815">
        <f t="shared" si="118"/>
        <v>0</v>
      </c>
      <c r="AX160" s="81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5">
        <f t="shared" si="117"/>
        <v>0</v>
      </c>
      <c r="AW161" s="815">
        <f t="shared" si="118"/>
        <v>0</v>
      </c>
      <c r="AX161" s="81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5">
        <f t="shared" si="117"/>
        <v>0</v>
      </c>
      <c r="AW162" s="815">
        <f t="shared" si="118"/>
        <v>0</v>
      </c>
      <c r="AX162" s="81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5">
        <f t="shared" si="117"/>
        <v>0</v>
      </c>
      <c r="AW163" s="815">
        <f t="shared" si="118"/>
        <v>0</v>
      </c>
      <c r="AX163" s="81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5">
        <f t="shared" si="117"/>
        <v>0</v>
      </c>
      <c r="AW164" s="815">
        <f t="shared" si="118"/>
        <v>0</v>
      </c>
      <c r="AX164" s="81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5">
        <f t="shared" si="117"/>
        <v>0</v>
      </c>
      <c r="AW165" s="815">
        <f t="shared" si="118"/>
        <v>0</v>
      </c>
      <c r="AX165" s="81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5">
        <f t="shared" si="117"/>
        <v>0</v>
      </c>
      <c r="AW166" s="815">
        <f t="shared" si="118"/>
        <v>0</v>
      </c>
      <c r="AX166" s="81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5">
        <f t="shared" si="117"/>
        <v>0</v>
      </c>
      <c r="AW167" s="815">
        <f t="shared" si="118"/>
        <v>0</v>
      </c>
      <c r="AX167" s="81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5">
        <f t="shared" si="117"/>
        <v>0</v>
      </c>
      <c r="AW168" s="815">
        <f t="shared" si="118"/>
        <v>0</v>
      </c>
      <c r="AX168" s="81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5">
        <f t="shared" si="117"/>
        <v>0</v>
      </c>
      <c r="AW169" s="815">
        <f t="shared" si="118"/>
        <v>0</v>
      </c>
      <c r="AX169" s="81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5">
        <f t="shared" si="117"/>
        <v>0</v>
      </c>
      <c r="AW170" s="815">
        <f t="shared" si="118"/>
        <v>0</v>
      </c>
      <c r="AX170" s="81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5">
        <f t="shared" si="117"/>
        <v>0</v>
      </c>
      <c r="AW171" s="815">
        <f t="shared" si="118"/>
        <v>0</v>
      </c>
      <c r="AX171" s="81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5">
        <f t="shared" si="117"/>
        <v>0</v>
      </c>
      <c r="AW172" s="815">
        <f t="shared" si="118"/>
        <v>0</v>
      </c>
      <c r="AX172" s="81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5">
        <f t="shared" si="117"/>
        <v>0</v>
      </c>
      <c r="AW173" s="815">
        <f t="shared" si="118"/>
        <v>0</v>
      </c>
      <c r="AX173" s="81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5">
        <f t="shared" si="117"/>
        <v>0</v>
      </c>
      <c r="AW174" s="815">
        <f t="shared" si="118"/>
        <v>0</v>
      </c>
      <c r="AX174" s="81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5">
        <f t="shared" si="117"/>
        <v>0</v>
      </c>
      <c r="AW175" s="815">
        <f t="shared" si="118"/>
        <v>0</v>
      </c>
      <c r="AX175" s="81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5">
        <f t="shared" si="117"/>
        <v>0</v>
      </c>
      <c r="AW176" s="815">
        <f t="shared" si="118"/>
        <v>0</v>
      </c>
      <c r="AX176" s="81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5">
        <f t="shared" ref="AV177:AV204" si="146">A177</f>
        <v>0</v>
      </c>
      <c r="AW177" s="815">
        <f t="shared" ref="AW177:AW204" si="147">B177</f>
        <v>0</v>
      </c>
      <c r="AX177" s="81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5">
        <f t="shared" si="146"/>
        <v>0</v>
      </c>
      <c r="AW178" s="815">
        <f t="shared" si="147"/>
        <v>0</v>
      </c>
      <c r="AX178" s="81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5">
        <f t="shared" si="146"/>
        <v>0</v>
      </c>
      <c r="AW179" s="815">
        <f t="shared" si="147"/>
        <v>0</v>
      </c>
      <c r="AX179" s="81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5">
        <f t="shared" si="146"/>
        <v>0</v>
      </c>
      <c r="AW180" s="815">
        <f t="shared" si="147"/>
        <v>0</v>
      </c>
      <c r="AX180" s="81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5">
        <f t="shared" si="146"/>
        <v>0</v>
      </c>
      <c r="AW181" s="815">
        <f t="shared" si="147"/>
        <v>0</v>
      </c>
      <c r="AX181" s="81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5">
        <f t="shared" si="146"/>
        <v>0</v>
      </c>
      <c r="AW182" s="815">
        <f t="shared" si="147"/>
        <v>0</v>
      </c>
      <c r="AX182" s="81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5">
        <f t="shared" si="146"/>
        <v>0</v>
      </c>
      <c r="AW183" s="815">
        <f t="shared" si="147"/>
        <v>0</v>
      </c>
      <c r="AX183" s="81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5">
        <f t="shared" si="146"/>
        <v>0</v>
      </c>
      <c r="AW184" s="815">
        <f t="shared" si="147"/>
        <v>0</v>
      </c>
      <c r="AX184" s="81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5">
        <f t="shared" si="146"/>
        <v>0</v>
      </c>
      <c r="AW185" s="815">
        <f t="shared" si="147"/>
        <v>0</v>
      </c>
      <c r="AX185" s="81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5">
        <f t="shared" si="146"/>
        <v>0</v>
      </c>
      <c r="AW186" s="815">
        <f t="shared" si="147"/>
        <v>0</v>
      </c>
      <c r="AX186" s="81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5">
        <f t="shared" si="146"/>
        <v>0</v>
      </c>
      <c r="AW187" s="815">
        <f t="shared" si="147"/>
        <v>0</v>
      </c>
      <c r="AX187" s="81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5">
        <f t="shared" si="146"/>
        <v>0</v>
      </c>
      <c r="AW188" s="815">
        <f t="shared" si="147"/>
        <v>0</v>
      </c>
      <c r="AX188" s="81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5">
        <f t="shared" si="146"/>
        <v>0</v>
      </c>
      <c r="AW189" s="815">
        <f t="shared" si="147"/>
        <v>0</v>
      </c>
      <c r="AX189" s="81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5">
        <f t="shared" si="146"/>
        <v>0</v>
      </c>
      <c r="AW190" s="815">
        <f t="shared" si="147"/>
        <v>0</v>
      </c>
      <c r="AX190" s="81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5">
        <f t="shared" si="146"/>
        <v>0</v>
      </c>
      <c r="AW191" s="815">
        <f t="shared" si="147"/>
        <v>0</v>
      </c>
      <c r="AX191" s="81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5">
        <f t="shared" si="146"/>
        <v>0</v>
      </c>
      <c r="AW192" s="815">
        <f t="shared" si="147"/>
        <v>0</v>
      </c>
      <c r="AX192" s="81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5">
        <f t="shared" si="146"/>
        <v>0</v>
      </c>
      <c r="AW193" s="815">
        <f t="shared" si="147"/>
        <v>0</v>
      </c>
      <c r="AX193" s="81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5">
        <f t="shared" si="146"/>
        <v>0</v>
      </c>
      <c r="AW194" s="815">
        <f t="shared" si="147"/>
        <v>0</v>
      </c>
      <c r="AX194" s="81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5">
        <f t="shared" si="146"/>
        <v>0</v>
      </c>
      <c r="AW195" s="815">
        <f t="shared" si="147"/>
        <v>0</v>
      </c>
      <c r="AX195" s="81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5">
        <f t="shared" si="146"/>
        <v>0</v>
      </c>
      <c r="AW196" s="815">
        <f t="shared" si="147"/>
        <v>0</v>
      </c>
      <c r="AX196" s="81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5">
        <f t="shared" si="146"/>
        <v>0</v>
      </c>
      <c r="AW197" s="815">
        <f t="shared" si="147"/>
        <v>0</v>
      </c>
      <c r="AX197" s="81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5">
        <f t="shared" si="146"/>
        <v>0</v>
      </c>
      <c r="AW198" s="815">
        <f t="shared" si="147"/>
        <v>0</v>
      </c>
      <c r="AX198" s="81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5">
        <f t="shared" si="146"/>
        <v>0</v>
      </c>
      <c r="AW199" s="815">
        <f t="shared" si="147"/>
        <v>0</v>
      </c>
      <c r="AX199" s="81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5">
        <f t="shared" si="146"/>
        <v>0</v>
      </c>
      <c r="AW200" s="815">
        <f t="shared" si="147"/>
        <v>0</v>
      </c>
      <c r="AX200" s="81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5">
        <f t="shared" si="146"/>
        <v>0</v>
      </c>
      <c r="AW201" s="815">
        <f t="shared" si="147"/>
        <v>0</v>
      </c>
      <c r="AX201" s="81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5">
        <f t="shared" si="146"/>
        <v>0</v>
      </c>
      <c r="AW202" s="815">
        <f t="shared" si="147"/>
        <v>0</v>
      </c>
      <c r="AX202" s="81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5">
        <f t="shared" si="146"/>
        <v>0</v>
      </c>
      <c r="AW203" s="815">
        <f t="shared" si="147"/>
        <v>0</v>
      </c>
      <c r="AX203" s="81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5">
        <f t="shared" si="146"/>
        <v>0</v>
      </c>
      <c r="AW204" s="815">
        <f t="shared" si="147"/>
        <v>0</v>
      </c>
      <c r="AX204" s="81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6"/>
      <c r="C205" s="1177"/>
      <c r="D205" s="2297"/>
      <c r="E205" s="81">
        <f t="shared" ref="E205:E296" si="149">IF($C$3="是",ROUND($A$3*G205/$B$3,2),ROUND($A$3*(G205-AT205)/$B$3,2))</f>
        <v>0</v>
      </c>
      <c r="F205" s="82"/>
      <c r="G205" s="83">
        <f t="shared" ref="G205:G293" si="150">H205+AC205+AT205</f>
        <v>0</v>
      </c>
      <c r="H205" s="84">
        <f t="shared" ref="H205:H293" si="151">SUMIF(I$12:AB$12,"总值",I205:AB205)</f>
        <v>0</v>
      </c>
      <c r="I205" s="1177"/>
      <c r="J205" s="85"/>
      <c r="K205" s="1177"/>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8"/>
      <c r="AG205" s="86"/>
      <c r="AH205" s="86"/>
      <c r="AI205" s="86"/>
      <c r="AJ205" s="86"/>
      <c r="AK205" s="86"/>
      <c r="AL205" s="86"/>
      <c r="AM205" s="86"/>
      <c r="AN205" s="1155"/>
      <c r="AO205" s="86"/>
      <c r="AP205" s="86"/>
      <c r="AQ205" s="86"/>
      <c r="AR205" s="86"/>
      <c r="AS205" s="86"/>
      <c r="AT205" s="82"/>
      <c r="AU205" s="87"/>
      <c r="AV205" s="815">
        <f t="shared" ref="AV205:AV296" si="153">A205</f>
        <v>0</v>
      </c>
      <c r="AW205" s="815">
        <f t="shared" ref="AW205:AW296" si="154">B205</f>
        <v>0</v>
      </c>
      <c r="AX205" s="81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6"/>
      <c r="C206" s="1177"/>
      <c r="D206" s="2297"/>
      <c r="E206" s="81">
        <f t="shared" si="149"/>
        <v>0</v>
      </c>
      <c r="F206" s="82"/>
      <c r="G206" s="83">
        <f t="shared" si="150"/>
        <v>0</v>
      </c>
      <c r="H206" s="84">
        <f t="shared" si="151"/>
        <v>0</v>
      </c>
      <c r="I206" s="1177"/>
      <c r="J206" s="85"/>
      <c r="K206" s="1177"/>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8"/>
      <c r="AG206" s="86"/>
      <c r="AH206" s="86"/>
      <c r="AI206" s="86"/>
      <c r="AJ206" s="86"/>
      <c r="AK206" s="86"/>
      <c r="AL206" s="1155"/>
      <c r="AM206" s="86"/>
      <c r="AN206" s="1155"/>
      <c r="AO206" s="86"/>
      <c r="AP206" s="86"/>
      <c r="AQ206" s="86"/>
      <c r="AR206" s="86"/>
      <c r="AS206" s="86"/>
      <c r="AT206" s="82"/>
      <c r="AU206" s="87"/>
      <c r="AV206" s="815">
        <f t="shared" si="153"/>
        <v>0</v>
      </c>
      <c r="AW206" s="815">
        <f t="shared" si="154"/>
        <v>0</v>
      </c>
      <c r="AX206" s="81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6"/>
      <c r="C207" s="1177"/>
      <c r="D207" s="2297"/>
      <c r="E207" s="81">
        <f t="shared" si="149"/>
        <v>0</v>
      </c>
      <c r="F207" s="82"/>
      <c r="G207" s="83">
        <f t="shared" si="150"/>
        <v>0</v>
      </c>
      <c r="H207" s="84">
        <f t="shared" si="151"/>
        <v>0</v>
      </c>
      <c r="I207" s="1177"/>
      <c r="J207" s="85"/>
      <c r="K207" s="1177"/>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8"/>
      <c r="AG207" s="86"/>
      <c r="AH207" s="86"/>
      <c r="AI207" s="86"/>
      <c r="AJ207" s="86"/>
      <c r="AK207" s="86"/>
      <c r="AL207" s="1155"/>
      <c r="AM207" s="86"/>
      <c r="AN207" s="1155"/>
      <c r="AO207" s="86"/>
      <c r="AP207" s="86"/>
      <c r="AQ207" s="86"/>
      <c r="AR207" s="86"/>
      <c r="AS207" s="86"/>
      <c r="AT207" s="82"/>
      <c r="AU207" s="87"/>
      <c r="AV207" s="815">
        <f t="shared" si="153"/>
        <v>0</v>
      </c>
      <c r="AW207" s="815">
        <f t="shared" si="154"/>
        <v>0</v>
      </c>
      <c r="AX207" s="81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6"/>
      <c r="C208" s="1177"/>
      <c r="D208" s="2297"/>
      <c r="E208" s="81">
        <f t="shared" si="149"/>
        <v>0</v>
      </c>
      <c r="F208" s="82"/>
      <c r="G208" s="83">
        <f t="shared" si="150"/>
        <v>0</v>
      </c>
      <c r="H208" s="84">
        <f t="shared" si="151"/>
        <v>0</v>
      </c>
      <c r="I208" s="1177"/>
      <c r="J208" s="85"/>
      <c r="K208" s="1177"/>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8"/>
      <c r="AG208" s="86"/>
      <c r="AH208" s="86"/>
      <c r="AI208" s="86"/>
      <c r="AJ208" s="86"/>
      <c r="AK208" s="86"/>
      <c r="AL208" s="86"/>
      <c r="AM208" s="86"/>
      <c r="AN208" s="1155"/>
      <c r="AO208" s="86"/>
      <c r="AP208" s="86"/>
      <c r="AQ208" s="86"/>
      <c r="AR208" s="86"/>
      <c r="AS208" s="86"/>
      <c r="AT208" s="82"/>
      <c r="AU208" s="87"/>
      <c r="AV208" s="815">
        <f t="shared" si="153"/>
        <v>0</v>
      </c>
      <c r="AW208" s="815">
        <f t="shared" si="154"/>
        <v>0</v>
      </c>
      <c r="AX208" s="81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6"/>
      <c r="C209" s="1177"/>
      <c r="D209" s="2297"/>
      <c r="E209" s="81">
        <f t="shared" si="149"/>
        <v>0</v>
      </c>
      <c r="F209" s="82"/>
      <c r="G209" s="83">
        <f t="shared" si="150"/>
        <v>0</v>
      </c>
      <c r="H209" s="84">
        <f t="shared" si="151"/>
        <v>0</v>
      </c>
      <c r="I209" s="1177"/>
      <c r="J209" s="85"/>
      <c r="K209" s="1177"/>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8"/>
      <c r="AG209" s="86"/>
      <c r="AH209" s="86"/>
      <c r="AI209" s="86"/>
      <c r="AJ209" s="86"/>
      <c r="AK209" s="86"/>
      <c r="AL209" s="86"/>
      <c r="AM209" s="86"/>
      <c r="AN209" s="86"/>
      <c r="AO209" s="86"/>
      <c r="AP209" s="86"/>
      <c r="AQ209" s="86"/>
      <c r="AR209" s="86"/>
      <c r="AS209" s="86"/>
      <c r="AT209" s="82"/>
      <c r="AU209" s="87"/>
      <c r="AV209" s="815">
        <f t="shared" si="153"/>
        <v>0</v>
      </c>
      <c r="AW209" s="815">
        <f t="shared" si="154"/>
        <v>0</v>
      </c>
      <c r="AX209" s="81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6"/>
      <c r="C210" s="1177"/>
      <c r="D210" s="2297"/>
      <c r="E210" s="81">
        <f t="shared" si="149"/>
        <v>0</v>
      </c>
      <c r="F210" s="82"/>
      <c r="G210" s="83">
        <f t="shared" si="150"/>
        <v>0</v>
      </c>
      <c r="H210" s="84">
        <f t="shared" si="151"/>
        <v>0</v>
      </c>
      <c r="I210" s="1177"/>
      <c r="J210" s="85"/>
      <c r="K210" s="1177"/>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8"/>
      <c r="AG210" s="86"/>
      <c r="AH210" s="86"/>
      <c r="AI210" s="86"/>
      <c r="AJ210" s="86"/>
      <c r="AK210" s="86"/>
      <c r="AL210" s="86"/>
      <c r="AM210" s="86"/>
      <c r="AN210" s="86"/>
      <c r="AO210" s="86"/>
      <c r="AP210" s="86"/>
      <c r="AQ210" s="86"/>
      <c r="AR210" s="86"/>
      <c r="AS210" s="86"/>
      <c r="AT210" s="82"/>
      <c r="AU210" s="87"/>
      <c r="AV210" s="815">
        <f t="shared" si="153"/>
        <v>0</v>
      </c>
      <c r="AW210" s="815">
        <f t="shared" si="154"/>
        <v>0</v>
      </c>
      <c r="AX210" s="81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6"/>
      <c r="C211" s="1177"/>
      <c r="D211" s="2297"/>
      <c r="E211" s="81">
        <f t="shared" si="149"/>
        <v>0</v>
      </c>
      <c r="F211" s="82"/>
      <c r="G211" s="83">
        <f t="shared" si="150"/>
        <v>0</v>
      </c>
      <c r="H211" s="84">
        <f t="shared" si="151"/>
        <v>0</v>
      </c>
      <c r="I211" s="1177"/>
      <c r="J211" s="85"/>
      <c r="K211" s="1177"/>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8"/>
      <c r="AG211" s="86"/>
      <c r="AH211" s="86"/>
      <c r="AI211" s="86"/>
      <c r="AJ211" s="86"/>
      <c r="AK211" s="86"/>
      <c r="AL211" s="86"/>
      <c r="AM211" s="86"/>
      <c r="AN211" s="86"/>
      <c r="AO211" s="86"/>
      <c r="AP211" s="86"/>
      <c r="AQ211" s="86"/>
      <c r="AR211" s="86"/>
      <c r="AS211" s="86"/>
      <c r="AT211" s="82"/>
      <c r="AU211" s="87"/>
      <c r="AV211" s="815">
        <f t="shared" si="153"/>
        <v>0</v>
      </c>
      <c r="AW211" s="815">
        <f t="shared" si="154"/>
        <v>0</v>
      </c>
      <c r="AX211" s="81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6"/>
      <c r="C212" s="1177"/>
      <c r="D212" s="2297"/>
      <c r="E212" s="81">
        <f t="shared" si="149"/>
        <v>0</v>
      </c>
      <c r="F212" s="82"/>
      <c r="G212" s="83">
        <f t="shared" si="150"/>
        <v>0</v>
      </c>
      <c r="H212" s="84">
        <f t="shared" si="151"/>
        <v>0</v>
      </c>
      <c r="I212" s="1177"/>
      <c r="J212" s="85"/>
      <c r="K212" s="1177"/>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7"/>
      <c r="AG212" s="86"/>
      <c r="AH212" s="86"/>
      <c r="AI212" s="86"/>
      <c r="AJ212" s="86"/>
      <c r="AK212" s="86"/>
      <c r="AL212" s="86"/>
      <c r="AM212" s="86"/>
      <c r="AN212" s="86"/>
      <c r="AO212" s="86"/>
      <c r="AP212" s="86"/>
      <c r="AQ212" s="86"/>
      <c r="AR212" s="86"/>
      <c r="AS212" s="86"/>
      <c r="AT212" s="82"/>
      <c r="AU212" s="87"/>
      <c r="AV212" s="815">
        <f t="shared" si="153"/>
        <v>0</v>
      </c>
      <c r="AW212" s="815">
        <f t="shared" si="154"/>
        <v>0</v>
      </c>
      <c r="AX212" s="81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6"/>
      <c r="C213" s="1177"/>
      <c r="D213" s="2297"/>
      <c r="E213" s="81">
        <f t="shared" si="149"/>
        <v>0</v>
      </c>
      <c r="F213" s="82"/>
      <c r="G213" s="83">
        <f t="shared" si="150"/>
        <v>0</v>
      </c>
      <c r="H213" s="84">
        <f t="shared" si="151"/>
        <v>0</v>
      </c>
      <c r="I213" s="1177"/>
      <c r="J213" s="85"/>
      <c r="K213" s="1177"/>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7"/>
      <c r="AG213" s="86"/>
      <c r="AH213" s="86"/>
      <c r="AI213" s="86"/>
      <c r="AJ213" s="86"/>
      <c r="AK213" s="86"/>
      <c r="AL213" s="86"/>
      <c r="AM213" s="86"/>
      <c r="AN213" s="86"/>
      <c r="AO213" s="86"/>
      <c r="AP213" s="86"/>
      <c r="AQ213" s="86"/>
      <c r="AR213" s="86"/>
      <c r="AS213" s="86"/>
      <c r="AT213" s="82"/>
      <c r="AU213" s="87"/>
      <c r="AV213" s="815">
        <f t="shared" si="153"/>
        <v>0</v>
      </c>
      <c r="AW213" s="815">
        <f t="shared" si="154"/>
        <v>0</v>
      </c>
      <c r="AX213" s="81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6"/>
      <c r="C214" s="1177"/>
      <c r="D214" s="2297"/>
      <c r="E214" s="81">
        <f t="shared" si="149"/>
        <v>0</v>
      </c>
      <c r="F214" s="82"/>
      <c r="G214" s="83">
        <f t="shared" si="150"/>
        <v>0</v>
      </c>
      <c r="H214" s="84">
        <f t="shared" si="151"/>
        <v>0</v>
      </c>
      <c r="I214" s="1177"/>
      <c r="J214" s="85"/>
      <c r="K214" s="1177"/>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7"/>
      <c r="AG214" s="86"/>
      <c r="AH214" s="86"/>
      <c r="AI214" s="86"/>
      <c r="AJ214" s="86"/>
      <c r="AK214" s="86"/>
      <c r="AL214" s="86"/>
      <c r="AM214" s="86"/>
      <c r="AN214" s="86"/>
      <c r="AO214" s="86"/>
      <c r="AP214" s="86"/>
      <c r="AQ214" s="86"/>
      <c r="AR214" s="86"/>
      <c r="AS214" s="86"/>
      <c r="AT214" s="82"/>
      <c r="AU214" s="87"/>
      <c r="AV214" s="815">
        <f t="shared" si="153"/>
        <v>0</v>
      </c>
      <c r="AW214" s="815">
        <f t="shared" si="154"/>
        <v>0</v>
      </c>
      <c r="AX214" s="81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6"/>
      <c r="C215" s="1177"/>
      <c r="D215" s="2297"/>
      <c r="E215" s="81">
        <f t="shared" si="149"/>
        <v>0</v>
      </c>
      <c r="F215" s="82"/>
      <c r="G215" s="83">
        <f t="shared" si="150"/>
        <v>0</v>
      </c>
      <c r="H215" s="84">
        <f t="shared" si="151"/>
        <v>0</v>
      </c>
      <c r="I215" s="1177"/>
      <c r="J215" s="85"/>
      <c r="K215" s="1177"/>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7"/>
      <c r="AG215" s="86"/>
      <c r="AH215" s="86"/>
      <c r="AI215" s="86"/>
      <c r="AJ215" s="86"/>
      <c r="AK215" s="86"/>
      <c r="AL215" s="86"/>
      <c r="AM215" s="86"/>
      <c r="AN215" s="86"/>
      <c r="AO215" s="86"/>
      <c r="AP215" s="86"/>
      <c r="AQ215" s="86"/>
      <c r="AR215" s="86"/>
      <c r="AS215" s="86"/>
      <c r="AT215" s="82"/>
      <c r="AU215" s="87"/>
      <c r="AV215" s="815">
        <f t="shared" si="153"/>
        <v>0</v>
      </c>
      <c r="AW215" s="815">
        <f t="shared" si="154"/>
        <v>0</v>
      </c>
      <c r="AX215" s="81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6"/>
      <c r="C216" s="1177"/>
      <c r="D216" s="2297"/>
      <c r="E216" s="81">
        <f t="shared" si="149"/>
        <v>0</v>
      </c>
      <c r="F216" s="82"/>
      <c r="G216" s="83">
        <f t="shared" si="150"/>
        <v>0</v>
      </c>
      <c r="H216" s="84">
        <f t="shared" si="151"/>
        <v>0</v>
      </c>
      <c r="I216" s="1177"/>
      <c r="J216" s="85"/>
      <c r="K216" s="1177"/>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7"/>
      <c r="AG216" s="86"/>
      <c r="AH216" s="86"/>
      <c r="AI216" s="86"/>
      <c r="AJ216" s="86"/>
      <c r="AK216" s="86"/>
      <c r="AL216" s="86"/>
      <c r="AM216" s="86"/>
      <c r="AN216" s="86"/>
      <c r="AO216" s="86"/>
      <c r="AP216" s="86"/>
      <c r="AQ216" s="86"/>
      <c r="AR216" s="86"/>
      <c r="AS216" s="86"/>
      <c r="AT216" s="82"/>
      <c r="AU216" s="87"/>
      <c r="AV216" s="815">
        <f t="shared" si="153"/>
        <v>0</v>
      </c>
      <c r="AW216" s="815">
        <f t="shared" si="154"/>
        <v>0</v>
      </c>
      <c r="AX216" s="81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6"/>
      <c r="C217" s="1177"/>
      <c r="D217" s="2297"/>
      <c r="E217" s="81">
        <f t="shared" si="149"/>
        <v>0</v>
      </c>
      <c r="F217" s="82"/>
      <c r="G217" s="83">
        <f t="shared" si="150"/>
        <v>0</v>
      </c>
      <c r="H217" s="84">
        <f t="shared" si="151"/>
        <v>0</v>
      </c>
      <c r="I217" s="1177"/>
      <c r="J217" s="85"/>
      <c r="K217" s="1177"/>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7"/>
      <c r="AG217" s="86"/>
      <c r="AH217" s="86"/>
      <c r="AI217" s="86"/>
      <c r="AJ217" s="86"/>
      <c r="AK217" s="86"/>
      <c r="AL217" s="86"/>
      <c r="AM217" s="86"/>
      <c r="AN217" s="86"/>
      <c r="AO217" s="86"/>
      <c r="AP217" s="86"/>
      <c r="AQ217" s="86"/>
      <c r="AR217" s="86"/>
      <c r="AS217" s="86"/>
      <c r="AT217" s="82"/>
      <c r="AU217" s="87"/>
      <c r="AV217" s="815">
        <f t="shared" si="153"/>
        <v>0</v>
      </c>
      <c r="AW217" s="815">
        <f t="shared" si="154"/>
        <v>0</v>
      </c>
      <c r="AX217" s="81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6"/>
      <c r="C218" s="1177"/>
      <c r="D218" s="2297"/>
      <c r="E218" s="81">
        <f t="shared" si="149"/>
        <v>0</v>
      </c>
      <c r="F218" s="82"/>
      <c r="G218" s="83">
        <f t="shared" si="150"/>
        <v>0</v>
      </c>
      <c r="H218" s="84">
        <f t="shared" si="151"/>
        <v>0</v>
      </c>
      <c r="I218" s="1177"/>
      <c r="J218" s="85"/>
      <c r="K218" s="1177"/>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7"/>
      <c r="AG218" s="86"/>
      <c r="AH218" s="86"/>
      <c r="AI218" s="86"/>
      <c r="AJ218" s="86"/>
      <c r="AK218" s="86"/>
      <c r="AL218" s="86"/>
      <c r="AM218" s="86"/>
      <c r="AN218" s="86"/>
      <c r="AO218" s="86"/>
      <c r="AP218" s="86"/>
      <c r="AQ218" s="86"/>
      <c r="AR218" s="86"/>
      <c r="AS218" s="86"/>
      <c r="AT218" s="82"/>
      <c r="AU218" s="87"/>
      <c r="AV218" s="815">
        <f t="shared" si="153"/>
        <v>0</v>
      </c>
      <c r="AW218" s="815">
        <f t="shared" si="154"/>
        <v>0</v>
      </c>
      <c r="AX218" s="81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6"/>
      <c r="C219" s="1177"/>
      <c r="D219" s="2297"/>
      <c r="E219" s="81">
        <f t="shared" si="149"/>
        <v>0</v>
      </c>
      <c r="F219" s="82"/>
      <c r="G219" s="83">
        <f t="shared" si="150"/>
        <v>0</v>
      </c>
      <c r="H219" s="84">
        <f t="shared" si="151"/>
        <v>0</v>
      </c>
      <c r="I219" s="1177"/>
      <c r="J219" s="85"/>
      <c r="K219" s="1177"/>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7"/>
      <c r="AG219" s="86"/>
      <c r="AH219" s="86"/>
      <c r="AI219" s="86"/>
      <c r="AJ219" s="86"/>
      <c r="AK219" s="86"/>
      <c r="AL219" s="86"/>
      <c r="AM219" s="86"/>
      <c r="AN219" s="86"/>
      <c r="AO219" s="86"/>
      <c r="AP219" s="86"/>
      <c r="AQ219" s="86"/>
      <c r="AR219" s="86"/>
      <c r="AS219" s="86"/>
      <c r="AT219" s="82"/>
      <c r="AU219" s="87"/>
      <c r="AV219" s="815">
        <f t="shared" si="153"/>
        <v>0</v>
      </c>
      <c r="AW219" s="815">
        <f t="shared" si="154"/>
        <v>0</v>
      </c>
      <c r="AX219" s="81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6"/>
      <c r="C220" s="1177"/>
      <c r="D220" s="2297"/>
      <c r="E220" s="81">
        <f t="shared" si="149"/>
        <v>0</v>
      </c>
      <c r="F220" s="82"/>
      <c r="G220" s="83">
        <f t="shared" si="150"/>
        <v>0</v>
      </c>
      <c r="H220" s="84">
        <f t="shared" si="151"/>
        <v>0</v>
      </c>
      <c r="I220" s="1177"/>
      <c r="J220" s="85"/>
      <c r="K220" s="1177"/>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7"/>
      <c r="AG220" s="86"/>
      <c r="AH220" s="86"/>
      <c r="AI220" s="86"/>
      <c r="AJ220" s="86"/>
      <c r="AK220" s="86"/>
      <c r="AL220" s="86"/>
      <c r="AM220" s="86"/>
      <c r="AN220" s="86"/>
      <c r="AO220" s="86"/>
      <c r="AP220" s="86"/>
      <c r="AQ220" s="86"/>
      <c r="AR220" s="86"/>
      <c r="AS220" s="86"/>
      <c r="AT220" s="82"/>
      <c r="AU220" s="87"/>
      <c r="AV220" s="815">
        <f t="shared" si="153"/>
        <v>0</v>
      </c>
      <c r="AW220" s="815">
        <f t="shared" si="154"/>
        <v>0</v>
      </c>
      <c r="AX220" s="81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6"/>
      <c r="C221" s="1177"/>
      <c r="D221" s="2297"/>
      <c r="E221" s="81">
        <f t="shared" si="149"/>
        <v>0</v>
      </c>
      <c r="F221" s="82"/>
      <c r="G221" s="83">
        <f t="shared" si="150"/>
        <v>0</v>
      </c>
      <c r="H221" s="84">
        <f t="shared" si="151"/>
        <v>0</v>
      </c>
      <c r="I221" s="1177"/>
      <c r="J221" s="85"/>
      <c r="K221" s="1177"/>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7"/>
      <c r="AG221" s="86"/>
      <c r="AH221" s="86"/>
      <c r="AI221" s="86"/>
      <c r="AJ221" s="86"/>
      <c r="AK221" s="86"/>
      <c r="AL221" s="86"/>
      <c r="AM221" s="86"/>
      <c r="AN221" s="86"/>
      <c r="AO221" s="86"/>
      <c r="AP221" s="86"/>
      <c r="AQ221" s="86"/>
      <c r="AR221" s="86"/>
      <c r="AS221" s="86"/>
      <c r="AT221" s="82"/>
      <c r="AU221" s="87"/>
      <c r="AV221" s="815">
        <f t="shared" si="153"/>
        <v>0</v>
      </c>
      <c r="AW221" s="815">
        <f t="shared" si="154"/>
        <v>0</v>
      </c>
      <c r="AX221" s="81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6"/>
      <c r="C222" s="1177"/>
      <c r="D222" s="2297"/>
      <c r="E222" s="81">
        <f t="shared" si="149"/>
        <v>0</v>
      </c>
      <c r="F222" s="82"/>
      <c r="G222" s="83">
        <f t="shared" si="150"/>
        <v>0</v>
      </c>
      <c r="H222" s="84">
        <f t="shared" si="151"/>
        <v>0</v>
      </c>
      <c r="I222" s="1177"/>
      <c r="J222" s="85"/>
      <c r="K222" s="1177"/>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7"/>
      <c r="AG222" s="86"/>
      <c r="AH222" s="86"/>
      <c r="AI222" s="86"/>
      <c r="AJ222" s="86"/>
      <c r="AK222" s="86"/>
      <c r="AL222" s="86"/>
      <c r="AM222" s="86"/>
      <c r="AN222" s="86"/>
      <c r="AO222" s="86"/>
      <c r="AP222" s="86"/>
      <c r="AQ222" s="86"/>
      <c r="AR222" s="86"/>
      <c r="AS222" s="86"/>
      <c r="AT222" s="82"/>
      <c r="AU222" s="87"/>
      <c r="AV222" s="815">
        <f t="shared" si="153"/>
        <v>0</v>
      </c>
      <c r="AW222" s="815">
        <f t="shared" si="154"/>
        <v>0</v>
      </c>
      <c r="AX222" s="81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6"/>
      <c r="C223" s="1177"/>
      <c r="D223" s="2297"/>
      <c r="E223" s="81">
        <f t="shared" si="149"/>
        <v>0</v>
      </c>
      <c r="F223" s="82"/>
      <c r="G223" s="83">
        <f t="shared" si="150"/>
        <v>0</v>
      </c>
      <c r="H223" s="84">
        <f t="shared" si="151"/>
        <v>0</v>
      </c>
      <c r="I223" s="1177"/>
      <c r="J223" s="85"/>
      <c r="K223" s="1177"/>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7"/>
      <c r="AG223" s="86"/>
      <c r="AH223" s="86"/>
      <c r="AI223" s="86"/>
      <c r="AJ223" s="86"/>
      <c r="AK223" s="86"/>
      <c r="AL223" s="86"/>
      <c r="AM223" s="86"/>
      <c r="AN223" s="86"/>
      <c r="AO223" s="86"/>
      <c r="AP223" s="86"/>
      <c r="AQ223" s="86"/>
      <c r="AR223" s="86"/>
      <c r="AS223" s="86"/>
      <c r="AT223" s="82"/>
      <c r="AU223" s="87"/>
      <c r="AV223" s="815">
        <f t="shared" si="153"/>
        <v>0</v>
      </c>
      <c r="AW223" s="815">
        <f t="shared" si="154"/>
        <v>0</v>
      </c>
      <c r="AX223" s="81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6"/>
      <c r="C224" s="1177"/>
      <c r="D224" s="2297"/>
      <c r="E224" s="81">
        <f t="shared" si="149"/>
        <v>0</v>
      </c>
      <c r="F224" s="82"/>
      <c r="G224" s="83">
        <f t="shared" si="150"/>
        <v>0</v>
      </c>
      <c r="H224" s="84">
        <f t="shared" si="151"/>
        <v>0</v>
      </c>
      <c r="I224" s="1177"/>
      <c r="J224" s="85"/>
      <c r="K224" s="1177"/>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7"/>
      <c r="AG224" s="86"/>
      <c r="AH224" s="86"/>
      <c r="AI224" s="86"/>
      <c r="AJ224" s="86"/>
      <c r="AK224" s="86"/>
      <c r="AL224" s="86"/>
      <c r="AM224" s="86"/>
      <c r="AN224" s="86"/>
      <c r="AO224" s="86"/>
      <c r="AP224" s="86"/>
      <c r="AQ224" s="86"/>
      <c r="AR224" s="86"/>
      <c r="AS224" s="86"/>
      <c r="AT224" s="82"/>
      <c r="AU224" s="87"/>
      <c r="AV224" s="815">
        <f t="shared" si="153"/>
        <v>0</v>
      </c>
      <c r="AW224" s="815">
        <f t="shared" si="154"/>
        <v>0</v>
      </c>
      <c r="AX224" s="81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6"/>
      <c r="C225" s="1177"/>
      <c r="D225" s="2297"/>
      <c r="E225" s="81">
        <f t="shared" si="149"/>
        <v>0</v>
      </c>
      <c r="F225" s="82"/>
      <c r="G225" s="83">
        <f t="shared" si="150"/>
        <v>0</v>
      </c>
      <c r="H225" s="84">
        <f t="shared" si="151"/>
        <v>0</v>
      </c>
      <c r="I225" s="1177"/>
      <c r="J225" s="85"/>
      <c r="K225" s="1177"/>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7"/>
      <c r="AG225" s="86"/>
      <c r="AH225" s="86"/>
      <c r="AI225" s="86"/>
      <c r="AJ225" s="86"/>
      <c r="AK225" s="86"/>
      <c r="AL225" s="86"/>
      <c r="AM225" s="86"/>
      <c r="AN225" s="86"/>
      <c r="AO225" s="86"/>
      <c r="AP225" s="86"/>
      <c r="AQ225" s="86"/>
      <c r="AR225" s="86"/>
      <c r="AS225" s="86"/>
      <c r="AT225" s="82"/>
      <c r="AU225" s="87"/>
      <c r="AV225" s="815">
        <f t="shared" si="153"/>
        <v>0</v>
      </c>
      <c r="AW225" s="815">
        <f t="shared" si="154"/>
        <v>0</v>
      </c>
      <c r="AX225" s="81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6"/>
      <c r="C226" s="1177"/>
      <c r="D226" s="2297"/>
      <c r="E226" s="81">
        <f t="shared" si="149"/>
        <v>0</v>
      </c>
      <c r="F226" s="82"/>
      <c r="G226" s="83">
        <f t="shared" si="150"/>
        <v>0</v>
      </c>
      <c r="H226" s="84">
        <f t="shared" si="151"/>
        <v>0</v>
      </c>
      <c r="I226" s="1177"/>
      <c r="J226" s="85"/>
      <c r="K226" s="1177"/>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7"/>
      <c r="AG226" s="86"/>
      <c r="AH226" s="86"/>
      <c r="AI226" s="86"/>
      <c r="AJ226" s="86"/>
      <c r="AK226" s="86"/>
      <c r="AL226" s="86"/>
      <c r="AM226" s="86"/>
      <c r="AN226" s="86"/>
      <c r="AO226" s="86"/>
      <c r="AP226" s="86"/>
      <c r="AQ226" s="86"/>
      <c r="AR226" s="86"/>
      <c r="AS226" s="86"/>
      <c r="AT226" s="82"/>
      <c r="AU226" s="87"/>
      <c r="AV226" s="815">
        <f t="shared" si="153"/>
        <v>0</v>
      </c>
      <c r="AW226" s="815">
        <f t="shared" si="154"/>
        <v>0</v>
      </c>
      <c r="AX226" s="81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6"/>
      <c r="C227" s="1177"/>
      <c r="D227" s="2297"/>
      <c r="E227" s="81">
        <f t="shared" si="149"/>
        <v>0</v>
      </c>
      <c r="F227" s="82"/>
      <c r="G227" s="83">
        <f t="shared" si="150"/>
        <v>0</v>
      </c>
      <c r="H227" s="84">
        <f t="shared" si="151"/>
        <v>0</v>
      </c>
      <c r="I227" s="1177"/>
      <c r="J227" s="85"/>
      <c r="K227" s="1177"/>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7"/>
      <c r="AG227" s="86"/>
      <c r="AH227" s="86"/>
      <c r="AI227" s="86"/>
      <c r="AJ227" s="86"/>
      <c r="AK227" s="86"/>
      <c r="AL227" s="86"/>
      <c r="AM227" s="86"/>
      <c r="AN227" s="86"/>
      <c r="AO227" s="86"/>
      <c r="AP227" s="86"/>
      <c r="AQ227" s="86"/>
      <c r="AR227" s="86"/>
      <c r="AS227" s="86"/>
      <c r="AT227" s="82"/>
      <c r="AU227" s="87"/>
      <c r="AV227" s="815">
        <f t="shared" si="153"/>
        <v>0</v>
      </c>
      <c r="AW227" s="815">
        <f t="shared" si="154"/>
        <v>0</v>
      </c>
      <c r="AX227" s="81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6"/>
      <c r="C228" s="1177"/>
      <c r="D228" s="2297"/>
      <c r="E228" s="81">
        <f t="shared" si="149"/>
        <v>0</v>
      </c>
      <c r="F228" s="82"/>
      <c r="G228" s="83">
        <f t="shared" si="150"/>
        <v>0</v>
      </c>
      <c r="H228" s="84">
        <f t="shared" si="151"/>
        <v>0</v>
      </c>
      <c r="I228" s="1177"/>
      <c r="J228" s="85"/>
      <c r="K228" s="1177"/>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7"/>
      <c r="AG228" s="86"/>
      <c r="AH228" s="86"/>
      <c r="AI228" s="86"/>
      <c r="AJ228" s="86"/>
      <c r="AK228" s="86"/>
      <c r="AL228" s="86"/>
      <c r="AM228" s="86"/>
      <c r="AN228" s="86"/>
      <c r="AO228" s="86"/>
      <c r="AP228" s="86"/>
      <c r="AQ228" s="86"/>
      <c r="AR228" s="86"/>
      <c r="AS228" s="86"/>
      <c r="AT228" s="82"/>
      <c r="AU228" s="87"/>
      <c r="AV228" s="815">
        <f t="shared" si="153"/>
        <v>0</v>
      </c>
      <c r="AW228" s="815">
        <f t="shared" si="154"/>
        <v>0</v>
      </c>
      <c r="AX228" s="81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6"/>
      <c r="C229" s="1177"/>
      <c r="D229" s="2297"/>
      <c r="E229" s="81">
        <f t="shared" si="149"/>
        <v>0</v>
      </c>
      <c r="F229" s="82"/>
      <c r="G229" s="83">
        <f t="shared" si="150"/>
        <v>0</v>
      </c>
      <c r="H229" s="84">
        <f t="shared" si="151"/>
        <v>0</v>
      </c>
      <c r="I229" s="1177"/>
      <c r="J229" s="85"/>
      <c r="K229" s="1177"/>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7"/>
      <c r="AG229" s="86"/>
      <c r="AH229" s="86"/>
      <c r="AI229" s="86"/>
      <c r="AJ229" s="86"/>
      <c r="AK229" s="86"/>
      <c r="AL229" s="86"/>
      <c r="AM229" s="86"/>
      <c r="AN229" s="86"/>
      <c r="AO229" s="86"/>
      <c r="AP229" s="86"/>
      <c r="AQ229" s="86"/>
      <c r="AR229" s="86"/>
      <c r="AS229" s="86"/>
      <c r="AT229" s="82"/>
      <c r="AU229" s="87"/>
      <c r="AV229" s="815">
        <f t="shared" si="153"/>
        <v>0</v>
      </c>
      <c r="AW229" s="815">
        <f t="shared" si="154"/>
        <v>0</v>
      </c>
      <c r="AX229" s="81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6"/>
      <c r="C230" s="1177"/>
      <c r="D230" s="2297"/>
      <c r="E230" s="81">
        <f t="shared" si="149"/>
        <v>0</v>
      </c>
      <c r="F230" s="82"/>
      <c r="G230" s="83">
        <f t="shared" si="150"/>
        <v>0</v>
      </c>
      <c r="H230" s="84">
        <f t="shared" si="151"/>
        <v>0</v>
      </c>
      <c r="I230" s="1177"/>
      <c r="J230" s="85"/>
      <c r="K230" s="1177"/>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7"/>
      <c r="AG230" s="86"/>
      <c r="AH230" s="86"/>
      <c r="AI230" s="86"/>
      <c r="AJ230" s="86"/>
      <c r="AK230" s="86"/>
      <c r="AL230" s="86"/>
      <c r="AM230" s="86"/>
      <c r="AN230" s="86"/>
      <c r="AO230" s="86"/>
      <c r="AP230" s="86"/>
      <c r="AQ230" s="86"/>
      <c r="AR230" s="86"/>
      <c r="AS230" s="86"/>
      <c r="AT230" s="82"/>
      <c r="AU230" s="87"/>
      <c r="AV230" s="815">
        <f t="shared" si="153"/>
        <v>0</v>
      </c>
      <c r="AW230" s="815">
        <f t="shared" si="154"/>
        <v>0</v>
      </c>
      <c r="AX230" s="81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6"/>
      <c r="C231" s="1177"/>
      <c r="D231" s="2297"/>
      <c r="E231" s="81">
        <f t="shared" si="149"/>
        <v>0</v>
      </c>
      <c r="F231" s="82"/>
      <c r="G231" s="83">
        <f t="shared" si="150"/>
        <v>0</v>
      </c>
      <c r="H231" s="84">
        <f t="shared" si="151"/>
        <v>0</v>
      </c>
      <c r="I231" s="1177"/>
      <c r="J231" s="85"/>
      <c r="K231" s="1177"/>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7"/>
      <c r="AG231" s="86"/>
      <c r="AH231" s="86"/>
      <c r="AI231" s="86"/>
      <c r="AJ231" s="86"/>
      <c r="AK231" s="86"/>
      <c r="AL231" s="86"/>
      <c r="AM231" s="86"/>
      <c r="AN231" s="86"/>
      <c r="AO231" s="86"/>
      <c r="AP231" s="86"/>
      <c r="AQ231" s="86"/>
      <c r="AR231" s="86"/>
      <c r="AS231" s="86"/>
      <c r="AT231" s="82"/>
      <c r="AU231" s="87"/>
      <c r="AV231" s="815">
        <f t="shared" si="153"/>
        <v>0</v>
      </c>
      <c r="AW231" s="815">
        <f t="shared" si="154"/>
        <v>0</v>
      </c>
      <c r="AX231" s="81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6"/>
      <c r="C232" s="1177"/>
      <c r="D232" s="2297"/>
      <c r="E232" s="81">
        <f t="shared" si="149"/>
        <v>0</v>
      </c>
      <c r="F232" s="82"/>
      <c r="G232" s="83">
        <f t="shared" si="150"/>
        <v>0</v>
      </c>
      <c r="H232" s="84">
        <f t="shared" si="151"/>
        <v>0</v>
      </c>
      <c r="I232" s="1177"/>
      <c r="J232" s="85"/>
      <c r="K232" s="1177"/>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7"/>
      <c r="AG232" s="86"/>
      <c r="AH232" s="86"/>
      <c r="AI232" s="86"/>
      <c r="AJ232" s="86"/>
      <c r="AK232" s="86"/>
      <c r="AL232" s="86"/>
      <c r="AM232" s="86"/>
      <c r="AN232" s="86"/>
      <c r="AO232" s="86"/>
      <c r="AP232" s="86"/>
      <c r="AQ232" s="86"/>
      <c r="AR232" s="86"/>
      <c r="AS232" s="86"/>
      <c r="AT232" s="82"/>
      <c r="AU232" s="87"/>
      <c r="AV232" s="815">
        <f t="shared" si="153"/>
        <v>0</v>
      </c>
      <c r="AW232" s="815">
        <f t="shared" si="154"/>
        <v>0</v>
      </c>
      <c r="AX232" s="81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6"/>
      <c r="C233" s="1177"/>
      <c r="D233" s="2297"/>
      <c r="E233" s="81">
        <f t="shared" si="149"/>
        <v>0</v>
      </c>
      <c r="F233" s="82"/>
      <c r="G233" s="83">
        <f t="shared" si="150"/>
        <v>0</v>
      </c>
      <c r="H233" s="84">
        <f t="shared" si="151"/>
        <v>0</v>
      </c>
      <c r="I233" s="1177"/>
      <c r="J233" s="85"/>
      <c r="K233" s="1177"/>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7"/>
      <c r="AG233" s="86"/>
      <c r="AH233" s="86"/>
      <c r="AI233" s="86"/>
      <c r="AJ233" s="86"/>
      <c r="AK233" s="86"/>
      <c r="AL233" s="86"/>
      <c r="AM233" s="86"/>
      <c r="AN233" s="86"/>
      <c r="AO233" s="86"/>
      <c r="AP233" s="86"/>
      <c r="AQ233" s="86"/>
      <c r="AR233" s="86"/>
      <c r="AS233" s="86"/>
      <c r="AT233" s="82"/>
      <c r="AU233" s="87"/>
      <c r="AV233" s="815">
        <f t="shared" si="153"/>
        <v>0</v>
      </c>
      <c r="AW233" s="815">
        <f t="shared" si="154"/>
        <v>0</v>
      </c>
      <c r="AX233" s="81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6"/>
      <c r="C234" s="1177"/>
      <c r="D234" s="2297"/>
      <c r="E234" s="81">
        <f t="shared" si="149"/>
        <v>0</v>
      </c>
      <c r="F234" s="82"/>
      <c r="G234" s="83">
        <f t="shared" si="150"/>
        <v>0</v>
      </c>
      <c r="H234" s="84">
        <f t="shared" si="151"/>
        <v>0</v>
      </c>
      <c r="I234" s="1177"/>
      <c r="J234" s="85"/>
      <c r="K234" s="1177"/>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7"/>
      <c r="AG234" s="86"/>
      <c r="AH234" s="86"/>
      <c r="AI234" s="86"/>
      <c r="AJ234" s="86"/>
      <c r="AK234" s="86"/>
      <c r="AL234" s="86"/>
      <c r="AM234" s="86"/>
      <c r="AN234" s="86"/>
      <c r="AO234" s="86"/>
      <c r="AP234" s="86"/>
      <c r="AQ234" s="86"/>
      <c r="AR234" s="86"/>
      <c r="AS234" s="86"/>
      <c r="AT234" s="82"/>
      <c r="AU234" s="87"/>
      <c r="AV234" s="815">
        <f t="shared" si="153"/>
        <v>0</v>
      </c>
      <c r="AW234" s="815">
        <f t="shared" si="154"/>
        <v>0</v>
      </c>
      <c r="AX234" s="81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6"/>
      <c r="C235" s="1177"/>
      <c r="D235" s="2297"/>
      <c r="E235" s="81">
        <f t="shared" si="149"/>
        <v>0</v>
      </c>
      <c r="F235" s="82"/>
      <c r="G235" s="83">
        <f t="shared" si="150"/>
        <v>0</v>
      </c>
      <c r="H235" s="84">
        <f t="shared" si="151"/>
        <v>0</v>
      </c>
      <c r="I235" s="1177"/>
      <c r="J235" s="85"/>
      <c r="K235" s="1177"/>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7"/>
      <c r="AG235" s="86"/>
      <c r="AH235" s="86"/>
      <c r="AI235" s="86"/>
      <c r="AJ235" s="86"/>
      <c r="AK235" s="86"/>
      <c r="AL235" s="86"/>
      <c r="AM235" s="86"/>
      <c r="AN235" s="86"/>
      <c r="AO235" s="86"/>
      <c r="AP235" s="86"/>
      <c r="AQ235" s="86"/>
      <c r="AR235" s="86"/>
      <c r="AS235" s="86"/>
      <c r="AT235" s="82"/>
      <c r="AU235" s="87"/>
      <c r="AV235" s="815">
        <f t="shared" si="153"/>
        <v>0</v>
      </c>
      <c r="AW235" s="815">
        <f t="shared" si="154"/>
        <v>0</v>
      </c>
      <c r="AX235" s="81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6"/>
      <c r="C236" s="1177"/>
      <c r="D236" s="2297"/>
      <c r="E236" s="81">
        <f t="shared" si="149"/>
        <v>0</v>
      </c>
      <c r="F236" s="82"/>
      <c r="G236" s="83">
        <f t="shared" si="150"/>
        <v>0</v>
      </c>
      <c r="H236" s="84">
        <f t="shared" si="151"/>
        <v>0</v>
      </c>
      <c r="I236" s="1177"/>
      <c r="J236" s="85"/>
      <c r="K236" s="1177"/>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7"/>
      <c r="AG236" s="86"/>
      <c r="AH236" s="86"/>
      <c r="AI236" s="86"/>
      <c r="AJ236" s="86"/>
      <c r="AK236" s="86"/>
      <c r="AL236" s="86"/>
      <c r="AM236" s="86"/>
      <c r="AN236" s="86"/>
      <c r="AO236" s="86"/>
      <c r="AP236" s="86"/>
      <c r="AQ236" s="86"/>
      <c r="AR236" s="86"/>
      <c r="AS236" s="86"/>
      <c r="AT236" s="82"/>
      <c r="AU236" s="87"/>
      <c r="AV236" s="815">
        <f t="shared" si="153"/>
        <v>0</v>
      </c>
      <c r="AW236" s="815">
        <f t="shared" si="154"/>
        <v>0</v>
      </c>
      <c r="AX236" s="81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6"/>
      <c r="C237" s="1177"/>
      <c r="D237" s="2297"/>
      <c r="E237" s="81">
        <f t="shared" si="149"/>
        <v>0</v>
      </c>
      <c r="F237" s="82"/>
      <c r="G237" s="83">
        <f t="shared" si="150"/>
        <v>0</v>
      </c>
      <c r="H237" s="84">
        <f t="shared" si="151"/>
        <v>0</v>
      </c>
      <c r="I237" s="1177"/>
      <c r="J237" s="85"/>
      <c r="K237" s="1177"/>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7"/>
      <c r="AG237" s="86"/>
      <c r="AH237" s="86"/>
      <c r="AI237" s="86"/>
      <c r="AJ237" s="86"/>
      <c r="AK237" s="86"/>
      <c r="AL237" s="86"/>
      <c r="AM237" s="86"/>
      <c r="AN237" s="86"/>
      <c r="AO237" s="86"/>
      <c r="AP237" s="86"/>
      <c r="AQ237" s="86"/>
      <c r="AR237" s="86"/>
      <c r="AS237" s="86"/>
      <c r="AT237" s="82"/>
      <c r="AU237" s="87"/>
      <c r="AV237" s="815">
        <f t="shared" si="153"/>
        <v>0</v>
      </c>
      <c r="AW237" s="815">
        <f t="shared" si="154"/>
        <v>0</v>
      </c>
      <c r="AX237" s="81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6"/>
      <c r="C238" s="1177"/>
      <c r="D238" s="2297"/>
      <c r="E238" s="81">
        <f t="shared" si="149"/>
        <v>0</v>
      </c>
      <c r="F238" s="82"/>
      <c r="G238" s="83">
        <f t="shared" si="150"/>
        <v>0</v>
      </c>
      <c r="H238" s="84">
        <f t="shared" si="151"/>
        <v>0</v>
      </c>
      <c r="I238" s="1177"/>
      <c r="J238" s="85"/>
      <c r="K238" s="1177"/>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7"/>
      <c r="AG238" s="86"/>
      <c r="AH238" s="86"/>
      <c r="AI238" s="86"/>
      <c r="AJ238" s="86"/>
      <c r="AK238" s="86"/>
      <c r="AL238" s="86"/>
      <c r="AM238" s="86"/>
      <c r="AN238" s="86"/>
      <c r="AO238" s="86"/>
      <c r="AP238" s="86"/>
      <c r="AQ238" s="86"/>
      <c r="AR238" s="86"/>
      <c r="AS238" s="86"/>
      <c r="AT238" s="82"/>
      <c r="AU238" s="87"/>
      <c r="AV238" s="815">
        <f t="shared" si="153"/>
        <v>0</v>
      </c>
      <c r="AW238" s="815">
        <f t="shared" si="154"/>
        <v>0</v>
      </c>
      <c r="AX238" s="81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6"/>
      <c r="C239" s="1177"/>
      <c r="D239" s="2297"/>
      <c r="E239" s="81">
        <f t="shared" si="149"/>
        <v>0</v>
      </c>
      <c r="F239" s="82"/>
      <c r="G239" s="83">
        <f t="shared" si="150"/>
        <v>0</v>
      </c>
      <c r="H239" s="84">
        <f t="shared" si="151"/>
        <v>0</v>
      </c>
      <c r="I239" s="1177"/>
      <c r="J239" s="85"/>
      <c r="K239" s="1177"/>
      <c r="L239" s="85"/>
      <c r="M239" s="1177"/>
      <c r="N239" s="85"/>
      <c r="O239" s="85"/>
      <c r="P239" s="85"/>
      <c r="Q239" s="85"/>
      <c r="R239" s="85"/>
      <c r="S239" s="85"/>
      <c r="T239" s="85"/>
      <c r="U239" s="85"/>
      <c r="V239" s="85"/>
      <c r="W239" s="85"/>
      <c r="X239" s="85"/>
      <c r="Y239" s="85"/>
      <c r="Z239" s="85"/>
      <c r="AA239" s="85"/>
      <c r="AB239" s="85"/>
      <c r="AC239" s="81">
        <f t="shared" si="152"/>
        <v>0</v>
      </c>
      <c r="AD239" s="86"/>
      <c r="AE239" s="86"/>
      <c r="AF239" s="1177"/>
      <c r="AG239" s="86"/>
      <c r="AH239" s="86"/>
      <c r="AI239" s="86"/>
      <c r="AJ239" s="86"/>
      <c r="AK239" s="86"/>
      <c r="AL239" s="86"/>
      <c r="AM239" s="86"/>
      <c r="AN239" s="86"/>
      <c r="AO239" s="86"/>
      <c r="AP239" s="86"/>
      <c r="AQ239" s="86"/>
      <c r="AR239" s="86"/>
      <c r="AS239" s="86"/>
      <c r="AT239" s="82"/>
      <c r="AU239" s="87"/>
      <c r="AV239" s="815">
        <f t="shared" si="153"/>
        <v>0</v>
      </c>
      <c r="AW239" s="815">
        <f t="shared" si="154"/>
        <v>0</v>
      </c>
      <c r="AX239" s="81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5">
        <f t="shared" si="153"/>
        <v>0</v>
      </c>
      <c r="AW240" s="815">
        <f t="shared" si="154"/>
        <v>0</v>
      </c>
      <c r="AX240" s="81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5">
        <f t="shared" si="153"/>
        <v>0</v>
      </c>
      <c r="AW241" s="815">
        <f t="shared" si="154"/>
        <v>0</v>
      </c>
      <c r="AX241" s="81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5">
        <f t="shared" si="153"/>
        <v>0</v>
      </c>
      <c r="AW242" s="815">
        <f t="shared" si="154"/>
        <v>0</v>
      </c>
      <c r="AX242" s="81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5">
        <f t="shared" si="153"/>
        <v>0</v>
      </c>
      <c r="AW243" s="815">
        <f t="shared" si="154"/>
        <v>0</v>
      </c>
      <c r="AX243" s="81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5">
        <f t="shared" si="153"/>
        <v>0</v>
      </c>
      <c r="AW244" s="815">
        <f t="shared" si="154"/>
        <v>0</v>
      </c>
      <c r="AX244" s="81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5">
        <f t="shared" si="153"/>
        <v>0</v>
      </c>
      <c r="AW245" s="815">
        <f t="shared" si="154"/>
        <v>0</v>
      </c>
      <c r="AX245" s="81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5">
        <f t="shared" si="153"/>
        <v>0</v>
      </c>
      <c r="AW246" s="815">
        <f t="shared" si="154"/>
        <v>0</v>
      </c>
      <c r="AX246" s="81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5">
        <f t="shared" si="153"/>
        <v>0</v>
      </c>
      <c r="AW247" s="815">
        <f t="shared" si="154"/>
        <v>0</v>
      </c>
      <c r="AX247" s="81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5">
        <f t="shared" si="153"/>
        <v>0</v>
      </c>
      <c r="AW248" s="815">
        <f t="shared" si="154"/>
        <v>0</v>
      </c>
      <c r="AX248" s="81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5">
        <f t="shared" si="153"/>
        <v>0</v>
      </c>
      <c r="AW249" s="815">
        <f t="shared" si="154"/>
        <v>0</v>
      </c>
      <c r="AX249" s="81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5">
        <f t="shared" si="153"/>
        <v>0</v>
      </c>
      <c r="AW250" s="815">
        <f t="shared" si="154"/>
        <v>0</v>
      </c>
      <c r="AX250" s="81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5">
        <f t="shared" si="153"/>
        <v>0</v>
      </c>
      <c r="AW251" s="815">
        <f t="shared" si="154"/>
        <v>0</v>
      </c>
      <c r="AX251" s="81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5">
        <f t="shared" si="153"/>
        <v>0</v>
      </c>
      <c r="AW252" s="815">
        <f t="shared" si="154"/>
        <v>0</v>
      </c>
      <c r="AX252" s="81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5">
        <f t="shared" si="153"/>
        <v>0</v>
      </c>
      <c r="AW253" s="815">
        <f t="shared" si="154"/>
        <v>0</v>
      </c>
      <c r="AX253" s="81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5">
        <f t="shared" si="153"/>
        <v>0</v>
      </c>
      <c r="AW254" s="815">
        <f t="shared" si="154"/>
        <v>0</v>
      </c>
      <c r="AX254" s="81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5">
        <f t="shared" si="153"/>
        <v>0</v>
      </c>
      <c r="AW255" s="815">
        <f t="shared" si="154"/>
        <v>0</v>
      </c>
      <c r="AX255" s="81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5">
        <f t="shared" si="153"/>
        <v>0</v>
      </c>
      <c r="AW256" s="815">
        <f t="shared" si="154"/>
        <v>0</v>
      </c>
      <c r="AX256" s="81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5">
        <f t="shared" si="153"/>
        <v>0</v>
      </c>
      <c r="AW257" s="815">
        <f t="shared" si="154"/>
        <v>0</v>
      </c>
      <c r="AX257" s="81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5">
        <f t="shared" si="153"/>
        <v>0</v>
      </c>
      <c r="AW258" s="815">
        <f t="shared" si="154"/>
        <v>0</v>
      </c>
      <c r="AX258" s="81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5">
        <f t="shared" si="153"/>
        <v>0</v>
      </c>
      <c r="AW259" s="815">
        <f t="shared" si="154"/>
        <v>0</v>
      </c>
      <c r="AX259" s="81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5">
        <f t="shared" si="153"/>
        <v>0</v>
      </c>
      <c r="AW260" s="815">
        <f t="shared" si="154"/>
        <v>0</v>
      </c>
      <c r="AX260" s="81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5">
        <f t="shared" si="153"/>
        <v>0</v>
      </c>
      <c r="AW261" s="815">
        <f t="shared" si="154"/>
        <v>0</v>
      </c>
      <c r="AX261" s="81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5">
        <f t="shared" si="153"/>
        <v>0</v>
      </c>
      <c r="AW262" s="815">
        <f t="shared" si="154"/>
        <v>0</v>
      </c>
      <c r="AX262" s="81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5">
        <f t="shared" si="153"/>
        <v>0</v>
      </c>
      <c r="AW263" s="815">
        <f t="shared" si="154"/>
        <v>0</v>
      </c>
      <c r="AX263" s="81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5">
        <f t="shared" si="153"/>
        <v>0</v>
      </c>
      <c r="AW264" s="815">
        <f t="shared" si="154"/>
        <v>0</v>
      </c>
      <c r="AX264" s="81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5">
        <f t="shared" si="153"/>
        <v>0</v>
      </c>
      <c r="AW265" s="815">
        <f t="shared" si="154"/>
        <v>0</v>
      </c>
      <c r="AX265" s="81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5">
        <f t="shared" si="153"/>
        <v>0</v>
      </c>
      <c r="AW266" s="815">
        <f t="shared" si="154"/>
        <v>0</v>
      </c>
      <c r="AX266" s="81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5">
        <f t="shared" si="153"/>
        <v>0</v>
      </c>
      <c r="AW267" s="815">
        <f t="shared" si="154"/>
        <v>0</v>
      </c>
      <c r="AX267" s="81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5">
        <f t="shared" si="153"/>
        <v>0</v>
      </c>
      <c r="AW268" s="815">
        <f t="shared" si="154"/>
        <v>0</v>
      </c>
      <c r="AX268" s="81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5">
        <f t="shared" si="153"/>
        <v>0</v>
      </c>
      <c r="AW269" s="815">
        <f t="shared" si="154"/>
        <v>0</v>
      </c>
      <c r="AX269" s="81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5">
        <f t="shared" si="153"/>
        <v>0</v>
      </c>
      <c r="AW270" s="815">
        <f t="shared" si="154"/>
        <v>0</v>
      </c>
      <c r="AX270" s="81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5">
        <f t="shared" si="153"/>
        <v>0</v>
      </c>
      <c r="AW271" s="815">
        <f t="shared" si="154"/>
        <v>0</v>
      </c>
      <c r="AX271" s="81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5">
        <f t="shared" si="153"/>
        <v>0</v>
      </c>
      <c r="AW272" s="815">
        <f t="shared" si="154"/>
        <v>0</v>
      </c>
      <c r="AX272" s="81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5">
        <f t="shared" si="153"/>
        <v>0</v>
      </c>
      <c r="AW273" s="815">
        <f t="shared" si="154"/>
        <v>0</v>
      </c>
      <c r="AX273" s="81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5">
        <f t="shared" si="153"/>
        <v>0</v>
      </c>
      <c r="AW274" s="815">
        <f t="shared" si="154"/>
        <v>0</v>
      </c>
      <c r="AX274" s="81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5">
        <f t="shared" si="153"/>
        <v>0</v>
      </c>
      <c r="AW275" s="815">
        <f t="shared" si="154"/>
        <v>0</v>
      </c>
      <c r="AX275" s="81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5">
        <f t="shared" si="153"/>
        <v>0</v>
      </c>
      <c r="AW276" s="815">
        <f t="shared" si="154"/>
        <v>0</v>
      </c>
      <c r="AX276" s="81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5">
        <f t="shared" si="153"/>
        <v>0</v>
      </c>
      <c r="AW277" s="815">
        <f t="shared" si="154"/>
        <v>0</v>
      </c>
      <c r="AX277" s="81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5">
        <f t="shared" si="153"/>
        <v>0</v>
      </c>
      <c r="AW278" s="815">
        <f t="shared" si="154"/>
        <v>0</v>
      </c>
      <c r="AX278" s="81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5">
        <f t="shared" si="153"/>
        <v>0</v>
      </c>
      <c r="AW279" s="815">
        <f t="shared" si="154"/>
        <v>0</v>
      </c>
      <c r="AX279" s="81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5">
        <f t="shared" si="153"/>
        <v>0</v>
      </c>
      <c r="AW280" s="815">
        <f t="shared" si="154"/>
        <v>0</v>
      </c>
      <c r="AX280" s="81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5">
        <f t="shared" si="153"/>
        <v>0</v>
      </c>
      <c r="AW281" s="815">
        <f t="shared" si="154"/>
        <v>0</v>
      </c>
      <c r="AX281" s="81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5">
        <f t="shared" si="153"/>
        <v>0</v>
      </c>
      <c r="AW282" s="815">
        <f t="shared" si="154"/>
        <v>0</v>
      </c>
      <c r="AX282" s="81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5">
        <f t="shared" si="153"/>
        <v>0</v>
      </c>
      <c r="AW283" s="815">
        <f t="shared" si="154"/>
        <v>0</v>
      </c>
      <c r="AX283" s="81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5">
        <f t="shared" si="153"/>
        <v>0</v>
      </c>
      <c r="AW284" s="815">
        <f t="shared" si="154"/>
        <v>0</v>
      </c>
      <c r="AX284" s="81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5">
        <f t="shared" si="153"/>
        <v>0</v>
      </c>
      <c r="AW285" s="815">
        <f t="shared" si="154"/>
        <v>0</v>
      </c>
      <c r="AX285" s="81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5">
        <f t="shared" si="153"/>
        <v>0</v>
      </c>
      <c r="AW286" s="815">
        <f t="shared" si="154"/>
        <v>0</v>
      </c>
      <c r="AX286" s="81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5">
        <f t="shared" si="153"/>
        <v>0</v>
      </c>
      <c r="AW287" s="815">
        <f t="shared" si="154"/>
        <v>0</v>
      </c>
      <c r="AX287" s="81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5">
        <f t="shared" si="153"/>
        <v>0</v>
      </c>
      <c r="AW288" s="815">
        <f t="shared" si="154"/>
        <v>0</v>
      </c>
      <c r="AX288" s="81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5">
        <f t="shared" si="153"/>
        <v>0</v>
      </c>
      <c r="AW289" s="815">
        <f t="shared" si="154"/>
        <v>0</v>
      </c>
      <c r="AX289" s="81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5">
        <f t="shared" si="153"/>
        <v>0</v>
      </c>
      <c r="AW290" s="815">
        <f t="shared" si="154"/>
        <v>0</v>
      </c>
      <c r="AX290" s="81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5">
        <f t="shared" si="153"/>
        <v>0</v>
      </c>
      <c r="AW291" s="815">
        <f t="shared" si="154"/>
        <v>0</v>
      </c>
      <c r="AX291" s="81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5">
        <f t="shared" si="153"/>
        <v>0</v>
      </c>
      <c r="AW292" s="815">
        <f t="shared" si="154"/>
        <v>0</v>
      </c>
      <c r="AX292" s="81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5">
        <f t="shared" si="153"/>
        <v>0</v>
      </c>
      <c r="AW293" s="815">
        <f t="shared" si="154"/>
        <v>0</v>
      </c>
      <c r="AX293" s="81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5">
        <f t="shared" si="153"/>
        <v>0</v>
      </c>
      <c r="AW294" s="815">
        <f t="shared" si="154"/>
        <v>0</v>
      </c>
      <c r="AX294" s="81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5">
        <f t="shared" si="153"/>
        <v>0</v>
      </c>
      <c r="AW295" s="815">
        <f t="shared" si="154"/>
        <v>0</v>
      </c>
      <c r="AX295" s="81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5">
        <f t="shared" si="153"/>
        <v>0</v>
      </c>
      <c r="AW296" s="815">
        <f t="shared" si="154"/>
        <v>0</v>
      </c>
      <c r="AX296" s="81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6"/>
      <c r="C297" s="1177"/>
      <c r="D297" s="2297"/>
      <c r="E297" s="81">
        <f t="shared" ref="E297:E328" si="203">IF($C$3="是",ROUND($A$3*G297/$B$3,2),ROUND($A$3*(G297-AT297)/$B$3,2))</f>
        <v>0</v>
      </c>
      <c r="F297" s="82"/>
      <c r="G297" s="83">
        <f t="shared" si="178"/>
        <v>0</v>
      </c>
      <c r="H297" s="84">
        <f t="shared" si="179"/>
        <v>0</v>
      </c>
      <c r="I297" s="1177"/>
      <c r="J297" s="85"/>
      <c r="K297" s="1177"/>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8"/>
      <c r="AG297" s="86"/>
      <c r="AH297" s="86"/>
      <c r="AI297" s="86"/>
      <c r="AJ297" s="86"/>
      <c r="AK297" s="86"/>
      <c r="AL297" s="86"/>
      <c r="AM297" s="86"/>
      <c r="AN297" s="1155"/>
      <c r="AO297" s="86"/>
      <c r="AP297" s="86"/>
      <c r="AQ297" s="86"/>
      <c r="AR297" s="86"/>
      <c r="AS297" s="86"/>
      <c r="AT297" s="82"/>
      <c r="AU297" s="87"/>
      <c r="AV297" s="815">
        <f t="shared" ref="AV297:AV328" si="204">A297</f>
        <v>0</v>
      </c>
      <c r="AW297" s="815">
        <f t="shared" ref="AW297:AW328" si="205">B297</f>
        <v>0</v>
      </c>
      <c r="AX297" s="81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6"/>
      <c r="C298" s="1177"/>
      <c r="D298" s="2297"/>
      <c r="E298" s="81">
        <f t="shared" si="203"/>
        <v>0</v>
      </c>
      <c r="F298" s="82"/>
      <c r="G298" s="83">
        <f t="shared" si="178"/>
        <v>0</v>
      </c>
      <c r="H298" s="84">
        <f t="shared" si="179"/>
        <v>0</v>
      </c>
      <c r="I298" s="1177"/>
      <c r="J298" s="85"/>
      <c r="K298" s="1177"/>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8"/>
      <c r="AG298" s="86"/>
      <c r="AH298" s="86"/>
      <c r="AI298" s="86"/>
      <c r="AJ298" s="86"/>
      <c r="AK298" s="86"/>
      <c r="AL298" s="1155"/>
      <c r="AM298" s="86"/>
      <c r="AN298" s="1155"/>
      <c r="AO298" s="86"/>
      <c r="AP298" s="86"/>
      <c r="AQ298" s="86"/>
      <c r="AR298" s="86"/>
      <c r="AS298" s="86"/>
      <c r="AT298" s="82"/>
      <c r="AU298" s="87"/>
      <c r="AV298" s="815">
        <f t="shared" si="204"/>
        <v>0</v>
      </c>
      <c r="AW298" s="815">
        <f t="shared" si="205"/>
        <v>0</v>
      </c>
      <c r="AX298" s="81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6"/>
      <c r="C299" s="1177"/>
      <c r="D299" s="2297"/>
      <c r="E299" s="81">
        <f t="shared" si="203"/>
        <v>0</v>
      </c>
      <c r="F299" s="82"/>
      <c r="G299" s="83">
        <f t="shared" si="178"/>
        <v>0</v>
      </c>
      <c r="H299" s="84">
        <f t="shared" si="179"/>
        <v>0</v>
      </c>
      <c r="I299" s="1177"/>
      <c r="J299" s="85"/>
      <c r="K299" s="1177"/>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8"/>
      <c r="AG299" s="86"/>
      <c r="AH299" s="86"/>
      <c r="AI299" s="86"/>
      <c r="AJ299" s="86"/>
      <c r="AK299" s="86"/>
      <c r="AL299" s="1155"/>
      <c r="AM299" s="86"/>
      <c r="AN299" s="1155"/>
      <c r="AO299" s="86"/>
      <c r="AP299" s="86"/>
      <c r="AQ299" s="86"/>
      <c r="AR299" s="86"/>
      <c r="AS299" s="86"/>
      <c r="AT299" s="82"/>
      <c r="AU299" s="87"/>
      <c r="AV299" s="815">
        <f t="shared" si="204"/>
        <v>0</v>
      </c>
      <c r="AW299" s="815">
        <f t="shared" si="205"/>
        <v>0</v>
      </c>
      <c r="AX299" s="81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6"/>
      <c r="C300" s="1177"/>
      <c r="D300" s="2297"/>
      <c r="E300" s="81">
        <f t="shared" si="203"/>
        <v>0</v>
      </c>
      <c r="F300" s="82"/>
      <c r="G300" s="83">
        <f t="shared" si="178"/>
        <v>0</v>
      </c>
      <c r="H300" s="84">
        <f t="shared" si="179"/>
        <v>0</v>
      </c>
      <c r="I300" s="1177"/>
      <c r="J300" s="85"/>
      <c r="K300" s="1177"/>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8"/>
      <c r="AG300" s="86"/>
      <c r="AH300" s="86"/>
      <c r="AI300" s="86"/>
      <c r="AJ300" s="86"/>
      <c r="AK300" s="86"/>
      <c r="AL300" s="86"/>
      <c r="AM300" s="86"/>
      <c r="AN300" s="1155"/>
      <c r="AO300" s="86"/>
      <c r="AP300" s="86"/>
      <c r="AQ300" s="86"/>
      <c r="AR300" s="86"/>
      <c r="AS300" s="86"/>
      <c r="AT300" s="82"/>
      <c r="AU300" s="87"/>
      <c r="AV300" s="815">
        <f t="shared" si="204"/>
        <v>0</v>
      </c>
      <c r="AW300" s="815">
        <f t="shared" si="205"/>
        <v>0</v>
      </c>
      <c r="AX300" s="81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6"/>
      <c r="C301" s="1177"/>
      <c r="D301" s="2297"/>
      <c r="E301" s="81">
        <f t="shared" si="203"/>
        <v>0</v>
      </c>
      <c r="F301" s="82"/>
      <c r="G301" s="83">
        <f t="shared" si="178"/>
        <v>0</v>
      </c>
      <c r="H301" s="84">
        <f t="shared" si="179"/>
        <v>0</v>
      </c>
      <c r="I301" s="1177"/>
      <c r="J301" s="85"/>
      <c r="K301" s="1177"/>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8"/>
      <c r="AG301" s="86"/>
      <c r="AH301" s="86"/>
      <c r="AI301" s="86"/>
      <c r="AJ301" s="86"/>
      <c r="AK301" s="86"/>
      <c r="AL301" s="86"/>
      <c r="AM301" s="86"/>
      <c r="AN301" s="86"/>
      <c r="AO301" s="86"/>
      <c r="AP301" s="86"/>
      <c r="AQ301" s="86"/>
      <c r="AR301" s="86"/>
      <c r="AS301" s="86"/>
      <c r="AT301" s="82"/>
      <c r="AU301" s="87"/>
      <c r="AV301" s="815">
        <f t="shared" si="204"/>
        <v>0</v>
      </c>
      <c r="AW301" s="815">
        <f t="shared" si="205"/>
        <v>0</v>
      </c>
      <c r="AX301" s="81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6"/>
      <c r="C302" s="1177"/>
      <c r="D302" s="2297"/>
      <c r="E302" s="81">
        <f t="shared" si="203"/>
        <v>0</v>
      </c>
      <c r="F302" s="82"/>
      <c r="G302" s="83">
        <f t="shared" si="178"/>
        <v>0</v>
      </c>
      <c r="H302" s="84">
        <f t="shared" si="179"/>
        <v>0</v>
      </c>
      <c r="I302" s="1177"/>
      <c r="J302" s="85"/>
      <c r="K302" s="1177"/>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8"/>
      <c r="AG302" s="86"/>
      <c r="AH302" s="86"/>
      <c r="AI302" s="86"/>
      <c r="AJ302" s="86"/>
      <c r="AK302" s="86"/>
      <c r="AL302" s="86"/>
      <c r="AM302" s="86"/>
      <c r="AN302" s="86"/>
      <c r="AO302" s="86"/>
      <c r="AP302" s="86"/>
      <c r="AQ302" s="86"/>
      <c r="AR302" s="86"/>
      <c r="AS302" s="86"/>
      <c r="AT302" s="82"/>
      <c r="AU302" s="87"/>
      <c r="AV302" s="815">
        <f t="shared" si="204"/>
        <v>0</v>
      </c>
      <c r="AW302" s="815">
        <f t="shared" si="205"/>
        <v>0</v>
      </c>
      <c r="AX302" s="81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6"/>
      <c r="C303" s="1177"/>
      <c r="D303" s="2297"/>
      <c r="E303" s="81">
        <f t="shared" si="203"/>
        <v>0</v>
      </c>
      <c r="F303" s="82"/>
      <c r="G303" s="83">
        <f t="shared" si="178"/>
        <v>0</v>
      </c>
      <c r="H303" s="84">
        <f t="shared" si="179"/>
        <v>0</v>
      </c>
      <c r="I303" s="1177"/>
      <c r="J303" s="85"/>
      <c r="K303" s="1177"/>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8"/>
      <c r="AG303" s="86"/>
      <c r="AH303" s="86"/>
      <c r="AI303" s="86"/>
      <c r="AJ303" s="86"/>
      <c r="AK303" s="86"/>
      <c r="AL303" s="86"/>
      <c r="AM303" s="86"/>
      <c r="AN303" s="86"/>
      <c r="AO303" s="86"/>
      <c r="AP303" s="86"/>
      <c r="AQ303" s="86"/>
      <c r="AR303" s="86"/>
      <c r="AS303" s="86"/>
      <c r="AT303" s="82"/>
      <c r="AU303" s="87"/>
      <c r="AV303" s="815">
        <f t="shared" si="204"/>
        <v>0</v>
      </c>
      <c r="AW303" s="815">
        <f t="shared" si="205"/>
        <v>0</v>
      </c>
      <c r="AX303" s="81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6"/>
      <c r="C304" s="1177"/>
      <c r="D304" s="2297"/>
      <c r="E304" s="81">
        <f t="shared" si="203"/>
        <v>0</v>
      </c>
      <c r="F304" s="82"/>
      <c r="G304" s="83">
        <f t="shared" si="178"/>
        <v>0</v>
      </c>
      <c r="H304" s="84">
        <f t="shared" si="179"/>
        <v>0</v>
      </c>
      <c r="I304" s="1177"/>
      <c r="J304" s="85"/>
      <c r="K304" s="1177"/>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7"/>
      <c r="AG304" s="86"/>
      <c r="AH304" s="86"/>
      <c r="AI304" s="86"/>
      <c r="AJ304" s="86"/>
      <c r="AK304" s="86"/>
      <c r="AL304" s="86"/>
      <c r="AM304" s="86"/>
      <c r="AN304" s="86"/>
      <c r="AO304" s="86"/>
      <c r="AP304" s="86"/>
      <c r="AQ304" s="86"/>
      <c r="AR304" s="86"/>
      <c r="AS304" s="86"/>
      <c r="AT304" s="82"/>
      <c r="AU304" s="87"/>
      <c r="AV304" s="815">
        <f t="shared" si="204"/>
        <v>0</v>
      </c>
      <c r="AW304" s="815">
        <f t="shared" si="205"/>
        <v>0</v>
      </c>
      <c r="AX304" s="81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6"/>
      <c r="C305" s="1177"/>
      <c r="D305" s="2297"/>
      <c r="E305" s="81">
        <f t="shared" si="203"/>
        <v>0</v>
      </c>
      <c r="F305" s="82"/>
      <c r="G305" s="83">
        <f t="shared" si="178"/>
        <v>0</v>
      </c>
      <c r="H305" s="84">
        <f t="shared" si="179"/>
        <v>0</v>
      </c>
      <c r="I305" s="1177"/>
      <c r="J305" s="85"/>
      <c r="K305" s="1177"/>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7"/>
      <c r="AG305" s="86"/>
      <c r="AH305" s="86"/>
      <c r="AI305" s="86"/>
      <c r="AJ305" s="86"/>
      <c r="AK305" s="86"/>
      <c r="AL305" s="86"/>
      <c r="AM305" s="86"/>
      <c r="AN305" s="86"/>
      <c r="AO305" s="86"/>
      <c r="AP305" s="86"/>
      <c r="AQ305" s="86"/>
      <c r="AR305" s="86"/>
      <c r="AS305" s="86"/>
      <c r="AT305" s="82"/>
      <c r="AU305" s="87"/>
      <c r="AV305" s="815">
        <f t="shared" si="204"/>
        <v>0</v>
      </c>
      <c r="AW305" s="815">
        <f t="shared" si="205"/>
        <v>0</v>
      </c>
      <c r="AX305" s="81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6"/>
      <c r="C306" s="1177"/>
      <c r="D306" s="2297"/>
      <c r="E306" s="81">
        <f t="shared" si="203"/>
        <v>0</v>
      </c>
      <c r="F306" s="82"/>
      <c r="G306" s="83">
        <f t="shared" si="178"/>
        <v>0</v>
      </c>
      <c r="H306" s="84">
        <f t="shared" si="179"/>
        <v>0</v>
      </c>
      <c r="I306" s="1177"/>
      <c r="J306" s="85"/>
      <c r="K306" s="1177"/>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7"/>
      <c r="AG306" s="86"/>
      <c r="AH306" s="86"/>
      <c r="AI306" s="86"/>
      <c r="AJ306" s="86"/>
      <c r="AK306" s="86"/>
      <c r="AL306" s="86"/>
      <c r="AM306" s="86"/>
      <c r="AN306" s="86"/>
      <c r="AO306" s="86"/>
      <c r="AP306" s="86"/>
      <c r="AQ306" s="86"/>
      <c r="AR306" s="86"/>
      <c r="AS306" s="86"/>
      <c r="AT306" s="82"/>
      <c r="AU306" s="87"/>
      <c r="AV306" s="815">
        <f t="shared" si="204"/>
        <v>0</v>
      </c>
      <c r="AW306" s="815">
        <f t="shared" si="205"/>
        <v>0</v>
      </c>
      <c r="AX306" s="81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6"/>
      <c r="C307" s="1177"/>
      <c r="D307" s="2297"/>
      <c r="E307" s="81">
        <f t="shared" si="203"/>
        <v>0</v>
      </c>
      <c r="F307" s="82"/>
      <c r="G307" s="83">
        <f t="shared" si="178"/>
        <v>0</v>
      </c>
      <c r="H307" s="84">
        <f t="shared" si="179"/>
        <v>0</v>
      </c>
      <c r="I307" s="1177"/>
      <c r="J307" s="85"/>
      <c r="K307" s="1177"/>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7"/>
      <c r="AG307" s="86"/>
      <c r="AH307" s="86"/>
      <c r="AI307" s="86"/>
      <c r="AJ307" s="86"/>
      <c r="AK307" s="86"/>
      <c r="AL307" s="86"/>
      <c r="AM307" s="86"/>
      <c r="AN307" s="86"/>
      <c r="AO307" s="86"/>
      <c r="AP307" s="86"/>
      <c r="AQ307" s="86"/>
      <c r="AR307" s="86"/>
      <c r="AS307" s="86"/>
      <c r="AT307" s="82"/>
      <c r="AU307" s="87"/>
      <c r="AV307" s="815">
        <f t="shared" si="204"/>
        <v>0</v>
      </c>
      <c r="AW307" s="815">
        <f t="shared" si="205"/>
        <v>0</v>
      </c>
      <c r="AX307" s="81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6"/>
      <c r="C308" s="1177"/>
      <c r="D308" s="2297"/>
      <c r="E308" s="81">
        <f t="shared" si="203"/>
        <v>0</v>
      </c>
      <c r="F308" s="82"/>
      <c r="G308" s="83">
        <f t="shared" si="178"/>
        <v>0</v>
      </c>
      <c r="H308" s="84">
        <f t="shared" si="179"/>
        <v>0</v>
      </c>
      <c r="I308" s="1177"/>
      <c r="J308" s="85"/>
      <c r="K308" s="1177"/>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7"/>
      <c r="AG308" s="86"/>
      <c r="AH308" s="86"/>
      <c r="AI308" s="86"/>
      <c r="AJ308" s="86"/>
      <c r="AK308" s="86"/>
      <c r="AL308" s="86"/>
      <c r="AM308" s="86"/>
      <c r="AN308" s="86"/>
      <c r="AO308" s="86"/>
      <c r="AP308" s="86"/>
      <c r="AQ308" s="86"/>
      <c r="AR308" s="86"/>
      <c r="AS308" s="86"/>
      <c r="AT308" s="82"/>
      <c r="AU308" s="87"/>
      <c r="AV308" s="815">
        <f t="shared" si="204"/>
        <v>0</v>
      </c>
      <c r="AW308" s="815">
        <f t="shared" si="205"/>
        <v>0</v>
      </c>
      <c r="AX308" s="81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6"/>
      <c r="C309" s="1177"/>
      <c r="D309" s="2297"/>
      <c r="E309" s="81">
        <f t="shared" si="203"/>
        <v>0</v>
      </c>
      <c r="F309" s="82"/>
      <c r="G309" s="83">
        <f t="shared" si="178"/>
        <v>0</v>
      </c>
      <c r="H309" s="84">
        <f t="shared" si="179"/>
        <v>0</v>
      </c>
      <c r="I309" s="1177"/>
      <c r="J309" s="85"/>
      <c r="K309" s="1177"/>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7"/>
      <c r="AG309" s="86"/>
      <c r="AH309" s="86"/>
      <c r="AI309" s="86"/>
      <c r="AJ309" s="86"/>
      <c r="AK309" s="86"/>
      <c r="AL309" s="86"/>
      <c r="AM309" s="86"/>
      <c r="AN309" s="86"/>
      <c r="AO309" s="86"/>
      <c r="AP309" s="86"/>
      <c r="AQ309" s="86"/>
      <c r="AR309" s="86"/>
      <c r="AS309" s="86"/>
      <c r="AT309" s="82"/>
      <c r="AU309" s="87"/>
      <c r="AV309" s="815">
        <f t="shared" si="204"/>
        <v>0</v>
      </c>
      <c r="AW309" s="815">
        <f t="shared" si="205"/>
        <v>0</v>
      </c>
      <c r="AX309" s="81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6"/>
      <c r="C310" s="1177"/>
      <c r="D310" s="2297"/>
      <c r="E310" s="81">
        <f t="shared" si="203"/>
        <v>0</v>
      </c>
      <c r="F310" s="82"/>
      <c r="G310" s="83">
        <f t="shared" si="178"/>
        <v>0</v>
      </c>
      <c r="H310" s="84">
        <f t="shared" si="179"/>
        <v>0</v>
      </c>
      <c r="I310" s="1177"/>
      <c r="J310" s="85"/>
      <c r="K310" s="1177"/>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7"/>
      <c r="AG310" s="86"/>
      <c r="AH310" s="86"/>
      <c r="AI310" s="86"/>
      <c r="AJ310" s="86"/>
      <c r="AK310" s="86"/>
      <c r="AL310" s="86"/>
      <c r="AM310" s="86"/>
      <c r="AN310" s="86"/>
      <c r="AO310" s="86"/>
      <c r="AP310" s="86"/>
      <c r="AQ310" s="86"/>
      <c r="AR310" s="86"/>
      <c r="AS310" s="86"/>
      <c r="AT310" s="82"/>
      <c r="AU310" s="87"/>
      <c r="AV310" s="815">
        <f t="shared" si="204"/>
        <v>0</v>
      </c>
      <c r="AW310" s="815">
        <f t="shared" si="205"/>
        <v>0</v>
      </c>
      <c r="AX310" s="81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6"/>
      <c r="C311" s="1177"/>
      <c r="D311" s="2297"/>
      <c r="E311" s="81">
        <f t="shared" si="203"/>
        <v>0</v>
      </c>
      <c r="F311" s="82"/>
      <c r="G311" s="83">
        <f t="shared" si="178"/>
        <v>0</v>
      </c>
      <c r="H311" s="84">
        <f t="shared" si="179"/>
        <v>0</v>
      </c>
      <c r="I311" s="1177"/>
      <c r="J311" s="85"/>
      <c r="K311" s="1177"/>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7"/>
      <c r="AG311" s="86"/>
      <c r="AH311" s="86"/>
      <c r="AI311" s="86"/>
      <c r="AJ311" s="86"/>
      <c r="AK311" s="86"/>
      <c r="AL311" s="86"/>
      <c r="AM311" s="86"/>
      <c r="AN311" s="86"/>
      <c r="AO311" s="86"/>
      <c r="AP311" s="86"/>
      <c r="AQ311" s="86"/>
      <c r="AR311" s="86"/>
      <c r="AS311" s="86"/>
      <c r="AT311" s="82"/>
      <c r="AU311" s="87"/>
      <c r="AV311" s="815">
        <f t="shared" si="204"/>
        <v>0</v>
      </c>
      <c r="AW311" s="815">
        <f t="shared" si="205"/>
        <v>0</v>
      </c>
      <c r="AX311" s="81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6"/>
      <c r="C312" s="1177"/>
      <c r="D312" s="2297"/>
      <c r="E312" s="81">
        <f t="shared" si="203"/>
        <v>0</v>
      </c>
      <c r="F312" s="82"/>
      <c r="G312" s="83">
        <f t="shared" si="178"/>
        <v>0</v>
      </c>
      <c r="H312" s="84">
        <f t="shared" si="179"/>
        <v>0</v>
      </c>
      <c r="I312" s="1177"/>
      <c r="J312" s="85"/>
      <c r="K312" s="1177"/>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7"/>
      <c r="AG312" s="86"/>
      <c r="AH312" s="86"/>
      <c r="AI312" s="86"/>
      <c r="AJ312" s="86"/>
      <c r="AK312" s="86"/>
      <c r="AL312" s="86"/>
      <c r="AM312" s="86"/>
      <c r="AN312" s="86"/>
      <c r="AO312" s="86"/>
      <c r="AP312" s="86"/>
      <c r="AQ312" s="86"/>
      <c r="AR312" s="86"/>
      <c r="AS312" s="86"/>
      <c r="AT312" s="82"/>
      <c r="AU312" s="87"/>
      <c r="AV312" s="815">
        <f t="shared" si="204"/>
        <v>0</v>
      </c>
      <c r="AW312" s="815">
        <f t="shared" si="205"/>
        <v>0</v>
      </c>
      <c r="AX312" s="81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6"/>
      <c r="C313" s="1177"/>
      <c r="D313" s="2297"/>
      <c r="E313" s="81">
        <f t="shared" si="203"/>
        <v>0</v>
      </c>
      <c r="F313" s="82"/>
      <c r="G313" s="83">
        <f t="shared" si="178"/>
        <v>0</v>
      </c>
      <c r="H313" s="84">
        <f t="shared" si="179"/>
        <v>0</v>
      </c>
      <c r="I313" s="1177"/>
      <c r="J313" s="85"/>
      <c r="K313" s="1177"/>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7"/>
      <c r="AG313" s="86"/>
      <c r="AH313" s="86"/>
      <c r="AI313" s="86"/>
      <c r="AJ313" s="86"/>
      <c r="AK313" s="86"/>
      <c r="AL313" s="86"/>
      <c r="AM313" s="86"/>
      <c r="AN313" s="86"/>
      <c r="AO313" s="86"/>
      <c r="AP313" s="86"/>
      <c r="AQ313" s="86"/>
      <c r="AR313" s="86"/>
      <c r="AS313" s="86"/>
      <c r="AT313" s="82"/>
      <c r="AU313" s="87"/>
      <c r="AV313" s="815">
        <f t="shared" si="204"/>
        <v>0</v>
      </c>
      <c r="AW313" s="815">
        <f t="shared" si="205"/>
        <v>0</v>
      </c>
      <c r="AX313" s="81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6"/>
      <c r="C314" s="1177"/>
      <c r="D314" s="2297"/>
      <c r="E314" s="81">
        <f t="shared" si="203"/>
        <v>0</v>
      </c>
      <c r="F314" s="82"/>
      <c r="G314" s="83">
        <f t="shared" si="178"/>
        <v>0</v>
      </c>
      <c r="H314" s="84">
        <f t="shared" si="179"/>
        <v>0</v>
      </c>
      <c r="I314" s="1177"/>
      <c r="J314" s="85"/>
      <c r="K314" s="1177"/>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7"/>
      <c r="AG314" s="86"/>
      <c r="AH314" s="86"/>
      <c r="AI314" s="86"/>
      <c r="AJ314" s="86"/>
      <c r="AK314" s="86"/>
      <c r="AL314" s="86"/>
      <c r="AM314" s="86"/>
      <c r="AN314" s="86"/>
      <c r="AO314" s="86"/>
      <c r="AP314" s="86"/>
      <c r="AQ314" s="86"/>
      <c r="AR314" s="86"/>
      <c r="AS314" s="86"/>
      <c r="AT314" s="82"/>
      <c r="AU314" s="87"/>
      <c r="AV314" s="815">
        <f t="shared" si="204"/>
        <v>0</v>
      </c>
      <c r="AW314" s="815">
        <f t="shared" si="205"/>
        <v>0</v>
      </c>
      <c r="AX314" s="81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6"/>
      <c r="C315" s="1177"/>
      <c r="D315" s="2297"/>
      <c r="E315" s="81">
        <f t="shared" si="203"/>
        <v>0</v>
      </c>
      <c r="F315" s="82"/>
      <c r="G315" s="83">
        <f t="shared" si="178"/>
        <v>0</v>
      </c>
      <c r="H315" s="84">
        <f t="shared" si="179"/>
        <v>0</v>
      </c>
      <c r="I315" s="1177"/>
      <c r="J315" s="85"/>
      <c r="K315" s="1177"/>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7"/>
      <c r="AG315" s="86"/>
      <c r="AH315" s="86"/>
      <c r="AI315" s="86"/>
      <c r="AJ315" s="86"/>
      <c r="AK315" s="86"/>
      <c r="AL315" s="86"/>
      <c r="AM315" s="86"/>
      <c r="AN315" s="86"/>
      <c r="AO315" s="86"/>
      <c r="AP315" s="86"/>
      <c r="AQ315" s="86"/>
      <c r="AR315" s="86"/>
      <c r="AS315" s="86"/>
      <c r="AT315" s="82"/>
      <c r="AU315" s="87"/>
      <c r="AV315" s="815">
        <f t="shared" si="204"/>
        <v>0</v>
      </c>
      <c r="AW315" s="815">
        <f t="shared" si="205"/>
        <v>0</v>
      </c>
      <c r="AX315" s="81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6"/>
      <c r="C316" s="1177"/>
      <c r="D316" s="2297"/>
      <c r="E316" s="81">
        <f t="shared" si="203"/>
        <v>0</v>
      </c>
      <c r="F316" s="82"/>
      <c r="G316" s="83">
        <f t="shared" si="178"/>
        <v>0</v>
      </c>
      <c r="H316" s="84">
        <f t="shared" si="179"/>
        <v>0</v>
      </c>
      <c r="I316" s="1177"/>
      <c r="J316" s="85"/>
      <c r="K316" s="1177"/>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7"/>
      <c r="AG316" s="86"/>
      <c r="AH316" s="86"/>
      <c r="AI316" s="86"/>
      <c r="AJ316" s="86"/>
      <c r="AK316" s="86"/>
      <c r="AL316" s="86"/>
      <c r="AM316" s="86"/>
      <c r="AN316" s="86"/>
      <c r="AO316" s="86"/>
      <c r="AP316" s="86"/>
      <c r="AQ316" s="86"/>
      <c r="AR316" s="86"/>
      <c r="AS316" s="86"/>
      <c r="AT316" s="82"/>
      <c r="AU316" s="87"/>
      <c r="AV316" s="815">
        <f t="shared" si="204"/>
        <v>0</v>
      </c>
      <c r="AW316" s="815">
        <f t="shared" si="205"/>
        <v>0</v>
      </c>
      <c r="AX316" s="81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6"/>
      <c r="C317" s="1177"/>
      <c r="D317" s="2297"/>
      <c r="E317" s="81">
        <f t="shared" si="203"/>
        <v>0</v>
      </c>
      <c r="F317" s="82"/>
      <c r="G317" s="83">
        <f t="shared" si="178"/>
        <v>0</v>
      </c>
      <c r="H317" s="84">
        <f t="shared" si="179"/>
        <v>0</v>
      </c>
      <c r="I317" s="1177"/>
      <c r="J317" s="85"/>
      <c r="K317" s="1177"/>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7"/>
      <c r="AG317" s="86"/>
      <c r="AH317" s="86"/>
      <c r="AI317" s="86"/>
      <c r="AJ317" s="86"/>
      <c r="AK317" s="86"/>
      <c r="AL317" s="86"/>
      <c r="AM317" s="86"/>
      <c r="AN317" s="86"/>
      <c r="AO317" s="86"/>
      <c r="AP317" s="86"/>
      <c r="AQ317" s="86"/>
      <c r="AR317" s="86"/>
      <c r="AS317" s="86"/>
      <c r="AT317" s="82"/>
      <c r="AU317" s="87"/>
      <c r="AV317" s="815">
        <f t="shared" si="204"/>
        <v>0</v>
      </c>
      <c r="AW317" s="815">
        <f t="shared" si="205"/>
        <v>0</v>
      </c>
      <c r="AX317" s="81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6"/>
      <c r="C318" s="1177"/>
      <c r="D318" s="2297"/>
      <c r="E318" s="81">
        <f t="shared" si="203"/>
        <v>0</v>
      </c>
      <c r="F318" s="82"/>
      <c r="G318" s="83">
        <f t="shared" si="178"/>
        <v>0</v>
      </c>
      <c r="H318" s="84">
        <f t="shared" si="179"/>
        <v>0</v>
      </c>
      <c r="I318" s="1177"/>
      <c r="J318" s="85"/>
      <c r="K318" s="1177"/>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7"/>
      <c r="AG318" s="86"/>
      <c r="AH318" s="86"/>
      <c r="AI318" s="86"/>
      <c r="AJ318" s="86"/>
      <c r="AK318" s="86"/>
      <c r="AL318" s="86"/>
      <c r="AM318" s="86"/>
      <c r="AN318" s="86"/>
      <c r="AO318" s="86"/>
      <c r="AP318" s="86"/>
      <c r="AQ318" s="86"/>
      <c r="AR318" s="86"/>
      <c r="AS318" s="86"/>
      <c r="AT318" s="82"/>
      <c r="AU318" s="87"/>
      <c r="AV318" s="815">
        <f t="shared" si="204"/>
        <v>0</v>
      </c>
      <c r="AW318" s="815">
        <f t="shared" si="205"/>
        <v>0</v>
      </c>
      <c r="AX318" s="81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6"/>
      <c r="C319" s="1177"/>
      <c r="D319" s="2297"/>
      <c r="E319" s="81">
        <f t="shared" si="203"/>
        <v>0</v>
      </c>
      <c r="F319" s="82"/>
      <c r="G319" s="83">
        <f t="shared" si="178"/>
        <v>0</v>
      </c>
      <c r="H319" s="84">
        <f t="shared" si="179"/>
        <v>0</v>
      </c>
      <c r="I319" s="1177"/>
      <c r="J319" s="85"/>
      <c r="K319" s="1177"/>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7"/>
      <c r="AG319" s="86"/>
      <c r="AH319" s="86"/>
      <c r="AI319" s="86"/>
      <c r="AJ319" s="86"/>
      <c r="AK319" s="86"/>
      <c r="AL319" s="86"/>
      <c r="AM319" s="86"/>
      <c r="AN319" s="86"/>
      <c r="AO319" s="86"/>
      <c r="AP319" s="86"/>
      <c r="AQ319" s="86"/>
      <c r="AR319" s="86"/>
      <c r="AS319" s="86"/>
      <c r="AT319" s="82"/>
      <c r="AU319" s="87"/>
      <c r="AV319" s="815">
        <f t="shared" si="204"/>
        <v>0</v>
      </c>
      <c r="AW319" s="815">
        <f t="shared" si="205"/>
        <v>0</v>
      </c>
      <c r="AX319" s="81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6"/>
      <c r="C320" s="1177"/>
      <c r="D320" s="2297"/>
      <c r="E320" s="81">
        <f t="shared" si="203"/>
        <v>0</v>
      </c>
      <c r="F320" s="82"/>
      <c r="G320" s="83">
        <f t="shared" si="178"/>
        <v>0</v>
      </c>
      <c r="H320" s="84">
        <f t="shared" si="179"/>
        <v>0</v>
      </c>
      <c r="I320" s="1177"/>
      <c r="J320" s="85"/>
      <c r="K320" s="1177"/>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7"/>
      <c r="AG320" s="86"/>
      <c r="AH320" s="86"/>
      <c r="AI320" s="86"/>
      <c r="AJ320" s="86"/>
      <c r="AK320" s="86"/>
      <c r="AL320" s="86"/>
      <c r="AM320" s="86"/>
      <c r="AN320" s="86"/>
      <c r="AO320" s="86"/>
      <c r="AP320" s="86"/>
      <c r="AQ320" s="86"/>
      <c r="AR320" s="86"/>
      <c r="AS320" s="86"/>
      <c r="AT320" s="82"/>
      <c r="AU320" s="87"/>
      <c r="AV320" s="815">
        <f t="shared" si="204"/>
        <v>0</v>
      </c>
      <c r="AW320" s="815">
        <f t="shared" si="205"/>
        <v>0</v>
      </c>
      <c r="AX320" s="81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6"/>
      <c r="C321" s="1177"/>
      <c r="D321" s="2297"/>
      <c r="E321" s="81">
        <f t="shared" si="203"/>
        <v>0</v>
      </c>
      <c r="F321" s="82"/>
      <c r="G321" s="83">
        <f t="shared" si="178"/>
        <v>0</v>
      </c>
      <c r="H321" s="84">
        <f t="shared" si="179"/>
        <v>0</v>
      </c>
      <c r="I321" s="1177"/>
      <c r="J321" s="85"/>
      <c r="K321" s="1177"/>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7"/>
      <c r="AG321" s="86"/>
      <c r="AH321" s="86"/>
      <c r="AI321" s="86"/>
      <c r="AJ321" s="86"/>
      <c r="AK321" s="86"/>
      <c r="AL321" s="86"/>
      <c r="AM321" s="86"/>
      <c r="AN321" s="86"/>
      <c r="AO321" s="86"/>
      <c r="AP321" s="86"/>
      <c r="AQ321" s="86"/>
      <c r="AR321" s="86"/>
      <c r="AS321" s="86"/>
      <c r="AT321" s="82"/>
      <c r="AU321" s="87"/>
      <c r="AV321" s="815">
        <f t="shared" si="204"/>
        <v>0</v>
      </c>
      <c r="AW321" s="815">
        <f t="shared" si="205"/>
        <v>0</v>
      </c>
      <c r="AX321" s="81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6"/>
      <c r="C322" s="1177"/>
      <c r="D322" s="2297"/>
      <c r="E322" s="81">
        <f t="shared" si="203"/>
        <v>0</v>
      </c>
      <c r="F322" s="82"/>
      <c r="G322" s="83">
        <f t="shared" si="178"/>
        <v>0</v>
      </c>
      <c r="H322" s="84">
        <f t="shared" si="179"/>
        <v>0</v>
      </c>
      <c r="I322" s="1177"/>
      <c r="J322" s="85"/>
      <c r="K322" s="1177"/>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7"/>
      <c r="AG322" s="86"/>
      <c r="AH322" s="86"/>
      <c r="AI322" s="86"/>
      <c r="AJ322" s="86"/>
      <c r="AK322" s="86"/>
      <c r="AL322" s="86"/>
      <c r="AM322" s="86"/>
      <c r="AN322" s="86"/>
      <c r="AO322" s="86"/>
      <c r="AP322" s="86"/>
      <c r="AQ322" s="86"/>
      <c r="AR322" s="86"/>
      <c r="AS322" s="86"/>
      <c r="AT322" s="82"/>
      <c r="AU322" s="87"/>
      <c r="AV322" s="815">
        <f t="shared" si="204"/>
        <v>0</v>
      </c>
      <c r="AW322" s="815">
        <f t="shared" si="205"/>
        <v>0</v>
      </c>
      <c r="AX322" s="81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6"/>
      <c r="C323" s="1177"/>
      <c r="D323" s="2297"/>
      <c r="E323" s="81">
        <f t="shared" si="203"/>
        <v>0</v>
      </c>
      <c r="F323" s="82"/>
      <c r="G323" s="83">
        <f t="shared" si="178"/>
        <v>0</v>
      </c>
      <c r="H323" s="84">
        <f t="shared" si="179"/>
        <v>0</v>
      </c>
      <c r="I323" s="1177"/>
      <c r="J323" s="85"/>
      <c r="K323" s="1177"/>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7"/>
      <c r="AG323" s="86"/>
      <c r="AH323" s="86"/>
      <c r="AI323" s="86"/>
      <c r="AJ323" s="86"/>
      <c r="AK323" s="86"/>
      <c r="AL323" s="86"/>
      <c r="AM323" s="86"/>
      <c r="AN323" s="86"/>
      <c r="AO323" s="86"/>
      <c r="AP323" s="86"/>
      <c r="AQ323" s="86"/>
      <c r="AR323" s="86"/>
      <c r="AS323" s="86"/>
      <c r="AT323" s="82"/>
      <c r="AU323" s="87"/>
      <c r="AV323" s="815">
        <f t="shared" si="204"/>
        <v>0</v>
      </c>
      <c r="AW323" s="815">
        <f t="shared" si="205"/>
        <v>0</v>
      </c>
      <c r="AX323" s="81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6"/>
      <c r="C324" s="1177"/>
      <c r="D324" s="2297"/>
      <c r="E324" s="81">
        <f t="shared" si="203"/>
        <v>0</v>
      </c>
      <c r="F324" s="82"/>
      <c r="G324" s="83">
        <f t="shared" si="178"/>
        <v>0</v>
      </c>
      <c r="H324" s="84">
        <f t="shared" si="179"/>
        <v>0</v>
      </c>
      <c r="I324" s="1177"/>
      <c r="J324" s="85"/>
      <c r="K324" s="1177"/>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7"/>
      <c r="AG324" s="86"/>
      <c r="AH324" s="86"/>
      <c r="AI324" s="86"/>
      <c r="AJ324" s="86"/>
      <c r="AK324" s="86"/>
      <c r="AL324" s="86"/>
      <c r="AM324" s="86"/>
      <c r="AN324" s="86"/>
      <c r="AO324" s="86"/>
      <c r="AP324" s="86"/>
      <c r="AQ324" s="86"/>
      <c r="AR324" s="86"/>
      <c r="AS324" s="86"/>
      <c r="AT324" s="82"/>
      <c r="AU324" s="87"/>
      <c r="AV324" s="815">
        <f t="shared" si="204"/>
        <v>0</v>
      </c>
      <c r="AW324" s="815">
        <f t="shared" si="205"/>
        <v>0</v>
      </c>
      <c r="AX324" s="81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6"/>
      <c r="C325" s="1177"/>
      <c r="D325" s="2297"/>
      <c r="E325" s="81">
        <f t="shared" si="203"/>
        <v>0</v>
      </c>
      <c r="F325" s="82"/>
      <c r="G325" s="83">
        <f t="shared" si="178"/>
        <v>0</v>
      </c>
      <c r="H325" s="84">
        <f t="shared" si="179"/>
        <v>0</v>
      </c>
      <c r="I325" s="1177"/>
      <c r="J325" s="85"/>
      <c r="K325" s="1177"/>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7"/>
      <c r="AG325" s="86"/>
      <c r="AH325" s="86"/>
      <c r="AI325" s="86"/>
      <c r="AJ325" s="86"/>
      <c r="AK325" s="86"/>
      <c r="AL325" s="86"/>
      <c r="AM325" s="86"/>
      <c r="AN325" s="86"/>
      <c r="AO325" s="86"/>
      <c r="AP325" s="86"/>
      <c r="AQ325" s="86"/>
      <c r="AR325" s="86"/>
      <c r="AS325" s="86"/>
      <c r="AT325" s="82"/>
      <c r="AU325" s="87"/>
      <c r="AV325" s="815">
        <f t="shared" si="204"/>
        <v>0</v>
      </c>
      <c r="AW325" s="815">
        <f t="shared" si="205"/>
        <v>0</v>
      </c>
      <c r="AX325" s="81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6"/>
      <c r="C326" s="1177"/>
      <c r="D326" s="2297"/>
      <c r="E326" s="81">
        <f t="shared" si="203"/>
        <v>0</v>
      </c>
      <c r="F326" s="82"/>
      <c r="G326" s="83">
        <f t="shared" ref="G326:G357" si="207">H326+AC326+AT326</f>
        <v>0</v>
      </c>
      <c r="H326" s="84">
        <f t="shared" ref="H326:H357" si="208">SUMIF(I$12:AB$12,"总值",I326:AB326)</f>
        <v>0</v>
      </c>
      <c r="I326" s="1177"/>
      <c r="J326" s="85"/>
      <c r="K326" s="1177"/>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7"/>
      <c r="AG326" s="86"/>
      <c r="AH326" s="86"/>
      <c r="AI326" s="86"/>
      <c r="AJ326" s="86"/>
      <c r="AK326" s="86"/>
      <c r="AL326" s="86"/>
      <c r="AM326" s="86"/>
      <c r="AN326" s="86"/>
      <c r="AO326" s="86"/>
      <c r="AP326" s="86"/>
      <c r="AQ326" s="86"/>
      <c r="AR326" s="86"/>
      <c r="AS326" s="86"/>
      <c r="AT326" s="82"/>
      <c r="AU326" s="87"/>
      <c r="AV326" s="815">
        <f t="shared" si="204"/>
        <v>0</v>
      </c>
      <c r="AW326" s="815">
        <f t="shared" si="205"/>
        <v>0</v>
      </c>
      <c r="AX326" s="81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6"/>
      <c r="C327" s="1177"/>
      <c r="D327" s="2297"/>
      <c r="E327" s="81">
        <f t="shared" si="203"/>
        <v>0</v>
      </c>
      <c r="F327" s="82"/>
      <c r="G327" s="83">
        <f t="shared" si="207"/>
        <v>0</v>
      </c>
      <c r="H327" s="84">
        <f t="shared" si="208"/>
        <v>0</v>
      </c>
      <c r="I327" s="1177"/>
      <c r="J327" s="85"/>
      <c r="K327" s="1177"/>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7"/>
      <c r="AG327" s="86"/>
      <c r="AH327" s="86"/>
      <c r="AI327" s="86"/>
      <c r="AJ327" s="86"/>
      <c r="AK327" s="86"/>
      <c r="AL327" s="86"/>
      <c r="AM327" s="86"/>
      <c r="AN327" s="86"/>
      <c r="AO327" s="86"/>
      <c r="AP327" s="86"/>
      <c r="AQ327" s="86"/>
      <c r="AR327" s="86"/>
      <c r="AS327" s="86"/>
      <c r="AT327" s="82"/>
      <c r="AU327" s="87"/>
      <c r="AV327" s="815">
        <f t="shared" si="204"/>
        <v>0</v>
      </c>
      <c r="AW327" s="815">
        <f t="shared" si="205"/>
        <v>0</v>
      </c>
      <c r="AX327" s="81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6"/>
      <c r="C328" s="1177"/>
      <c r="D328" s="2297"/>
      <c r="E328" s="81">
        <f t="shared" si="203"/>
        <v>0</v>
      </c>
      <c r="F328" s="82"/>
      <c r="G328" s="83">
        <f t="shared" si="207"/>
        <v>0</v>
      </c>
      <c r="H328" s="84">
        <f t="shared" si="208"/>
        <v>0</v>
      </c>
      <c r="I328" s="1177"/>
      <c r="J328" s="85"/>
      <c r="K328" s="1177"/>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7"/>
      <c r="AG328" s="86"/>
      <c r="AH328" s="86"/>
      <c r="AI328" s="86"/>
      <c r="AJ328" s="86"/>
      <c r="AK328" s="86"/>
      <c r="AL328" s="86"/>
      <c r="AM328" s="86"/>
      <c r="AN328" s="86"/>
      <c r="AO328" s="86"/>
      <c r="AP328" s="86"/>
      <c r="AQ328" s="86"/>
      <c r="AR328" s="86"/>
      <c r="AS328" s="86"/>
      <c r="AT328" s="82"/>
      <c r="AU328" s="87"/>
      <c r="AV328" s="815">
        <f t="shared" si="204"/>
        <v>0</v>
      </c>
      <c r="AW328" s="815">
        <f t="shared" si="205"/>
        <v>0</v>
      </c>
      <c r="AX328" s="81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6"/>
      <c r="C329" s="1177"/>
      <c r="D329" s="2297"/>
      <c r="E329" s="81">
        <f t="shared" ref="E329:E360" si="232">IF($C$3="是",ROUND($A$3*G329/$B$3,2),ROUND($A$3*(G329-AT329)/$B$3,2))</f>
        <v>0</v>
      </c>
      <c r="F329" s="82"/>
      <c r="G329" s="83">
        <f t="shared" si="207"/>
        <v>0</v>
      </c>
      <c r="H329" s="84">
        <f t="shared" si="208"/>
        <v>0</v>
      </c>
      <c r="I329" s="1177"/>
      <c r="J329" s="85"/>
      <c r="K329" s="1177"/>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7"/>
      <c r="AG329" s="86"/>
      <c r="AH329" s="86"/>
      <c r="AI329" s="86"/>
      <c r="AJ329" s="86"/>
      <c r="AK329" s="86"/>
      <c r="AL329" s="86"/>
      <c r="AM329" s="86"/>
      <c r="AN329" s="86"/>
      <c r="AO329" s="86"/>
      <c r="AP329" s="86"/>
      <c r="AQ329" s="86"/>
      <c r="AR329" s="86"/>
      <c r="AS329" s="86"/>
      <c r="AT329" s="82"/>
      <c r="AU329" s="87"/>
      <c r="AV329" s="815">
        <f t="shared" ref="AV329:AV360" si="233">A329</f>
        <v>0</v>
      </c>
      <c r="AW329" s="815">
        <f t="shared" ref="AW329:AW360" si="234">B329</f>
        <v>0</v>
      </c>
      <c r="AX329" s="81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6"/>
      <c r="C330" s="1177"/>
      <c r="D330" s="2297"/>
      <c r="E330" s="81">
        <f t="shared" si="232"/>
        <v>0</v>
      </c>
      <c r="F330" s="82"/>
      <c r="G330" s="83">
        <f t="shared" si="207"/>
        <v>0</v>
      </c>
      <c r="H330" s="84">
        <f t="shared" si="208"/>
        <v>0</v>
      </c>
      <c r="I330" s="1177"/>
      <c r="J330" s="85"/>
      <c r="K330" s="1177"/>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7"/>
      <c r="AG330" s="86"/>
      <c r="AH330" s="86"/>
      <c r="AI330" s="86"/>
      <c r="AJ330" s="86"/>
      <c r="AK330" s="86"/>
      <c r="AL330" s="86"/>
      <c r="AM330" s="86"/>
      <c r="AN330" s="86"/>
      <c r="AO330" s="86"/>
      <c r="AP330" s="86"/>
      <c r="AQ330" s="86"/>
      <c r="AR330" s="86"/>
      <c r="AS330" s="86"/>
      <c r="AT330" s="82"/>
      <c r="AU330" s="87"/>
      <c r="AV330" s="815">
        <f t="shared" si="233"/>
        <v>0</v>
      </c>
      <c r="AW330" s="815">
        <f t="shared" si="234"/>
        <v>0</v>
      </c>
      <c r="AX330" s="81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6"/>
      <c r="C331" s="1177"/>
      <c r="D331" s="2297"/>
      <c r="E331" s="81">
        <f t="shared" si="232"/>
        <v>0</v>
      </c>
      <c r="F331" s="82"/>
      <c r="G331" s="83">
        <f t="shared" si="207"/>
        <v>0</v>
      </c>
      <c r="H331" s="84">
        <f t="shared" si="208"/>
        <v>0</v>
      </c>
      <c r="I331" s="1177"/>
      <c r="J331" s="85"/>
      <c r="K331" s="1177"/>
      <c r="L331" s="85"/>
      <c r="M331" s="1177"/>
      <c r="N331" s="85"/>
      <c r="O331" s="85"/>
      <c r="P331" s="85"/>
      <c r="Q331" s="85"/>
      <c r="R331" s="85"/>
      <c r="S331" s="85"/>
      <c r="T331" s="85"/>
      <c r="U331" s="85"/>
      <c r="V331" s="85"/>
      <c r="W331" s="85"/>
      <c r="X331" s="85"/>
      <c r="Y331" s="85"/>
      <c r="Z331" s="85"/>
      <c r="AA331" s="85"/>
      <c r="AB331" s="85"/>
      <c r="AC331" s="81">
        <f t="shared" si="209"/>
        <v>0</v>
      </c>
      <c r="AD331" s="86"/>
      <c r="AE331" s="86"/>
      <c r="AF331" s="1177"/>
      <c r="AG331" s="86"/>
      <c r="AH331" s="86"/>
      <c r="AI331" s="86"/>
      <c r="AJ331" s="86"/>
      <c r="AK331" s="86"/>
      <c r="AL331" s="86"/>
      <c r="AM331" s="86"/>
      <c r="AN331" s="86"/>
      <c r="AO331" s="86"/>
      <c r="AP331" s="86"/>
      <c r="AQ331" s="86"/>
      <c r="AR331" s="86"/>
      <c r="AS331" s="86"/>
      <c r="AT331" s="82"/>
      <c r="AU331" s="87"/>
      <c r="AV331" s="815">
        <f t="shared" si="233"/>
        <v>0</v>
      </c>
      <c r="AW331" s="815">
        <f t="shared" si="234"/>
        <v>0</v>
      </c>
      <c r="AX331" s="81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5">
        <f t="shared" si="233"/>
        <v>0</v>
      </c>
      <c r="AW332" s="815">
        <f t="shared" si="234"/>
        <v>0</v>
      </c>
      <c r="AX332" s="81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5">
        <f t="shared" si="233"/>
        <v>0</v>
      </c>
      <c r="AW333" s="815">
        <f t="shared" si="234"/>
        <v>0</v>
      </c>
      <c r="AX333" s="81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5">
        <f t="shared" si="233"/>
        <v>0</v>
      </c>
      <c r="AW334" s="815">
        <f t="shared" si="234"/>
        <v>0</v>
      </c>
      <c r="AX334" s="81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5">
        <f t="shared" si="233"/>
        <v>0</v>
      </c>
      <c r="AW335" s="815">
        <f t="shared" si="234"/>
        <v>0</v>
      </c>
      <c r="AX335" s="81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5">
        <f t="shared" si="233"/>
        <v>0</v>
      </c>
      <c r="AW336" s="815">
        <f t="shared" si="234"/>
        <v>0</v>
      </c>
      <c r="AX336" s="81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5">
        <f t="shared" si="233"/>
        <v>0</v>
      </c>
      <c r="AW337" s="815">
        <f t="shared" si="234"/>
        <v>0</v>
      </c>
      <c r="AX337" s="81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5">
        <f t="shared" si="233"/>
        <v>0</v>
      </c>
      <c r="AW338" s="815">
        <f t="shared" si="234"/>
        <v>0</v>
      </c>
      <c r="AX338" s="81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5">
        <f t="shared" si="233"/>
        <v>0</v>
      </c>
      <c r="AW339" s="815">
        <f t="shared" si="234"/>
        <v>0</v>
      </c>
      <c r="AX339" s="81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5">
        <f t="shared" si="233"/>
        <v>0</v>
      </c>
      <c r="AW340" s="815">
        <f t="shared" si="234"/>
        <v>0</v>
      </c>
      <c r="AX340" s="81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5">
        <f t="shared" si="233"/>
        <v>0</v>
      </c>
      <c r="AW341" s="815">
        <f t="shared" si="234"/>
        <v>0</v>
      </c>
      <c r="AX341" s="81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5">
        <f t="shared" si="233"/>
        <v>0</v>
      </c>
      <c r="AW342" s="815">
        <f t="shared" si="234"/>
        <v>0</v>
      </c>
      <c r="AX342" s="81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5">
        <f t="shared" si="233"/>
        <v>0</v>
      </c>
      <c r="AW343" s="815">
        <f t="shared" si="234"/>
        <v>0</v>
      </c>
      <c r="AX343" s="81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5">
        <f t="shared" si="233"/>
        <v>0</v>
      </c>
      <c r="AW344" s="815">
        <f t="shared" si="234"/>
        <v>0</v>
      </c>
      <c r="AX344" s="81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5">
        <f t="shared" si="233"/>
        <v>0</v>
      </c>
      <c r="AW345" s="815">
        <f t="shared" si="234"/>
        <v>0</v>
      </c>
      <c r="AX345" s="81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5">
        <f t="shared" si="233"/>
        <v>0</v>
      </c>
      <c r="AW346" s="815">
        <f t="shared" si="234"/>
        <v>0</v>
      </c>
      <c r="AX346" s="81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5">
        <f t="shared" si="233"/>
        <v>0</v>
      </c>
      <c r="AW347" s="815">
        <f t="shared" si="234"/>
        <v>0</v>
      </c>
      <c r="AX347" s="81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5">
        <f t="shared" si="233"/>
        <v>0</v>
      </c>
      <c r="AW348" s="815">
        <f t="shared" si="234"/>
        <v>0</v>
      </c>
      <c r="AX348" s="81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5">
        <f t="shared" si="233"/>
        <v>0</v>
      </c>
      <c r="AW349" s="815">
        <f t="shared" si="234"/>
        <v>0</v>
      </c>
      <c r="AX349" s="81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5">
        <f t="shared" si="233"/>
        <v>0</v>
      </c>
      <c r="AW350" s="815">
        <f t="shared" si="234"/>
        <v>0</v>
      </c>
      <c r="AX350" s="81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5">
        <f t="shared" si="233"/>
        <v>0</v>
      </c>
      <c r="AW351" s="815">
        <f t="shared" si="234"/>
        <v>0</v>
      </c>
      <c r="AX351" s="81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5">
        <f t="shared" si="233"/>
        <v>0</v>
      </c>
      <c r="AW352" s="815">
        <f t="shared" si="234"/>
        <v>0</v>
      </c>
      <c r="AX352" s="81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5">
        <f t="shared" si="233"/>
        <v>0</v>
      </c>
      <c r="AW353" s="815">
        <f t="shared" si="234"/>
        <v>0</v>
      </c>
      <c r="AX353" s="81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5">
        <f t="shared" si="233"/>
        <v>0</v>
      </c>
      <c r="AW354" s="815">
        <f t="shared" si="234"/>
        <v>0</v>
      </c>
      <c r="AX354" s="81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5">
        <f t="shared" si="233"/>
        <v>0</v>
      </c>
      <c r="AW355" s="815">
        <f t="shared" si="234"/>
        <v>0</v>
      </c>
      <c r="AX355" s="81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5">
        <f t="shared" si="233"/>
        <v>0</v>
      </c>
      <c r="AW356" s="815">
        <f t="shared" si="234"/>
        <v>0</v>
      </c>
      <c r="AX356" s="81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5">
        <f t="shared" si="233"/>
        <v>0</v>
      </c>
      <c r="AW357" s="815">
        <f t="shared" si="234"/>
        <v>0</v>
      </c>
      <c r="AX357" s="81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5">
        <f t="shared" si="233"/>
        <v>0</v>
      </c>
      <c r="AW358" s="815">
        <f t="shared" si="234"/>
        <v>0</v>
      </c>
      <c r="AX358" s="81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5">
        <f t="shared" si="233"/>
        <v>0</v>
      </c>
      <c r="AW359" s="815">
        <f t="shared" si="234"/>
        <v>0</v>
      </c>
      <c r="AX359" s="81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5">
        <f t="shared" si="233"/>
        <v>0</v>
      </c>
      <c r="AW360" s="815">
        <f t="shared" si="234"/>
        <v>0</v>
      </c>
      <c r="AX360" s="81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5">
        <f t="shared" ref="AV361:AV388" si="262">A361</f>
        <v>0</v>
      </c>
      <c r="AW361" s="815">
        <f t="shared" ref="AW361:AW388" si="263">B361</f>
        <v>0</v>
      </c>
      <c r="AX361" s="81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5">
        <f t="shared" si="262"/>
        <v>0</v>
      </c>
      <c r="AW362" s="815">
        <f t="shared" si="263"/>
        <v>0</v>
      </c>
      <c r="AX362" s="81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5">
        <f t="shared" si="262"/>
        <v>0</v>
      </c>
      <c r="AW363" s="815">
        <f t="shared" si="263"/>
        <v>0</v>
      </c>
      <c r="AX363" s="81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5">
        <f t="shared" si="262"/>
        <v>0</v>
      </c>
      <c r="AW364" s="815">
        <f t="shared" si="263"/>
        <v>0</v>
      </c>
      <c r="AX364" s="81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5">
        <f t="shared" si="262"/>
        <v>0</v>
      </c>
      <c r="AW365" s="815">
        <f t="shared" si="263"/>
        <v>0</v>
      </c>
      <c r="AX365" s="81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5">
        <f t="shared" si="262"/>
        <v>0</v>
      </c>
      <c r="AW366" s="815">
        <f t="shared" si="263"/>
        <v>0</v>
      </c>
      <c r="AX366" s="81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5">
        <f t="shared" si="262"/>
        <v>0</v>
      </c>
      <c r="AW367" s="815">
        <f t="shared" si="263"/>
        <v>0</v>
      </c>
      <c r="AX367" s="81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5">
        <f t="shared" si="262"/>
        <v>0</v>
      </c>
      <c r="AW368" s="815">
        <f t="shared" si="263"/>
        <v>0</v>
      </c>
      <c r="AX368" s="81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5">
        <f t="shared" si="262"/>
        <v>0</v>
      </c>
      <c r="AW369" s="815">
        <f t="shared" si="263"/>
        <v>0</v>
      </c>
      <c r="AX369" s="81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5">
        <f t="shared" si="262"/>
        <v>0</v>
      </c>
      <c r="AW370" s="815">
        <f t="shared" si="263"/>
        <v>0</v>
      </c>
      <c r="AX370" s="81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5">
        <f t="shared" si="262"/>
        <v>0</v>
      </c>
      <c r="AW371" s="815">
        <f t="shared" si="263"/>
        <v>0</v>
      </c>
      <c r="AX371" s="81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5">
        <f t="shared" si="262"/>
        <v>0</v>
      </c>
      <c r="AW372" s="815">
        <f t="shared" si="263"/>
        <v>0</v>
      </c>
      <c r="AX372" s="81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5">
        <f t="shared" si="262"/>
        <v>0</v>
      </c>
      <c r="AW373" s="815">
        <f t="shared" si="263"/>
        <v>0</v>
      </c>
      <c r="AX373" s="81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5">
        <f t="shared" si="262"/>
        <v>0</v>
      </c>
      <c r="AW374" s="815">
        <f t="shared" si="263"/>
        <v>0</v>
      </c>
      <c r="AX374" s="81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5">
        <f t="shared" si="262"/>
        <v>0</v>
      </c>
      <c r="AW375" s="815">
        <f t="shared" si="263"/>
        <v>0</v>
      </c>
      <c r="AX375" s="81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5">
        <f t="shared" si="262"/>
        <v>0</v>
      </c>
      <c r="AW376" s="815">
        <f t="shared" si="263"/>
        <v>0</v>
      </c>
      <c r="AX376" s="81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5">
        <f t="shared" si="262"/>
        <v>0</v>
      </c>
      <c r="AW377" s="815">
        <f t="shared" si="263"/>
        <v>0</v>
      </c>
      <c r="AX377" s="81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5">
        <f t="shared" si="262"/>
        <v>0</v>
      </c>
      <c r="AW378" s="815">
        <f t="shared" si="263"/>
        <v>0</v>
      </c>
      <c r="AX378" s="81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5">
        <f t="shared" si="262"/>
        <v>0</v>
      </c>
      <c r="AW379" s="815">
        <f t="shared" si="263"/>
        <v>0</v>
      </c>
      <c r="AX379" s="81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5">
        <f t="shared" si="262"/>
        <v>0</v>
      </c>
      <c r="AW380" s="815">
        <f t="shared" si="263"/>
        <v>0</v>
      </c>
      <c r="AX380" s="81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5">
        <f t="shared" si="262"/>
        <v>0</v>
      </c>
      <c r="AW381" s="815">
        <f t="shared" si="263"/>
        <v>0</v>
      </c>
      <c r="AX381" s="81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5">
        <f t="shared" si="262"/>
        <v>0</v>
      </c>
      <c r="AW382" s="815">
        <f t="shared" si="263"/>
        <v>0</v>
      </c>
      <c r="AX382" s="81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5">
        <f t="shared" si="262"/>
        <v>0</v>
      </c>
      <c r="AW383" s="815">
        <f t="shared" si="263"/>
        <v>0</v>
      </c>
      <c r="AX383" s="81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5">
        <f t="shared" si="262"/>
        <v>0</v>
      </c>
      <c r="AW384" s="815">
        <f t="shared" si="263"/>
        <v>0</v>
      </c>
      <c r="AX384" s="81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5">
        <f t="shared" si="262"/>
        <v>0</v>
      </c>
      <c r="AW385" s="815">
        <f t="shared" si="263"/>
        <v>0</v>
      </c>
      <c r="AX385" s="81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5">
        <f t="shared" si="262"/>
        <v>0</v>
      </c>
      <c r="AW386" s="815">
        <f t="shared" si="263"/>
        <v>0</v>
      </c>
      <c r="AX386" s="81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5">
        <f t="shared" si="262"/>
        <v>0</v>
      </c>
      <c r="AW387" s="815">
        <f t="shared" si="263"/>
        <v>0</v>
      </c>
      <c r="AX387" s="81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5">
        <f t="shared" si="262"/>
        <v>0</v>
      </c>
      <c r="AW388" s="815">
        <f t="shared" si="263"/>
        <v>0</v>
      </c>
      <c r="AX388" s="81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6"/>
      <c r="C389" s="1177"/>
      <c r="D389" s="2297"/>
      <c r="E389" s="81">
        <f t="shared" ref="E389:E480" si="265">IF($C$3="是",ROUND($A$3*G389/$B$3,2),ROUND($A$3*(G389-AT389)/$B$3,2))</f>
        <v>0</v>
      </c>
      <c r="F389" s="82"/>
      <c r="G389" s="83">
        <f t="shared" ref="G389:G477" si="266">H389+AC389+AT389</f>
        <v>0</v>
      </c>
      <c r="H389" s="84">
        <f t="shared" ref="H389:H477" si="267">SUMIF(I$12:AB$12,"总值",I389:AB389)</f>
        <v>0</v>
      </c>
      <c r="I389" s="1177"/>
      <c r="J389" s="85"/>
      <c r="K389" s="1177"/>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8"/>
      <c r="AG389" s="86"/>
      <c r="AH389" s="86"/>
      <c r="AI389" s="86"/>
      <c r="AJ389" s="86"/>
      <c r="AK389" s="86"/>
      <c r="AL389" s="86"/>
      <c r="AM389" s="86"/>
      <c r="AN389" s="1155"/>
      <c r="AO389" s="86"/>
      <c r="AP389" s="86"/>
      <c r="AQ389" s="86"/>
      <c r="AR389" s="86"/>
      <c r="AS389" s="86"/>
      <c r="AT389" s="82"/>
      <c r="AU389" s="87"/>
      <c r="AV389" s="815">
        <f t="shared" ref="AV389:AV480" si="269">A389</f>
        <v>0</v>
      </c>
      <c r="AW389" s="815">
        <f t="shared" ref="AW389:AW480" si="270">B389</f>
        <v>0</v>
      </c>
      <c r="AX389" s="81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6"/>
      <c r="C390" s="1177"/>
      <c r="D390" s="2297"/>
      <c r="E390" s="81">
        <f t="shared" si="265"/>
        <v>0</v>
      </c>
      <c r="F390" s="82"/>
      <c r="G390" s="83">
        <f t="shared" si="266"/>
        <v>0</v>
      </c>
      <c r="H390" s="84">
        <f t="shared" si="267"/>
        <v>0</v>
      </c>
      <c r="I390" s="1177"/>
      <c r="J390" s="85"/>
      <c r="K390" s="1177"/>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8"/>
      <c r="AG390" s="86"/>
      <c r="AH390" s="86"/>
      <c r="AI390" s="86"/>
      <c r="AJ390" s="86"/>
      <c r="AK390" s="86"/>
      <c r="AL390" s="1155"/>
      <c r="AM390" s="86"/>
      <c r="AN390" s="1155"/>
      <c r="AO390" s="86"/>
      <c r="AP390" s="86"/>
      <c r="AQ390" s="86"/>
      <c r="AR390" s="86"/>
      <c r="AS390" s="86"/>
      <c r="AT390" s="82"/>
      <c r="AU390" s="87"/>
      <c r="AV390" s="815">
        <f t="shared" si="269"/>
        <v>0</v>
      </c>
      <c r="AW390" s="815">
        <f t="shared" si="270"/>
        <v>0</v>
      </c>
      <c r="AX390" s="81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6"/>
      <c r="C391" s="1177"/>
      <c r="D391" s="2297"/>
      <c r="E391" s="81">
        <f t="shared" si="265"/>
        <v>0</v>
      </c>
      <c r="F391" s="82"/>
      <c r="G391" s="83">
        <f t="shared" si="266"/>
        <v>0</v>
      </c>
      <c r="H391" s="84">
        <f t="shared" si="267"/>
        <v>0</v>
      </c>
      <c r="I391" s="1177"/>
      <c r="J391" s="85"/>
      <c r="K391" s="1177"/>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8"/>
      <c r="AG391" s="86"/>
      <c r="AH391" s="86"/>
      <c r="AI391" s="86"/>
      <c r="AJ391" s="86"/>
      <c r="AK391" s="86"/>
      <c r="AL391" s="1155"/>
      <c r="AM391" s="86"/>
      <c r="AN391" s="1155"/>
      <c r="AO391" s="86"/>
      <c r="AP391" s="86"/>
      <c r="AQ391" s="86"/>
      <c r="AR391" s="86"/>
      <c r="AS391" s="86"/>
      <c r="AT391" s="82"/>
      <c r="AU391" s="87"/>
      <c r="AV391" s="815">
        <f t="shared" si="269"/>
        <v>0</v>
      </c>
      <c r="AW391" s="815">
        <f t="shared" si="270"/>
        <v>0</v>
      </c>
      <c r="AX391" s="81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6"/>
      <c r="C392" s="1177"/>
      <c r="D392" s="2297"/>
      <c r="E392" s="81">
        <f t="shared" si="265"/>
        <v>0</v>
      </c>
      <c r="F392" s="82"/>
      <c r="G392" s="83">
        <f t="shared" si="266"/>
        <v>0</v>
      </c>
      <c r="H392" s="84">
        <f t="shared" si="267"/>
        <v>0</v>
      </c>
      <c r="I392" s="1177"/>
      <c r="J392" s="85"/>
      <c r="K392" s="1177"/>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8"/>
      <c r="AG392" s="86"/>
      <c r="AH392" s="86"/>
      <c r="AI392" s="86"/>
      <c r="AJ392" s="86"/>
      <c r="AK392" s="86"/>
      <c r="AL392" s="86"/>
      <c r="AM392" s="86"/>
      <c r="AN392" s="1155"/>
      <c r="AO392" s="86"/>
      <c r="AP392" s="86"/>
      <c r="AQ392" s="86"/>
      <c r="AR392" s="86"/>
      <c r="AS392" s="86"/>
      <c r="AT392" s="82"/>
      <c r="AU392" s="87"/>
      <c r="AV392" s="815">
        <f t="shared" si="269"/>
        <v>0</v>
      </c>
      <c r="AW392" s="815">
        <f t="shared" si="270"/>
        <v>0</v>
      </c>
      <c r="AX392" s="81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6"/>
      <c r="C393" s="1177"/>
      <c r="D393" s="2297"/>
      <c r="E393" s="81">
        <f t="shared" si="265"/>
        <v>0</v>
      </c>
      <c r="F393" s="82"/>
      <c r="G393" s="83">
        <f t="shared" si="266"/>
        <v>0</v>
      </c>
      <c r="H393" s="84">
        <f t="shared" si="267"/>
        <v>0</v>
      </c>
      <c r="I393" s="1177"/>
      <c r="J393" s="85"/>
      <c r="K393" s="1177"/>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8"/>
      <c r="AG393" s="86"/>
      <c r="AH393" s="86"/>
      <c r="AI393" s="86"/>
      <c r="AJ393" s="86"/>
      <c r="AK393" s="86"/>
      <c r="AL393" s="86"/>
      <c r="AM393" s="86"/>
      <c r="AN393" s="86"/>
      <c r="AO393" s="86"/>
      <c r="AP393" s="86"/>
      <c r="AQ393" s="86"/>
      <c r="AR393" s="86"/>
      <c r="AS393" s="86"/>
      <c r="AT393" s="82"/>
      <c r="AU393" s="87"/>
      <c r="AV393" s="815">
        <f t="shared" si="269"/>
        <v>0</v>
      </c>
      <c r="AW393" s="815">
        <f t="shared" si="270"/>
        <v>0</v>
      </c>
      <c r="AX393" s="81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6"/>
      <c r="C394" s="1177"/>
      <c r="D394" s="2297"/>
      <c r="E394" s="81">
        <f t="shared" si="265"/>
        <v>0</v>
      </c>
      <c r="F394" s="82"/>
      <c r="G394" s="83">
        <f t="shared" si="266"/>
        <v>0</v>
      </c>
      <c r="H394" s="84">
        <f t="shared" si="267"/>
        <v>0</v>
      </c>
      <c r="I394" s="1177"/>
      <c r="J394" s="85"/>
      <c r="K394" s="1177"/>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8"/>
      <c r="AG394" s="86"/>
      <c r="AH394" s="86"/>
      <c r="AI394" s="86"/>
      <c r="AJ394" s="86"/>
      <c r="AK394" s="86"/>
      <c r="AL394" s="86"/>
      <c r="AM394" s="86"/>
      <c r="AN394" s="86"/>
      <c r="AO394" s="86"/>
      <c r="AP394" s="86"/>
      <c r="AQ394" s="86"/>
      <c r="AR394" s="86"/>
      <c r="AS394" s="86"/>
      <c r="AT394" s="82"/>
      <c r="AU394" s="87"/>
      <c r="AV394" s="815">
        <f t="shared" si="269"/>
        <v>0</v>
      </c>
      <c r="AW394" s="815">
        <f t="shared" si="270"/>
        <v>0</v>
      </c>
      <c r="AX394" s="81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6"/>
      <c r="C395" s="1177"/>
      <c r="D395" s="2297"/>
      <c r="E395" s="81">
        <f t="shared" si="265"/>
        <v>0</v>
      </c>
      <c r="F395" s="82"/>
      <c r="G395" s="83">
        <f t="shared" si="266"/>
        <v>0</v>
      </c>
      <c r="H395" s="84">
        <f t="shared" si="267"/>
        <v>0</v>
      </c>
      <c r="I395" s="1177"/>
      <c r="J395" s="85"/>
      <c r="K395" s="1177"/>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8"/>
      <c r="AG395" s="86"/>
      <c r="AH395" s="86"/>
      <c r="AI395" s="86"/>
      <c r="AJ395" s="86"/>
      <c r="AK395" s="86"/>
      <c r="AL395" s="86"/>
      <c r="AM395" s="86"/>
      <c r="AN395" s="86"/>
      <c r="AO395" s="86"/>
      <c r="AP395" s="86"/>
      <c r="AQ395" s="86"/>
      <c r="AR395" s="86"/>
      <c r="AS395" s="86"/>
      <c r="AT395" s="82"/>
      <c r="AU395" s="87"/>
      <c r="AV395" s="815">
        <f t="shared" si="269"/>
        <v>0</v>
      </c>
      <c r="AW395" s="815">
        <f t="shared" si="270"/>
        <v>0</v>
      </c>
      <c r="AX395" s="81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6"/>
      <c r="C396" s="1177"/>
      <c r="D396" s="2297"/>
      <c r="E396" s="81">
        <f t="shared" si="265"/>
        <v>0</v>
      </c>
      <c r="F396" s="82"/>
      <c r="G396" s="83">
        <f t="shared" si="266"/>
        <v>0</v>
      </c>
      <c r="H396" s="84">
        <f t="shared" si="267"/>
        <v>0</v>
      </c>
      <c r="I396" s="1177"/>
      <c r="J396" s="85"/>
      <c r="K396" s="1177"/>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7"/>
      <c r="AG396" s="86"/>
      <c r="AH396" s="86"/>
      <c r="AI396" s="86"/>
      <c r="AJ396" s="86"/>
      <c r="AK396" s="86"/>
      <c r="AL396" s="86"/>
      <c r="AM396" s="86"/>
      <c r="AN396" s="86"/>
      <c r="AO396" s="86"/>
      <c r="AP396" s="86"/>
      <c r="AQ396" s="86"/>
      <c r="AR396" s="86"/>
      <c r="AS396" s="86"/>
      <c r="AT396" s="82"/>
      <c r="AU396" s="87"/>
      <c r="AV396" s="815">
        <f t="shared" si="269"/>
        <v>0</v>
      </c>
      <c r="AW396" s="815">
        <f t="shared" si="270"/>
        <v>0</v>
      </c>
      <c r="AX396" s="81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6"/>
      <c r="C397" s="1177"/>
      <c r="D397" s="2297"/>
      <c r="E397" s="81">
        <f t="shared" si="265"/>
        <v>0</v>
      </c>
      <c r="F397" s="82"/>
      <c r="G397" s="83">
        <f t="shared" si="266"/>
        <v>0</v>
      </c>
      <c r="H397" s="84">
        <f t="shared" si="267"/>
        <v>0</v>
      </c>
      <c r="I397" s="1177"/>
      <c r="J397" s="85"/>
      <c r="K397" s="1177"/>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7"/>
      <c r="AG397" s="86"/>
      <c r="AH397" s="86"/>
      <c r="AI397" s="86"/>
      <c r="AJ397" s="86"/>
      <c r="AK397" s="86"/>
      <c r="AL397" s="86"/>
      <c r="AM397" s="86"/>
      <c r="AN397" s="86"/>
      <c r="AO397" s="86"/>
      <c r="AP397" s="86"/>
      <c r="AQ397" s="86"/>
      <c r="AR397" s="86"/>
      <c r="AS397" s="86"/>
      <c r="AT397" s="82"/>
      <c r="AU397" s="87"/>
      <c r="AV397" s="815">
        <f t="shared" si="269"/>
        <v>0</v>
      </c>
      <c r="AW397" s="815">
        <f t="shared" si="270"/>
        <v>0</v>
      </c>
      <c r="AX397" s="81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6"/>
      <c r="C398" s="1177"/>
      <c r="D398" s="2297"/>
      <c r="E398" s="81">
        <f t="shared" si="265"/>
        <v>0</v>
      </c>
      <c r="F398" s="82"/>
      <c r="G398" s="83">
        <f t="shared" si="266"/>
        <v>0</v>
      </c>
      <c r="H398" s="84">
        <f t="shared" si="267"/>
        <v>0</v>
      </c>
      <c r="I398" s="1177"/>
      <c r="J398" s="85"/>
      <c r="K398" s="1177"/>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7"/>
      <c r="AG398" s="86"/>
      <c r="AH398" s="86"/>
      <c r="AI398" s="86"/>
      <c r="AJ398" s="86"/>
      <c r="AK398" s="86"/>
      <c r="AL398" s="86"/>
      <c r="AM398" s="86"/>
      <c r="AN398" s="86"/>
      <c r="AO398" s="86"/>
      <c r="AP398" s="86"/>
      <c r="AQ398" s="86"/>
      <c r="AR398" s="86"/>
      <c r="AS398" s="86"/>
      <c r="AT398" s="82"/>
      <c r="AU398" s="87"/>
      <c r="AV398" s="815">
        <f t="shared" si="269"/>
        <v>0</v>
      </c>
      <c r="AW398" s="815">
        <f t="shared" si="270"/>
        <v>0</v>
      </c>
      <c r="AX398" s="81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6"/>
      <c r="C399" s="1177"/>
      <c r="D399" s="2297"/>
      <c r="E399" s="81">
        <f t="shared" si="265"/>
        <v>0</v>
      </c>
      <c r="F399" s="82"/>
      <c r="G399" s="83">
        <f t="shared" si="266"/>
        <v>0</v>
      </c>
      <c r="H399" s="84">
        <f t="shared" si="267"/>
        <v>0</v>
      </c>
      <c r="I399" s="1177"/>
      <c r="J399" s="85"/>
      <c r="K399" s="1177"/>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7"/>
      <c r="AG399" s="86"/>
      <c r="AH399" s="86"/>
      <c r="AI399" s="86"/>
      <c r="AJ399" s="86"/>
      <c r="AK399" s="86"/>
      <c r="AL399" s="86"/>
      <c r="AM399" s="86"/>
      <c r="AN399" s="86"/>
      <c r="AO399" s="86"/>
      <c r="AP399" s="86"/>
      <c r="AQ399" s="86"/>
      <c r="AR399" s="86"/>
      <c r="AS399" s="86"/>
      <c r="AT399" s="82"/>
      <c r="AU399" s="87"/>
      <c r="AV399" s="815">
        <f t="shared" si="269"/>
        <v>0</v>
      </c>
      <c r="AW399" s="815">
        <f t="shared" si="270"/>
        <v>0</v>
      </c>
      <c r="AX399" s="81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6"/>
      <c r="C400" s="1177"/>
      <c r="D400" s="2297"/>
      <c r="E400" s="81">
        <f t="shared" si="265"/>
        <v>0</v>
      </c>
      <c r="F400" s="82"/>
      <c r="G400" s="83">
        <f t="shared" si="266"/>
        <v>0</v>
      </c>
      <c r="H400" s="84">
        <f t="shared" si="267"/>
        <v>0</v>
      </c>
      <c r="I400" s="1177"/>
      <c r="J400" s="85"/>
      <c r="K400" s="1177"/>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7"/>
      <c r="AG400" s="86"/>
      <c r="AH400" s="86"/>
      <c r="AI400" s="86"/>
      <c r="AJ400" s="86"/>
      <c r="AK400" s="86"/>
      <c r="AL400" s="86"/>
      <c r="AM400" s="86"/>
      <c r="AN400" s="86"/>
      <c r="AO400" s="86"/>
      <c r="AP400" s="86"/>
      <c r="AQ400" s="86"/>
      <c r="AR400" s="86"/>
      <c r="AS400" s="86"/>
      <c r="AT400" s="82"/>
      <c r="AU400" s="87"/>
      <c r="AV400" s="815">
        <f t="shared" si="269"/>
        <v>0</v>
      </c>
      <c r="AW400" s="815">
        <f t="shared" si="270"/>
        <v>0</v>
      </c>
      <c r="AX400" s="81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6"/>
      <c r="C401" s="1177"/>
      <c r="D401" s="2297"/>
      <c r="E401" s="81">
        <f t="shared" si="265"/>
        <v>0</v>
      </c>
      <c r="F401" s="82"/>
      <c r="G401" s="83">
        <f t="shared" si="266"/>
        <v>0</v>
      </c>
      <c r="H401" s="84">
        <f t="shared" si="267"/>
        <v>0</v>
      </c>
      <c r="I401" s="1177"/>
      <c r="J401" s="85"/>
      <c r="K401" s="1177"/>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7"/>
      <c r="AG401" s="86"/>
      <c r="AH401" s="86"/>
      <c r="AI401" s="86"/>
      <c r="AJ401" s="86"/>
      <c r="AK401" s="86"/>
      <c r="AL401" s="86"/>
      <c r="AM401" s="86"/>
      <c r="AN401" s="86"/>
      <c r="AO401" s="86"/>
      <c r="AP401" s="86"/>
      <c r="AQ401" s="86"/>
      <c r="AR401" s="86"/>
      <c r="AS401" s="86"/>
      <c r="AT401" s="82"/>
      <c r="AU401" s="87"/>
      <c r="AV401" s="815">
        <f t="shared" si="269"/>
        <v>0</v>
      </c>
      <c r="AW401" s="815">
        <f t="shared" si="270"/>
        <v>0</v>
      </c>
      <c r="AX401" s="81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6"/>
      <c r="C402" s="1177"/>
      <c r="D402" s="2297"/>
      <c r="E402" s="81">
        <f t="shared" si="265"/>
        <v>0</v>
      </c>
      <c r="F402" s="82"/>
      <c r="G402" s="83">
        <f t="shared" si="266"/>
        <v>0</v>
      </c>
      <c r="H402" s="84">
        <f t="shared" si="267"/>
        <v>0</v>
      </c>
      <c r="I402" s="1177"/>
      <c r="J402" s="85"/>
      <c r="K402" s="1177"/>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7"/>
      <c r="AG402" s="86"/>
      <c r="AH402" s="86"/>
      <c r="AI402" s="86"/>
      <c r="AJ402" s="86"/>
      <c r="AK402" s="86"/>
      <c r="AL402" s="86"/>
      <c r="AM402" s="86"/>
      <c r="AN402" s="86"/>
      <c r="AO402" s="86"/>
      <c r="AP402" s="86"/>
      <c r="AQ402" s="86"/>
      <c r="AR402" s="86"/>
      <c r="AS402" s="86"/>
      <c r="AT402" s="82"/>
      <c r="AU402" s="87"/>
      <c r="AV402" s="815">
        <f t="shared" si="269"/>
        <v>0</v>
      </c>
      <c r="AW402" s="815">
        <f t="shared" si="270"/>
        <v>0</v>
      </c>
      <c r="AX402" s="81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6"/>
      <c r="C403" s="1177"/>
      <c r="D403" s="2297"/>
      <c r="E403" s="81">
        <f t="shared" si="265"/>
        <v>0</v>
      </c>
      <c r="F403" s="82"/>
      <c r="G403" s="83">
        <f t="shared" si="266"/>
        <v>0</v>
      </c>
      <c r="H403" s="84">
        <f t="shared" si="267"/>
        <v>0</v>
      </c>
      <c r="I403" s="1177"/>
      <c r="J403" s="85"/>
      <c r="K403" s="1177"/>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7"/>
      <c r="AG403" s="86"/>
      <c r="AH403" s="86"/>
      <c r="AI403" s="86"/>
      <c r="AJ403" s="86"/>
      <c r="AK403" s="86"/>
      <c r="AL403" s="86"/>
      <c r="AM403" s="86"/>
      <c r="AN403" s="86"/>
      <c r="AO403" s="86"/>
      <c r="AP403" s="86"/>
      <c r="AQ403" s="86"/>
      <c r="AR403" s="86"/>
      <c r="AS403" s="86"/>
      <c r="AT403" s="82"/>
      <c r="AU403" s="87"/>
      <c r="AV403" s="815">
        <f t="shared" si="269"/>
        <v>0</v>
      </c>
      <c r="AW403" s="815">
        <f t="shared" si="270"/>
        <v>0</v>
      </c>
      <c r="AX403" s="81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6"/>
      <c r="C404" s="1177"/>
      <c r="D404" s="2297"/>
      <c r="E404" s="81">
        <f t="shared" si="265"/>
        <v>0</v>
      </c>
      <c r="F404" s="82"/>
      <c r="G404" s="83">
        <f t="shared" si="266"/>
        <v>0</v>
      </c>
      <c r="H404" s="84">
        <f t="shared" si="267"/>
        <v>0</v>
      </c>
      <c r="I404" s="1177"/>
      <c r="J404" s="85"/>
      <c r="K404" s="1177"/>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7"/>
      <c r="AG404" s="86"/>
      <c r="AH404" s="86"/>
      <c r="AI404" s="86"/>
      <c r="AJ404" s="86"/>
      <c r="AK404" s="86"/>
      <c r="AL404" s="86"/>
      <c r="AM404" s="86"/>
      <c r="AN404" s="86"/>
      <c r="AO404" s="86"/>
      <c r="AP404" s="86"/>
      <c r="AQ404" s="86"/>
      <c r="AR404" s="86"/>
      <c r="AS404" s="86"/>
      <c r="AT404" s="82"/>
      <c r="AU404" s="87"/>
      <c r="AV404" s="815">
        <f t="shared" si="269"/>
        <v>0</v>
      </c>
      <c r="AW404" s="815">
        <f t="shared" si="270"/>
        <v>0</v>
      </c>
      <c r="AX404" s="81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6"/>
      <c r="C405" s="1177"/>
      <c r="D405" s="2297"/>
      <c r="E405" s="81">
        <f t="shared" si="265"/>
        <v>0</v>
      </c>
      <c r="F405" s="82"/>
      <c r="G405" s="83">
        <f t="shared" si="266"/>
        <v>0</v>
      </c>
      <c r="H405" s="84">
        <f t="shared" si="267"/>
        <v>0</v>
      </c>
      <c r="I405" s="1177"/>
      <c r="J405" s="85"/>
      <c r="K405" s="1177"/>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7"/>
      <c r="AG405" s="86"/>
      <c r="AH405" s="86"/>
      <c r="AI405" s="86"/>
      <c r="AJ405" s="86"/>
      <c r="AK405" s="86"/>
      <c r="AL405" s="86"/>
      <c r="AM405" s="86"/>
      <c r="AN405" s="86"/>
      <c r="AO405" s="86"/>
      <c r="AP405" s="86"/>
      <c r="AQ405" s="86"/>
      <c r="AR405" s="86"/>
      <c r="AS405" s="86"/>
      <c r="AT405" s="82"/>
      <c r="AU405" s="87"/>
      <c r="AV405" s="815">
        <f t="shared" si="269"/>
        <v>0</v>
      </c>
      <c r="AW405" s="815">
        <f t="shared" si="270"/>
        <v>0</v>
      </c>
      <c r="AX405" s="81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6"/>
      <c r="C406" s="1177"/>
      <c r="D406" s="2297"/>
      <c r="E406" s="81">
        <f t="shared" si="265"/>
        <v>0</v>
      </c>
      <c r="F406" s="82"/>
      <c r="G406" s="83">
        <f t="shared" si="266"/>
        <v>0</v>
      </c>
      <c r="H406" s="84">
        <f t="shared" si="267"/>
        <v>0</v>
      </c>
      <c r="I406" s="1177"/>
      <c r="J406" s="85"/>
      <c r="K406" s="1177"/>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7"/>
      <c r="AG406" s="86"/>
      <c r="AH406" s="86"/>
      <c r="AI406" s="86"/>
      <c r="AJ406" s="86"/>
      <c r="AK406" s="86"/>
      <c r="AL406" s="86"/>
      <c r="AM406" s="86"/>
      <c r="AN406" s="86"/>
      <c r="AO406" s="86"/>
      <c r="AP406" s="86"/>
      <c r="AQ406" s="86"/>
      <c r="AR406" s="86"/>
      <c r="AS406" s="86"/>
      <c r="AT406" s="82"/>
      <c r="AU406" s="87"/>
      <c r="AV406" s="815">
        <f t="shared" si="269"/>
        <v>0</v>
      </c>
      <c r="AW406" s="815">
        <f t="shared" si="270"/>
        <v>0</v>
      </c>
      <c r="AX406" s="81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6"/>
      <c r="C407" s="1177"/>
      <c r="D407" s="2297"/>
      <c r="E407" s="81">
        <f t="shared" si="265"/>
        <v>0</v>
      </c>
      <c r="F407" s="82"/>
      <c r="G407" s="83">
        <f t="shared" si="266"/>
        <v>0</v>
      </c>
      <c r="H407" s="84">
        <f t="shared" si="267"/>
        <v>0</v>
      </c>
      <c r="I407" s="1177"/>
      <c r="J407" s="85"/>
      <c r="K407" s="1177"/>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7"/>
      <c r="AG407" s="86"/>
      <c r="AH407" s="86"/>
      <c r="AI407" s="86"/>
      <c r="AJ407" s="86"/>
      <c r="AK407" s="86"/>
      <c r="AL407" s="86"/>
      <c r="AM407" s="86"/>
      <c r="AN407" s="86"/>
      <c r="AO407" s="86"/>
      <c r="AP407" s="86"/>
      <c r="AQ407" s="86"/>
      <c r="AR407" s="86"/>
      <c r="AS407" s="86"/>
      <c r="AT407" s="82"/>
      <c r="AU407" s="87"/>
      <c r="AV407" s="815">
        <f t="shared" si="269"/>
        <v>0</v>
      </c>
      <c r="AW407" s="815">
        <f t="shared" si="270"/>
        <v>0</v>
      </c>
      <c r="AX407" s="81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6"/>
      <c r="C408" s="1177"/>
      <c r="D408" s="2297"/>
      <c r="E408" s="81">
        <f t="shared" si="265"/>
        <v>0</v>
      </c>
      <c r="F408" s="82"/>
      <c r="G408" s="83">
        <f t="shared" si="266"/>
        <v>0</v>
      </c>
      <c r="H408" s="84">
        <f t="shared" si="267"/>
        <v>0</v>
      </c>
      <c r="I408" s="1177"/>
      <c r="J408" s="85"/>
      <c r="K408" s="1177"/>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7"/>
      <c r="AG408" s="86"/>
      <c r="AH408" s="86"/>
      <c r="AI408" s="86"/>
      <c r="AJ408" s="86"/>
      <c r="AK408" s="86"/>
      <c r="AL408" s="86"/>
      <c r="AM408" s="86"/>
      <c r="AN408" s="86"/>
      <c r="AO408" s="86"/>
      <c r="AP408" s="86"/>
      <c r="AQ408" s="86"/>
      <c r="AR408" s="86"/>
      <c r="AS408" s="86"/>
      <c r="AT408" s="82"/>
      <c r="AU408" s="87"/>
      <c r="AV408" s="815">
        <f t="shared" si="269"/>
        <v>0</v>
      </c>
      <c r="AW408" s="815">
        <f t="shared" si="270"/>
        <v>0</v>
      </c>
      <c r="AX408" s="81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6"/>
      <c r="C409" s="1177"/>
      <c r="D409" s="2297"/>
      <c r="E409" s="81">
        <f t="shared" si="265"/>
        <v>0</v>
      </c>
      <c r="F409" s="82"/>
      <c r="G409" s="83">
        <f t="shared" si="266"/>
        <v>0</v>
      </c>
      <c r="H409" s="84">
        <f t="shared" si="267"/>
        <v>0</v>
      </c>
      <c r="I409" s="1177"/>
      <c r="J409" s="85"/>
      <c r="K409" s="1177"/>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7"/>
      <c r="AG409" s="86"/>
      <c r="AH409" s="86"/>
      <c r="AI409" s="86"/>
      <c r="AJ409" s="86"/>
      <c r="AK409" s="86"/>
      <c r="AL409" s="86"/>
      <c r="AM409" s="86"/>
      <c r="AN409" s="86"/>
      <c r="AO409" s="86"/>
      <c r="AP409" s="86"/>
      <c r="AQ409" s="86"/>
      <c r="AR409" s="86"/>
      <c r="AS409" s="86"/>
      <c r="AT409" s="82"/>
      <c r="AU409" s="87"/>
      <c r="AV409" s="815">
        <f t="shared" si="269"/>
        <v>0</v>
      </c>
      <c r="AW409" s="815">
        <f t="shared" si="270"/>
        <v>0</v>
      </c>
      <c r="AX409" s="81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6"/>
      <c r="C410" s="1177"/>
      <c r="D410" s="2297"/>
      <c r="E410" s="81">
        <f t="shared" si="265"/>
        <v>0</v>
      </c>
      <c r="F410" s="82"/>
      <c r="G410" s="83">
        <f t="shared" si="266"/>
        <v>0</v>
      </c>
      <c r="H410" s="84">
        <f t="shared" si="267"/>
        <v>0</v>
      </c>
      <c r="I410" s="1177"/>
      <c r="J410" s="85"/>
      <c r="K410" s="1177"/>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7"/>
      <c r="AG410" s="86"/>
      <c r="AH410" s="86"/>
      <c r="AI410" s="86"/>
      <c r="AJ410" s="86"/>
      <c r="AK410" s="86"/>
      <c r="AL410" s="86"/>
      <c r="AM410" s="86"/>
      <c r="AN410" s="86"/>
      <c r="AO410" s="86"/>
      <c r="AP410" s="86"/>
      <c r="AQ410" s="86"/>
      <c r="AR410" s="86"/>
      <c r="AS410" s="86"/>
      <c r="AT410" s="82"/>
      <c r="AU410" s="87"/>
      <c r="AV410" s="815">
        <f t="shared" si="269"/>
        <v>0</v>
      </c>
      <c r="AW410" s="815">
        <f t="shared" si="270"/>
        <v>0</v>
      </c>
      <c r="AX410" s="81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6"/>
      <c r="C411" s="1177"/>
      <c r="D411" s="2297"/>
      <c r="E411" s="81">
        <f t="shared" si="265"/>
        <v>0</v>
      </c>
      <c r="F411" s="82"/>
      <c r="G411" s="83">
        <f t="shared" si="266"/>
        <v>0</v>
      </c>
      <c r="H411" s="84">
        <f t="shared" si="267"/>
        <v>0</v>
      </c>
      <c r="I411" s="1177"/>
      <c r="J411" s="85"/>
      <c r="K411" s="1177"/>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7"/>
      <c r="AG411" s="86"/>
      <c r="AH411" s="86"/>
      <c r="AI411" s="86"/>
      <c r="AJ411" s="86"/>
      <c r="AK411" s="86"/>
      <c r="AL411" s="86"/>
      <c r="AM411" s="86"/>
      <c r="AN411" s="86"/>
      <c r="AO411" s="86"/>
      <c r="AP411" s="86"/>
      <c r="AQ411" s="86"/>
      <c r="AR411" s="86"/>
      <c r="AS411" s="86"/>
      <c r="AT411" s="82"/>
      <c r="AU411" s="87"/>
      <c r="AV411" s="815">
        <f t="shared" si="269"/>
        <v>0</v>
      </c>
      <c r="AW411" s="815">
        <f t="shared" si="270"/>
        <v>0</v>
      </c>
      <c r="AX411" s="81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6"/>
      <c r="C412" s="1177"/>
      <c r="D412" s="2297"/>
      <c r="E412" s="81">
        <f t="shared" si="265"/>
        <v>0</v>
      </c>
      <c r="F412" s="82"/>
      <c r="G412" s="83">
        <f t="shared" si="266"/>
        <v>0</v>
      </c>
      <c r="H412" s="84">
        <f t="shared" si="267"/>
        <v>0</v>
      </c>
      <c r="I412" s="1177"/>
      <c r="J412" s="85"/>
      <c r="K412" s="1177"/>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7"/>
      <c r="AG412" s="86"/>
      <c r="AH412" s="86"/>
      <c r="AI412" s="86"/>
      <c r="AJ412" s="86"/>
      <c r="AK412" s="86"/>
      <c r="AL412" s="86"/>
      <c r="AM412" s="86"/>
      <c r="AN412" s="86"/>
      <c r="AO412" s="86"/>
      <c r="AP412" s="86"/>
      <c r="AQ412" s="86"/>
      <c r="AR412" s="86"/>
      <c r="AS412" s="86"/>
      <c r="AT412" s="82"/>
      <c r="AU412" s="87"/>
      <c r="AV412" s="815">
        <f t="shared" si="269"/>
        <v>0</v>
      </c>
      <c r="AW412" s="815">
        <f t="shared" si="270"/>
        <v>0</v>
      </c>
      <c r="AX412" s="81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6"/>
      <c r="C413" s="1177"/>
      <c r="D413" s="2297"/>
      <c r="E413" s="81">
        <f t="shared" si="265"/>
        <v>0</v>
      </c>
      <c r="F413" s="82"/>
      <c r="G413" s="83">
        <f t="shared" si="266"/>
        <v>0</v>
      </c>
      <c r="H413" s="84">
        <f t="shared" si="267"/>
        <v>0</v>
      </c>
      <c r="I413" s="1177"/>
      <c r="J413" s="85"/>
      <c r="K413" s="1177"/>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7"/>
      <c r="AG413" s="86"/>
      <c r="AH413" s="86"/>
      <c r="AI413" s="86"/>
      <c r="AJ413" s="86"/>
      <c r="AK413" s="86"/>
      <c r="AL413" s="86"/>
      <c r="AM413" s="86"/>
      <c r="AN413" s="86"/>
      <c r="AO413" s="86"/>
      <c r="AP413" s="86"/>
      <c r="AQ413" s="86"/>
      <c r="AR413" s="86"/>
      <c r="AS413" s="86"/>
      <c r="AT413" s="82"/>
      <c r="AU413" s="87"/>
      <c r="AV413" s="815">
        <f t="shared" si="269"/>
        <v>0</v>
      </c>
      <c r="AW413" s="815">
        <f t="shared" si="270"/>
        <v>0</v>
      </c>
      <c r="AX413" s="81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6"/>
      <c r="C414" s="1177"/>
      <c r="D414" s="2297"/>
      <c r="E414" s="81">
        <f t="shared" si="265"/>
        <v>0</v>
      </c>
      <c r="F414" s="82"/>
      <c r="G414" s="83">
        <f t="shared" si="266"/>
        <v>0</v>
      </c>
      <c r="H414" s="84">
        <f t="shared" si="267"/>
        <v>0</v>
      </c>
      <c r="I414" s="1177"/>
      <c r="J414" s="85"/>
      <c r="K414" s="1177"/>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7"/>
      <c r="AG414" s="86"/>
      <c r="AH414" s="86"/>
      <c r="AI414" s="86"/>
      <c r="AJ414" s="86"/>
      <c r="AK414" s="86"/>
      <c r="AL414" s="86"/>
      <c r="AM414" s="86"/>
      <c r="AN414" s="86"/>
      <c r="AO414" s="86"/>
      <c r="AP414" s="86"/>
      <c r="AQ414" s="86"/>
      <c r="AR414" s="86"/>
      <c r="AS414" s="86"/>
      <c r="AT414" s="82"/>
      <c r="AU414" s="87"/>
      <c r="AV414" s="815">
        <f t="shared" si="269"/>
        <v>0</v>
      </c>
      <c r="AW414" s="815">
        <f t="shared" si="270"/>
        <v>0</v>
      </c>
      <c r="AX414" s="81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6"/>
      <c r="C415" s="1177"/>
      <c r="D415" s="2297"/>
      <c r="E415" s="81">
        <f t="shared" si="265"/>
        <v>0</v>
      </c>
      <c r="F415" s="82"/>
      <c r="G415" s="83">
        <f t="shared" si="266"/>
        <v>0</v>
      </c>
      <c r="H415" s="84">
        <f t="shared" si="267"/>
        <v>0</v>
      </c>
      <c r="I415" s="1177"/>
      <c r="J415" s="85"/>
      <c r="K415" s="1177"/>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7"/>
      <c r="AG415" s="86"/>
      <c r="AH415" s="86"/>
      <c r="AI415" s="86"/>
      <c r="AJ415" s="86"/>
      <c r="AK415" s="86"/>
      <c r="AL415" s="86"/>
      <c r="AM415" s="86"/>
      <c r="AN415" s="86"/>
      <c r="AO415" s="86"/>
      <c r="AP415" s="86"/>
      <c r="AQ415" s="86"/>
      <c r="AR415" s="86"/>
      <c r="AS415" s="86"/>
      <c r="AT415" s="82"/>
      <c r="AU415" s="87"/>
      <c r="AV415" s="815">
        <f t="shared" si="269"/>
        <v>0</v>
      </c>
      <c r="AW415" s="815">
        <f t="shared" si="270"/>
        <v>0</v>
      </c>
      <c r="AX415" s="81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6"/>
      <c r="C416" s="1177"/>
      <c r="D416" s="2297"/>
      <c r="E416" s="81">
        <f t="shared" si="265"/>
        <v>0</v>
      </c>
      <c r="F416" s="82"/>
      <c r="G416" s="83">
        <f t="shared" si="266"/>
        <v>0</v>
      </c>
      <c r="H416" s="84">
        <f t="shared" si="267"/>
        <v>0</v>
      </c>
      <c r="I416" s="1177"/>
      <c r="J416" s="85"/>
      <c r="K416" s="1177"/>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7"/>
      <c r="AG416" s="86"/>
      <c r="AH416" s="86"/>
      <c r="AI416" s="86"/>
      <c r="AJ416" s="86"/>
      <c r="AK416" s="86"/>
      <c r="AL416" s="86"/>
      <c r="AM416" s="86"/>
      <c r="AN416" s="86"/>
      <c r="AO416" s="86"/>
      <c r="AP416" s="86"/>
      <c r="AQ416" s="86"/>
      <c r="AR416" s="86"/>
      <c r="AS416" s="86"/>
      <c r="AT416" s="82"/>
      <c r="AU416" s="87"/>
      <c r="AV416" s="815">
        <f t="shared" si="269"/>
        <v>0</v>
      </c>
      <c r="AW416" s="815">
        <f t="shared" si="270"/>
        <v>0</v>
      </c>
      <c r="AX416" s="81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6"/>
      <c r="C417" s="1177"/>
      <c r="D417" s="2297"/>
      <c r="E417" s="81">
        <f t="shared" si="265"/>
        <v>0</v>
      </c>
      <c r="F417" s="82"/>
      <c r="G417" s="83">
        <f t="shared" si="266"/>
        <v>0</v>
      </c>
      <c r="H417" s="84">
        <f t="shared" si="267"/>
        <v>0</v>
      </c>
      <c r="I417" s="1177"/>
      <c r="J417" s="85"/>
      <c r="K417" s="1177"/>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7"/>
      <c r="AG417" s="86"/>
      <c r="AH417" s="86"/>
      <c r="AI417" s="86"/>
      <c r="AJ417" s="86"/>
      <c r="AK417" s="86"/>
      <c r="AL417" s="86"/>
      <c r="AM417" s="86"/>
      <c r="AN417" s="86"/>
      <c r="AO417" s="86"/>
      <c r="AP417" s="86"/>
      <c r="AQ417" s="86"/>
      <c r="AR417" s="86"/>
      <c r="AS417" s="86"/>
      <c r="AT417" s="82"/>
      <c r="AU417" s="87"/>
      <c r="AV417" s="815">
        <f t="shared" si="269"/>
        <v>0</v>
      </c>
      <c r="AW417" s="815">
        <f t="shared" si="270"/>
        <v>0</v>
      </c>
      <c r="AX417" s="81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6"/>
      <c r="C418" s="1177"/>
      <c r="D418" s="2297"/>
      <c r="E418" s="81">
        <f t="shared" si="265"/>
        <v>0</v>
      </c>
      <c r="F418" s="82"/>
      <c r="G418" s="83">
        <f t="shared" si="266"/>
        <v>0</v>
      </c>
      <c r="H418" s="84">
        <f t="shared" si="267"/>
        <v>0</v>
      </c>
      <c r="I418" s="1177"/>
      <c r="J418" s="85"/>
      <c r="K418" s="1177"/>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7"/>
      <c r="AG418" s="86"/>
      <c r="AH418" s="86"/>
      <c r="AI418" s="86"/>
      <c r="AJ418" s="86"/>
      <c r="AK418" s="86"/>
      <c r="AL418" s="86"/>
      <c r="AM418" s="86"/>
      <c r="AN418" s="86"/>
      <c r="AO418" s="86"/>
      <c r="AP418" s="86"/>
      <c r="AQ418" s="86"/>
      <c r="AR418" s="86"/>
      <c r="AS418" s="86"/>
      <c r="AT418" s="82"/>
      <c r="AU418" s="87"/>
      <c r="AV418" s="815">
        <f t="shared" si="269"/>
        <v>0</v>
      </c>
      <c r="AW418" s="815">
        <f t="shared" si="270"/>
        <v>0</v>
      </c>
      <c r="AX418" s="81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6"/>
      <c r="C419" s="1177"/>
      <c r="D419" s="2297"/>
      <c r="E419" s="81">
        <f t="shared" si="265"/>
        <v>0</v>
      </c>
      <c r="F419" s="82"/>
      <c r="G419" s="83">
        <f t="shared" si="266"/>
        <v>0</v>
      </c>
      <c r="H419" s="84">
        <f t="shared" si="267"/>
        <v>0</v>
      </c>
      <c r="I419" s="1177"/>
      <c r="J419" s="85"/>
      <c r="K419" s="1177"/>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7"/>
      <c r="AG419" s="86"/>
      <c r="AH419" s="86"/>
      <c r="AI419" s="86"/>
      <c r="AJ419" s="86"/>
      <c r="AK419" s="86"/>
      <c r="AL419" s="86"/>
      <c r="AM419" s="86"/>
      <c r="AN419" s="86"/>
      <c r="AO419" s="86"/>
      <c r="AP419" s="86"/>
      <c r="AQ419" s="86"/>
      <c r="AR419" s="86"/>
      <c r="AS419" s="86"/>
      <c r="AT419" s="82"/>
      <c r="AU419" s="87"/>
      <c r="AV419" s="815">
        <f t="shared" si="269"/>
        <v>0</v>
      </c>
      <c r="AW419" s="815">
        <f t="shared" si="270"/>
        <v>0</v>
      </c>
      <c r="AX419" s="81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6"/>
      <c r="C420" s="1177"/>
      <c r="D420" s="2297"/>
      <c r="E420" s="81">
        <f t="shared" si="265"/>
        <v>0</v>
      </c>
      <c r="F420" s="82"/>
      <c r="G420" s="83">
        <f t="shared" si="266"/>
        <v>0</v>
      </c>
      <c r="H420" s="84">
        <f t="shared" si="267"/>
        <v>0</v>
      </c>
      <c r="I420" s="1177"/>
      <c r="J420" s="85"/>
      <c r="K420" s="1177"/>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7"/>
      <c r="AG420" s="86"/>
      <c r="AH420" s="86"/>
      <c r="AI420" s="86"/>
      <c r="AJ420" s="86"/>
      <c r="AK420" s="86"/>
      <c r="AL420" s="86"/>
      <c r="AM420" s="86"/>
      <c r="AN420" s="86"/>
      <c r="AO420" s="86"/>
      <c r="AP420" s="86"/>
      <c r="AQ420" s="86"/>
      <c r="AR420" s="86"/>
      <c r="AS420" s="86"/>
      <c r="AT420" s="82"/>
      <c r="AU420" s="87"/>
      <c r="AV420" s="815">
        <f t="shared" si="269"/>
        <v>0</v>
      </c>
      <c r="AW420" s="815">
        <f t="shared" si="270"/>
        <v>0</v>
      </c>
      <c r="AX420" s="81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6"/>
      <c r="C421" s="1177"/>
      <c r="D421" s="2297"/>
      <c r="E421" s="81">
        <f t="shared" si="265"/>
        <v>0</v>
      </c>
      <c r="F421" s="82"/>
      <c r="G421" s="83">
        <f t="shared" si="266"/>
        <v>0</v>
      </c>
      <c r="H421" s="84">
        <f t="shared" si="267"/>
        <v>0</v>
      </c>
      <c r="I421" s="1177"/>
      <c r="J421" s="85"/>
      <c r="K421" s="1177"/>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7"/>
      <c r="AG421" s="86"/>
      <c r="AH421" s="86"/>
      <c r="AI421" s="86"/>
      <c r="AJ421" s="86"/>
      <c r="AK421" s="86"/>
      <c r="AL421" s="86"/>
      <c r="AM421" s="86"/>
      <c r="AN421" s="86"/>
      <c r="AO421" s="86"/>
      <c r="AP421" s="86"/>
      <c r="AQ421" s="86"/>
      <c r="AR421" s="86"/>
      <c r="AS421" s="86"/>
      <c r="AT421" s="82"/>
      <c r="AU421" s="87"/>
      <c r="AV421" s="815">
        <f t="shared" si="269"/>
        <v>0</v>
      </c>
      <c r="AW421" s="815">
        <f t="shared" si="270"/>
        <v>0</v>
      </c>
      <c r="AX421" s="81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6"/>
      <c r="C422" s="1177"/>
      <c r="D422" s="2297"/>
      <c r="E422" s="81">
        <f t="shared" si="265"/>
        <v>0</v>
      </c>
      <c r="F422" s="82"/>
      <c r="G422" s="83">
        <f t="shared" si="266"/>
        <v>0</v>
      </c>
      <c r="H422" s="84">
        <f t="shared" si="267"/>
        <v>0</v>
      </c>
      <c r="I422" s="1177"/>
      <c r="J422" s="85"/>
      <c r="K422" s="1177"/>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7"/>
      <c r="AG422" s="86"/>
      <c r="AH422" s="86"/>
      <c r="AI422" s="86"/>
      <c r="AJ422" s="86"/>
      <c r="AK422" s="86"/>
      <c r="AL422" s="86"/>
      <c r="AM422" s="86"/>
      <c r="AN422" s="86"/>
      <c r="AO422" s="86"/>
      <c r="AP422" s="86"/>
      <c r="AQ422" s="86"/>
      <c r="AR422" s="86"/>
      <c r="AS422" s="86"/>
      <c r="AT422" s="82"/>
      <c r="AU422" s="87"/>
      <c r="AV422" s="815">
        <f t="shared" si="269"/>
        <v>0</v>
      </c>
      <c r="AW422" s="815">
        <f t="shared" si="270"/>
        <v>0</v>
      </c>
      <c r="AX422" s="81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6"/>
      <c r="C423" s="1177"/>
      <c r="D423" s="2297"/>
      <c r="E423" s="81">
        <f t="shared" si="265"/>
        <v>0</v>
      </c>
      <c r="F423" s="82"/>
      <c r="G423" s="83">
        <f t="shared" si="266"/>
        <v>0</v>
      </c>
      <c r="H423" s="84">
        <f t="shared" si="267"/>
        <v>0</v>
      </c>
      <c r="I423" s="1177"/>
      <c r="J423" s="85"/>
      <c r="K423" s="1177"/>
      <c r="L423" s="85"/>
      <c r="M423" s="1177"/>
      <c r="N423" s="85"/>
      <c r="O423" s="85"/>
      <c r="P423" s="85"/>
      <c r="Q423" s="85"/>
      <c r="R423" s="85"/>
      <c r="S423" s="85"/>
      <c r="T423" s="85"/>
      <c r="U423" s="85"/>
      <c r="V423" s="85"/>
      <c r="W423" s="85"/>
      <c r="X423" s="85"/>
      <c r="Y423" s="85"/>
      <c r="Z423" s="85"/>
      <c r="AA423" s="85"/>
      <c r="AB423" s="85"/>
      <c r="AC423" s="81">
        <f t="shared" si="268"/>
        <v>0</v>
      </c>
      <c r="AD423" s="86"/>
      <c r="AE423" s="86"/>
      <c r="AF423" s="1177"/>
      <c r="AG423" s="86"/>
      <c r="AH423" s="86"/>
      <c r="AI423" s="86"/>
      <c r="AJ423" s="86"/>
      <c r="AK423" s="86"/>
      <c r="AL423" s="86"/>
      <c r="AM423" s="86"/>
      <c r="AN423" s="86"/>
      <c r="AO423" s="86"/>
      <c r="AP423" s="86"/>
      <c r="AQ423" s="86"/>
      <c r="AR423" s="86"/>
      <c r="AS423" s="86"/>
      <c r="AT423" s="82"/>
      <c r="AU423" s="87"/>
      <c r="AV423" s="815">
        <f t="shared" si="269"/>
        <v>0</v>
      </c>
      <c r="AW423" s="815">
        <f t="shared" si="270"/>
        <v>0</v>
      </c>
      <c r="AX423" s="81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5">
        <f t="shared" si="269"/>
        <v>0</v>
      </c>
      <c r="AW424" s="815">
        <f t="shared" si="270"/>
        <v>0</v>
      </c>
      <c r="AX424" s="81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5">
        <f t="shared" si="269"/>
        <v>0</v>
      </c>
      <c r="AW425" s="815">
        <f t="shared" si="270"/>
        <v>0</v>
      </c>
      <c r="AX425" s="81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5">
        <f t="shared" si="269"/>
        <v>0</v>
      </c>
      <c r="AW426" s="815">
        <f t="shared" si="270"/>
        <v>0</v>
      </c>
      <c r="AX426" s="81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5">
        <f t="shared" si="269"/>
        <v>0</v>
      </c>
      <c r="AW427" s="815">
        <f t="shared" si="270"/>
        <v>0</v>
      </c>
      <c r="AX427" s="81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5">
        <f t="shared" si="269"/>
        <v>0</v>
      </c>
      <c r="AW428" s="815">
        <f t="shared" si="270"/>
        <v>0</v>
      </c>
      <c r="AX428" s="81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5">
        <f t="shared" si="269"/>
        <v>0</v>
      </c>
      <c r="AW429" s="815">
        <f t="shared" si="270"/>
        <v>0</v>
      </c>
      <c r="AX429" s="81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5">
        <f t="shared" si="269"/>
        <v>0</v>
      </c>
      <c r="AW430" s="815">
        <f t="shared" si="270"/>
        <v>0</v>
      </c>
      <c r="AX430" s="81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5">
        <f t="shared" si="269"/>
        <v>0</v>
      </c>
      <c r="AW431" s="815">
        <f t="shared" si="270"/>
        <v>0</v>
      </c>
      <c r="AX431" s="81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5">
        <f t="shared" si="269"/>
        <v>0</v>
      </c>
      <c r="AW432" s="815">
        <f t="shared" si="270"/>
        <v>0</v>
      </c>
      <c r="AX432" s="81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5">
        <f t="shared" si="269"/>
        <v>0</v>
      </c>
      <c r="AW433" s="815">
        <f t="shared" si="270"/>
        <v>0</v>
      </c>
      <c r="AX433" s="81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5">
        <f t="shared" si="269"/>
        <v>0</v>
      </c>
      <c r="AW434" s="815">
        <f t="shared" si="270"/>
        <v>0</v>
      </c>
      <c r="AX434" s="81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5">
        <f t="shared" si="269"/>
        <v>0</v>
      </c>
      <c r="AW435" s="815">
        <f t="shared" si="270"/>
        <v>0</v>
      </c>
      <c r="AX435" s="81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5">
        <f t="shared" si="269"/>
        <v>0</v>
      </c>
      <c r="AW436" s="815">
        <f t="shared" si="270"/>
        <v>0</v>
      </c>
      <c r="AX436" s="81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5">
        <f t="shared" si="269"/>
        <v>0</v>
      </c>
      <c r="AW437" s="815">
        <f t="shared" si="270"/>
        <v>0</v>
      </c>
      <c r="AX437" s="81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5">
        <f t="shared" si="269"/>
        <v>0</v>
      </c>
      <c r="AW438" s="815">
        <f t="shared" si="270"/>
        <v>0</v>
      </c>
      <c r="AX438" s="81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5">
        <f t="shared" si="269"/>
        <v>0</v>
      </c>
      <c r="AW439" s="815">
        <f t="shared" si="270"/>
        <v>0</v>
      </c>
      <c r="AX439" s="81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5">
        <f t="shared" si="269"/>
        <v>0</v>
      </c>
      <c r="AW440" s="815">
        <f t="shared" si="270"/>
        <v>0</v>
      </c>
      <c r="AX440" s="81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5">
        <f t="shared" si="269"/>
        <v>0</v>
      </c>
      <c r="AW441" s="815">
        <f t="shared" si="270"/>
        <v>0</v>
      </c>
      <c r="AX441" s="81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5">
        <f t="shared" si="269"/>
        <v>0</v>
      </c>
      <c r="AW442" s="815">
        <f t="shared" si="270"/>
        <v>0</v>
      </c>
      <c r="AX442" s="81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5">
        <f t="shared" si="269"/>
        <v>0</v>
      </c>
      <c r="AW443" s="815">
        <f t="shared" si="270"/>
        <v>0</v>
      </c>
      <c r="AX443" s="81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5">
        <f t="shared" si="269"/>
        <v>0</v>
      </c>
      <c r="AW444" s="815">
        <f t="shared" si="270"/>
        <v>0</v>
      </c>
      <c r="AX444" s="81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5">
        <f t="shared" si="269"/>
        <v>0</v>
      </c>
      <c r="AW445" s="815">
        <f t="shared" si="270"/>
        <v>0</v>
      </c>
      <c r="AX445" s="81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5">
        <f t="shared" si="269"/>
        <v>0</v>
      </c>
      <c r="AW446" s="815">
        <f t="shared" si="270"/>
        <v>0</v>
      </c>
      <c r="AX446" s="81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5">
        <f t="shared" si="269"/>
        <v>0</v>
      </c>
      <c r="AW447" s="815">
        <f t="shared" si="270"/>
        <v>0</v>
      </c>
      <c r="AX447" s="81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5">
        <f t="shared" si="269"/>
        <v>0</v>
      </c>
      <c r="AW448" s="815">
        <f t="shared" si="270"/>
        <v>0</v>
      </c>
      <c r="AX448" s="81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5">
        <f t="shared" si="269"/>
        <v>0</v>
      </c>
      <c r="AW449" s="815">
        <f t="shared" si="270"/>
        <v>0</v>
      </c>
      <c r="AX449" s="81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5">
        <f t="shared" si="269"/>
        <v>0</v>
      </c>
      <c r="AW450" s="815">
        <f t="shared" si="270"/>
        <v>0</v>
      </c>
      <c r="AX450" s="81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5">
        <f t="shared" si="269"/>
        <v>0</v>
      </c>
      <c r="AW451" s="815">
        <f t="shared" si="270"/>
        <v>0</v>
      </c>
      <c r="AX451" s="81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5">
        <f t="shared" si="269"/>
        <v>0</v>
      </c>
      <c r="AW452" s="815">
        <f t="shared" si="270"/>
        <v>0</v>
      </c>
      <c r="AX452" s="81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5">
        <f t="shared" si="269"/>
        <v>0</v>
      </c>
      <c r="AW453" s="815">
        <f t="shared" si="270"/>
        <v>0</v>
      </c>
      <c r="AX453" s="81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5">
        <f t="shared" si="269"/>
        <v>0</v>
      </c>
      <c r="AW454" s="815">
        <f t="shared" si="270"/>
        <v>0</v>
      </c>
      <c r="AX454" s="81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5">
        <f t="shared" si="269"/>
        <v>0</v>
      </c>
      <c r="AW455" s="815">
        <f t="shared" si="270"/>
        <v>0</v>
      </c>
      <c r="AX455" s="81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5">
        <f t="shared" si="269"/>
        <v>0</v>
      </c>
      <c r="AW456" s="815">
        <f t="shared" si="270"/>
        <v>0</v>
      </c>
      <c r="AX456" s="81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5">
        <f t="shared" si="269"/>
        <v>0</v>
      </c>
      <c r="AW457" s="815">
        <f t="shared" si="270"/>
        <v>0</v>
      </c>
      <c r="AX457" s="81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5">
        <f t="shared" si="269"/>
        <v>0</v>
      </c>
      <c r="AW458" s="815">
        <f t="shared" si="270"/>
        <v>0</v>
      </c>
      <c r="AX458" s="81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5">
        <f t="shared" si="269"/>
        <v>0</v>
      </c>
      <c r="AW459" s="815">
        <f t="shared" si="270"/>
        <v>0</v>
      </c>
      <c r="AX459" s="81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5">
        <f t="shared" si="269"/>
        <v>0</v>
      </c>
      <c r="AW460" s="815">
        <f t="shared" si="270"/>
        <v>0</v>
      </c>
      <c r="AX460" s="81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5">
        <f t="shared" si="269"/>
        <v>0</v>
      </c>
      <c r="AW461" s="815">
        <f t="shared" si="270"/>
        <v>0</v>
      </c>
      <c r="AX461" s="81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5">
        <f t="shared" si="269"/>
        <v>0</v>
      </c>
      <c r="AW462" s="815">
        <f t="shared" si="270"/>
        <v>0</v>
      </c>
      <c r="AX462" s="81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5">
        <f t="shared" si="269"/>
        <v>0</v>
      </c>
      <c r="AW463" s="815">
        <f t="shared" si="270"/>
        <v>0</v>
      </c>
      <c r="AX463" s="81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5">
        <f t="shared" si="269"/>
        <v>0</v>
      </c>
      <c r="AW464" s="815">
        <f t="shared" si="270"/>
        <v>0</v>
      </c>
      <c r="AX464" s="81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5">
        <f t="shared" si="269"/>
        <v>0</v>
      </c>
      <c r="AW465" s="815">
        <f t="shared" si="270"/>
        <v>0</v>
      </c>
      <c r="AX465" s="81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5">
        <f t="shared" si="269"/>
        <v>0</v>
      </c>
      <c r="AW466" s="815">
        <f t="shared" si="270"/>
        <v>0</v>
      </c>
      <c r="AX466" s="81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5">
        <f t="shared" si="269"/>
        <v>0</v>
      </c>
      <c r="AW467" s="815">
        <f t="shared" si="270"/>
        <v>0</v>
      </c>
      <c r="AX467" s="81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5">
        <f t="shared" si="269"/>
        <v>0</v>
      </c>
      <c r="AW468" s="815">
        <f t="shared" si="270"/>
        <v>0</v>
      </c>
      <c r="AX468" s="81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5">
        <f t="shared" si="269"/>
        <v>0</v>
      </c>
      <c r="AW469" s="815">
        <f t="shared" si="270"/>
        <v>0</v>
      </c>
      <c r="AX469" s="81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5">
        <f t="shared" si="269"/>
        <v>0</v>
      </c>
      <c r="AW470" s="815">
        <f t="shared" si="270"/>
        <v>0</v>
      </c>
      <c r="AX470" s="81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5">
        <f t="shared" si="269"/>
        <v>0</v>
      </c>
      <c r="AW471" s="815">
        <f t="shared" si="270"/>
        <v>0</v>
      </c>
      <c r="AX471" s="81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5">
        <f t="shared" si="269"/>
        <v>0</v>
      </c>
      <c r="AW472" s="815">
        <f t="shared" si="270"/>
        <v>0</v>
      </c>
      <c r="AX472" s="81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5">
        <f t="shared" si="269"/>
        <v>0</v>
      </c>
      <c r="AW473" s="815">
        <f t="shared" si="270"/>
        <v>0</v>
      </c>
      <c r="AX473" s="81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5">
        <f t="shared" si="269"/>
        <v>0</v>
      </c>
      <c r="AW474" s="815">
        <f t="shared" si="270"/>
        <v>0</v>
      </c>
      <c r="AX474" s="81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5">
        <f t="shared" si="269"/>
        <v>0</v>
      </c>
      <c r="AW475" s="815">
        <f t="shared" si="270"/>
        <v>0</v>
      </c>
      <c r="AX475" s="81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5">
        <f t="shared" si="269"/>
        <v>0</v>
      </c>
      <c r="AW476" s="815">
        <f t="shared" si="270"/>
        <v>0</v>
      </c>
      <c r="AX476" s="81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5">
        <f t="shared" si="269"/>
        <v>0</v>
      </c>
      <c r="AW477" s="815">
        <f t="shared" si="270"/>
        <v>0</v>
      </c>
      <c r="AX477" s="81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5">
        <f t="shared" si="269"/>
        <v>0</v>
      </c>
      <c r="AW478" s="815">
        <f t="shared" si="270"/>
        <v>0</v>
      </c>
      <c r="AX478" s="81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5">
        <f t="shared" si="269"/>
        <v>0</v>
      </c>
      <c r="AW479" s="815">
        <f t="shared" si="270"/>
        <v>0</v>
      </c>
      <c r="AX479" s="81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5">
        <f t="shared" si="269"/>
        <v>0</v>
      </c>
      <c r="AW480" s="815">
        <f t="shared" si="270"/>
        <v>0</v>
      </c>
      <c r="AX480" s="81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6"/>
      <c r="C481" s="1177"/>
      <c r="D481" s="2297"/>
      <c r="E481" s="81">
        <f t="shared" ref="E481:E504" si="319">IF($C$3="是",ROUND($A$3*G481/$B$3,2),ROUND($A$3*(G481-AT481)/$B$3,2))</f>
        <v>0</v>
      </c>
      <c r="F481" s="82"/>
      <c r="G481" s="83">
        <f t="shared" si="294"/>
        <v>0</v>
      </c>
      <c r="H481" s="84">
        <f t="shared" si="295"/>
        <v>0</v>
      </c>
      <c r="I481" s="1177"/>
      <c r="J481" s="85"/>
      <c r="K481" s="1177"/>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8"/>
      <c r="AG481" s="86"/>
      <c r="AH481" s="86"/>
      <c r="AI481" s="86"/>
      <c r="AJ481" s="86"/>
      <c r="AK481" s="86"/>
      <c r="AL481" s="86"/>
      <c r="AM481" s="86"/>
      <c r="AN481" s="1155"/>
      <c r="AO481" s="86"/>
      <c r="AP481" s="86"/>
      <c r="AQ481" s="86"/>
      <c r="AR481" s="86"/>
      <c r="AS481" s="86"/>
      <c r="AT481" s="82"/>
      <c r="AU481" s="87"/>
      <c r="AV481" s="815">
        <f t="shared" ref="AV481:AV505" si="320">A481</f>
        <v>0</v>
      </c>
      <c r="AW481" s="815">
        <f t="shared" ref="AW481:AW505" si="321">B481</f>
        <v>0</v>
      </c>
      <c r="AX481" s="81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6"/>
      <c r="C482" s="1177"/>
      <c r="D482" s="2297"/>
      <c r="E482" s="81">
        <f t="shared" si="319"/>
        <v>0</v>
      </c>
      <c r="F482" s="82"/>
      <c r="G482" s="83">
        <f t="shared" si="294"/>
        <v>0</v>
      </c>
      <c r="H482" s="84">
        <f t="shared" si="295"/>
        <v>0</v>
      </c>
      <c r="I482" s="1177"/>
      <c r="J482" s="85"/>
      <c r="K482" s="1177"/>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8"/>
      <c r="AG482" s="86"/>
      <c r="AH482" s="86"/>
      <c r="AI482" s="86"/>
      <c r="AJ482" s="86"/>
      <c r="AK482" s="86"/>
      <c r="AL482" s="1155"/>
      <c r="AM482" s="86"/>
      <c r="AN482" s="1155"/>
      <c r="AO482" s="86"/>
      <c r="AP482" s="86"/>
      <c r="AQ482" s="86"/>
      <c r="AR482" s="86"/>
      <c r="AS482" s="86"/>
      <c r="AT482" s="82"/>
      <c r="AU482" s="87"/>
      <c r="AV482" s="815">
        <f t="shared" si="320"/>
        <v>0</v>
      </c>
      <c r="AW482" s="815">
        <f t="shared" si="321"/>
        <v>0</v>
      </c>
      <c r="AX482" s="81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6"/>
      <c r="C483" s="1177"/>
      <c r="D483" s="2297"/>
      <c r="E483" s="81">
        <f t="shared" si="319"/>
        <v>0</v>
      </c>
      <c r="F483" s="82"/>
      <c r="G483" s="83">
        <f t="shared" si="294"/>
        <v>0</v>
      </c>
      <c r="H483" s="84">
        <f t="shared" si="295"/>
        <v>0</v>
      </c>
      <c r="I483" s="1177"/>
      <c r="J483" s="85"/>
      <c r="K483" s="1177"/>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8"/>
      <c r="AG483" s="86"/>
      <c r="AH483" s="86"/>
      <c r="AI483" s="86"/>
      <c r="AJ483" s="86"/>
      <c r="AK483" s="86"/>
      <c r="AL483" s="1155"/>
      <c r="AM483" s="86"/>
      <c r="AN483" s="1155"/>
      <c r="AO483" s="86"/>
      <c r="AP483" s="86"/>
      <c r="AQ483" s="86"/>
      <c r="AR483" s="86"/>
      <c r="AS483" s="86"/>
      <c r="AT483" s="82"/>
      <c r="AU483" s="87"/>
      <c r="AV483" s="815">
        <f t="shared" si="320"/>
        <v>0</v>
      </c>
      <c r="AW483" s="815">
        <f t="shared" si="321"/>
        <v>0</v>
      </c>
      <c r="AX483" s="81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6"/>
      <c r="C484" s="1177"/>
      <c r="D484" s="2297"/>
      <c r="E484" s="81">
        <f t="shared" si="319"/>
        <v>0</v>
      </c>
      <c r="F484" s="82"/>
      <c r="G484" s="83">
        <f t="shared" si="294"/>
        <v>0</v>
      </c>
      <c r="H484" s="84">
        <f t="shared" si="295"/>
        <v>0</v>
      </c>
      <c r="I484" s="1177"/>
      <c r="J484" s="85"/>
      <c r="K484" s="1177"/>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8"/>
      <c r="AG484" s="86"/>
      <c r="AH484" s="86"/>
      <c r="AI484" s="86"/>
      <c r="AJ484" s="86"/>
      <c r="AK484" s="86"/>
      <c r="AL484" s="86"/>
      <c r="AM484" s="86"/>
      <c r="AN484" s="1155"/>
      <c r="AO484" s="86"/>
      <c r="AP484" s="86"/>
      <c r="AQ484" s="86"/>
      <c r="AR484" s="86"/>
      <c r="AS484" s="86"/>
      <c r="AT484" s="82"/>
      <c r="AU484" s="87"/>
      <c r="AV484" s="815">
        <f t="shared" si="320"/>
        <v>0</v>
      </c>
      <c r="AW484" s="815">
        <f t="shared" si="321"/>
        <v>0</v>
      </c>
      <c r="AX484" s="81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6"/>
      <c r="C485" s="1177"/>
      <c r="D485" s="2297"/>
      <c r="E485" s="81">
        <f t="shared" si="319"/>
        <v>0</v>
      </c>
      <c r="F485" s="82"/>
      <c r="G485" s="83">
        <f t="shared" si="294"/>
        <v>0</v>
      </c>
      <c r="H485" s="84">
        <f t="shared" si="295"/>
        <v>0</v>
      </c>
      <c r="I485" s="1177"/>
      <c r="J485" s="85"/>
      <c r="K485" s="1177"/>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8"/>
      <c r="AG485" s="86"/>
      <c r="AH485" s="86"/>
      <c r="AI485" s="86"/>
      <c r="AJ485" s="86"/>
      <c r="AK485" s="86"/>
      <c r="AL485" s="86"/>
      <c r="AM485" s="86"/>
      <c r="AN485" s="86"/>
      <c r="AO485" s="86"/>
      <c r="AP485" s="86"/>
      <c r="AQ485" s="86"/>
      <c r="AR485" s="86"/>
      <c r="AS485" s="86"/>
      <c r="AT485" s="82"/>
      <c r="AU485" s="87"/>
      <c r="AV485" s="815">
        <f t="shared" si="320"/>
        <v>0</v>
      </c>
      <c r="AW485" s="815">
        <f t="shared" si="321"/>
        <v>0</v>
      </c>
      <c r="AX485" s="81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6"/>
      <c r="C486" s="1177"/>
      <c r="D486" s="2297"/>
      <c r="E486" s="81">
        <f t="shared" si="319"/>
        <v>0</v>
      </c>
      <c r="F486" s="82"/>
      <c r="G486" s="83">
        <f t="shared" si="294"/>
        <v>0</v>
      </c>
      <c r="H486" s="84">
        <f t="shared" si="295"/>
        <v>0</v>
      </c>
      <c r="I486" s="1177"/>
      <c r="J486" s="85"/>
      <c r="K486" s="1177"/>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8"/>
      <c r="AG486" s="86"/>
      <c r="AH486" s="86"/>
      <c r="AI486" s="86"/>
      <c r="AJ486" s="86"/>
      <c r="AK486" s="86"/>
      <c r="AL486" s="86"/>
      <c r="AM486" s="86"/>
      <c r="AN486" s="86"/>
      <c r="AO486" s="86"/>
      <c r="AP486" s="86"/>
      <c r="AQ486" s="86"/>
      <c r="AR486" s="86"/>
      <c r="AS486" s="86"/>
      <c r="AT486" s="82"/>
      <c r="AU486" s="87"/>
      <c r="AV486" s="815">
        <f t="shared" si="320"/>
        <v>0</v>
      </c>
      <c r="AW486" s="815">
        <f t="shared" si="321"/>
        <v>0</v>
      </c>
      <c r="AX486" s="81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6"/>
      <c r="C487" s="1177"/>
      <c r="D487" s="2297"/>
      <c r="E487" s="81">
        <f t="shared" si="319"/>
        <v>0</v>
      </c>
      <c r="F487" s="82"/>
      <c r="G487" s="83">
        <f t="shared" si="294"/>
        <v>0</v>
      </c>
      <c r="H487" s="84">
        <f t="shared" si="295"/>
        <v>0</v>
      </c>
      <c r="I487" s="1177"/>
      <c r="J487" s="85"/>
      <c r="K487" s="1177"/>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8"/>
      <c r="AG487" s="86"/>
      <c r="AH487" s="86"/>
      <c r="AI487" s="86"/>
      <c r="AJ487" s="86"/>
      <c r="AK487" s="86"/>
      <c r="AL487" s="86"/>
      <c r="AM487" s="86"/>
      <c r="AN487" s="86"/>
      <c r="AO487" s="86"/>
      <c r="AP487" s="86"/>
      <c r="AQ487" s="86"/>
      <c r="AR487" s="86"/>
      <c r="AS487" s="86"/>
      <c r="AT487" s="82"/>
      <c r="AU487" s="87"/>
      <c r="AV487" s="815">
        <f t="shared" si="320"/>
        <v>0</v>
      </c>
      <c r="AW487" s="815">
        <f t="shared" si="321"/>
        <v>0</v>
      </c>
      <c r="AX487" s="81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6"/>
      <c r="C488" s="1177"/>
      <c r="D488" s="2297"/>
      <c r="E488" s="81">
        <f t="shared" si="319"/>
        <v>0</v>
      </c>
      <c r="F488" s="82"/>
      <c r="G488" s="83">
        <f t="shared" si="294"/>
        <v>0</v>
      </c>
      <c r="H488" s="84">
        <f t="shared" si="295"/>
        <v>0</v>
      </c>
      <c r="I488" s="1177"/>
      <c r="J488" s="85"/>
      <c r="K488" s="1177"/>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7"/>
      <c r="AG488" s="86"/>
      <c r="AH488" s="86"/>
      <c r="AI488" s="86"/>
      <c r="AJ488" s="86"/>
      <c r="AK488" s="86"/>
      <c r="AL488" s="86"/>
      <c r="AM488" s="86"/>
      <c r="AN488" s="86"/>
      <c r="AO488" s="86"/>
      <c r="AP488" s="86"/>
      <c r="AQ488" s="86"/>
      <c r="AR488" s="86"/>
      <c r="AS488" s="86"/>
      <c r="AT488" s="82"/>
      <c r="AU488" s="87"/>
      <c r="AV488" s="815">
        <f t="shared" si="320"/>
        <v>0</v>
      </c>
      <c r="AW488" s="815">
        <f t="shared" si="321"/>
        <v>0</v>
      </c>
      <c r="AX488" s="81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6"/>
      <c r="C489" s="1177"/>
      <c r="D489" s="2297"/>
      <c r="E489" s="81">
        <f t="shared" si="319"/>
        <v>0</v>
      </c>
      <c r="F489" s="82"/>
      <c r="G489" s="83">
        <f t="shared" si="294"/>
        <v>0</v>
      </c>
      <c r="H489" s="84">
        <f t="shared" si="295"/>
        <v>0</v>
      </c>
      <c r="I489" s="1177"/>
      <c r="J489" s="85"/>
      <c r="K489" s="1177"/>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7"/>
      <c r="AG489" s="86"/>
      <c r="AH489" s="86"/>
      <c r="AI489" s="86"/>
      <c r="AJ489" s="86"/>
      <c r="AK489" s="86"/>
      <c r="AL489" s="86"/>
      <c r="AM489" s="86"/>
      <c r="AN489" s="86"/>
      <c r="AO489" s="86"/>
      <c r="AP489" s="86"/>
      <c r="AQ489" s="86"/>
      <c r="AR489" s="86"/>
      <c r="AS489" s="86"/>
      <c r="AT489" s="82"/>
      <c r="AU489" s="87"/>
      <c r="AV489" s="815">
        <f t="shared" si="320"/>
        <v>0</v>
      </c>
      <c r="AW489" s="815">
        <f t="shared" si="321"/>
        <v>0</v>
      </c>
      <c r="AX489" s="81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6"/>
      <c r="C490" s="1177"/>
      <c r="D490" s="2297"/>
      <c r="E490" s="81">
        <f t="shared" si="319"/>
        <v>0</v>
      </c>
      <c r="F490" s="82"/>
      <c r="G490" s="83">
        <f t="shared" si="294"/>
        <v>0</v>
      </c>
      <c r="H490" s="84">
        <f t="shared" si="295"/>
        <v>0</v>
      </c>
      <c r="I490" s="1177"/>
      <c r="J490" s="85"/>
      <c r="K490" s="1177"/>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7"/>
      <c r="AG490" s="86"/>
      <c r="AH490" s="86"/>
      <c r="AI490" s="86"/>
      <c r="AJ490" s="86"/>
      <c r="AK490" s="86"/>
      <c r="AL490" s="86"/>
      <c r="AM490" s="86"/>
      <c r="AN490" s="86"/>
      <c r="AO490" s="86"/>
      <c r="AP490" s="86"/>
      <c r="AQ490" s="86"/>
      <c r="AR490" s="86"/>
      <c r="AS490" s="86"/>
      <c r="AT490" s="82"/>
      <c r="AU490" s="87"/>
      <c r="AV490" s="815">
        <f t="shared" si="320"/>
        <v>0</v>
      </c>
      <c r="AW490" s="815">
        <f t="shared" si="321"/>
        <v>0</v>
      </c>
      <c r="AX490" s="81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6"/>
      <c r="C491" s="1177"/>
      <c r="D491" s="2297"/>
      <c r="E491" s="81">
        <f t="shared" si="319"/>
        <v>0</v>
      </c>
      <c r="F491" s="82"/>
      <c r="G491" s="83">
        <f t="shared" si="294"/>
        <v>0</v>
      </c>
      <c r="H491" s="84">
        <f t="shared" si="295"/>
        <v>0</v>
      </c>
      <c r="I491" s="1177"/>
      <c r="J491" s="85"/>
      <c r="K491" s="1177"/>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7"/>
      <c r="AG491" s="86"/>
      <c r="AH491" s="86"/>
      <c r="AI491" s="86"/>
      <c r="AJ491" s="86"/>
      <c r="AK491" s="86"/>
      <c r="AL491" s="86"/>
      <c r="AM491" s="86"/>
      <c r="AN491" s="86"/>
      <c r="AO491" s="86"/>
      <c r="AP491" s="86"/>
      <c r="AQ491" s="86"/>
      <c r="AR491" s="86"/>
      <c r="AS491" s="86"/>
      <c r="AT491" s="82"/>
      <c r="AU491" s="87"/>
      <c r="AV491" s="815">
        <f t="shared" si="320"/>
        <v>0</v>
      </c>
      <c r="AW491" s="815">
        <f t="shared" si="321"/>
        <v>0</v>
      </c>
      <c r="AX491" s="81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6"/>
      <c r="C492" s="1177"/>
      <c r="D492" s="2297"/>
      <c r="E492" s="81">
        <f t="shared" si="319"/>
        <v>0</v>
      </c>
      <c r="F492" s="82"/>
      <c r="G492" s="83">
        <f t="shared" si="294"/>
        <v>0</v>
      </c>
      <c r="H492" s="84">
        <f t="shared" si="295"/>
        <v>0</v>
      </c>
      <c r="I492" s="1177"/>
      <c r="J492" s="85"/>
      <c r="K492" s="1177"/>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7"/>
      <c r="AG492" s="86"/>
      <c r="AH492" s="86"/>
      <c r="AI492" s="86"/>
      <c r="AJ492" s="86"/>
      <c r="AK492" s="86"/>
      <c r="AL492" s="86"/>
      <c r="AM492" s="86"/>
      <c r="AN492" s="86"/>
      <c r="AO492" s="86"/>
      <c r="AP492" s="86"/>
      <c r="AQ492" s="86"/>
      <c r="AR492" s="86"/>
      <c r="AS492" s="86"/>
      <c r="AT492" s="82"/>
      <c r="AU492" s="87"/>
      <c r="AV492" s="815">
        <f t="shared" si="320"/>
        <v>0</v>
      </c>
      <c r="AW492" s="815">
        <f t="shared" si="321"/>
        <v>0</v>
      </c>
      <c r="AX492" s="81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6"/>
      <c r="C493" s="1177"/>
      <c r="D493" s="2297"/>
      <c r="E493" s="81">
        <f t="shared" si="319"/>
        <v>0</v>
      </c>
      <c r="F493" s="82"/>
      <c r="G493" s="83">
        <f t="shared" si="294"/>
        <v>0</v>
      </c>
      <c r="H493" s="84">
        <f t="shared" si="295"/>
        <v>0</v>
      </c>
      <c r="I493" s="1177"/>
      <c r="J493" s="85"/>
      <c r="K493" s="1177"/>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7"/>
      <c r="AG493" s="86"/>
      <c r="AH493" s="86"/>
      <c r="AI493" s="86"/>
      <c r="AJ493" s="86"/>
      <c r="AK493" s="86"/>
      <c r="AL493" s="86"/>
      <c r="AM493" s="86"/>
      <c r="AN493" s="86"/>
      <c r="AO493" s="86"/>
      <c r="AP493" s="86"/>
      <c r="AQ493" s="86"/>
      <c r="AR493" s="86"/>
      <c r="AS493" s="86"/>
      <c r="AT493" s="82"/>
      <c r="AU493" s="87"/>
      <c r="AV493" s="815">
        <f t="shared" si="320"/>
        <v>0</v>
      </c>
      <c r="AW493" s="815">
        <f t="shared" si="321"/>
        <v>0</v>
      </c>
      <c r="AX493" s="81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6"/>
      <c r="C494" s="1177"/>
      <c r="D494" s="2297"/>
      <c r="E494" s="81">
        <f t="shared" si="319"/>
        <v>0</v>
      </c>
      <c r="F494" s="82"/>
      <c r="G494" s="83">
        <f t="shared" si="294"/>
        <v>0</v>
      </c>
      <c r="H494" s="84">
        <f t="shared" si="295"/>
        <v>0</v>
      </c>
      <c r="I494" s="1177"/>
      <c r="J494" s="85"/>
      <c r="K494" s="1177"/>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7"/>
      <c r="AG494" s="86"/>
      <c r="AH494" s="86"/>
      <c r="AI494" s="86"/>
      <c r="AJ494" s="86"/>
      <c r="AK494" s="86"/>
      <c r="AL494" s="86"/>
      <c r="AM494" s="86"/>
      <c r="AN494" s="86"/>
      <c r="AO494" s="86"/>
      <c r="AP494" s="86"/>
      <c r="AQ494" s="86"/>
      <c r="AR494" s="86"/>
      <c r="AS494" s="86"/>
      <c r="AT494" s="82"/>
      <c r="AU494" s="87"/>
      <c r="AV494" s="815">
        <f t="shared" si="320"/>
        <v>0</v>
      </c>
      <c r="AW494" s="815">
        <f t="shared" si="321"/>
        <v>0</v>
      </c>
      <c r="AX494" s="81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6"/>
      <c r="C495" s="1177"/>
      <c r="D495" s="2297"/>
      <c r="E495" s="81">
        <f t="shared" si="319"/>
        <v>0</v>
      </c>
      <c r="F495" s="82"/>
      <c r="G495" s="83">
        <f t="shared" si="294"/>
        <v>0</v>
      </c>
      <c r="H495" s="84">
        <f t="shared" si="295"/>
        <v>0</v>
      </c>
      <c r="I495" s="1177"/>
      <c r="J495" s="85"/>
      <c r="K495" s="1177"/>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7"/>
      <c r="AG495" s="86"/>
      <c r="AH495" s="86"/>
      <c r="AI495" s="86"/>
      <c r="AJ495" s="86"/>
      <c r="AK495" s="86"/>
      <c r="AL495" s="86"/>
      <c r="AM495" s="86"/>
      <c r="AN495" s="86"/>
      <c r="AO495" s="86"/>
      <c r="AP495" s="86"/>
      <c r="AQ495" s="86"/>
      <c r="AR495" s="86"/>
      <c r="AS495" s="86"/>
      <c r="AT495" s="82"/>
      <c r="AU495" s="87"/>
      <c r="AV495" s="815">
        <f t="shared" si="320"/>
        <v>0</v>
      </c>
      <c r="AW495" s="815">
        <f t="shared" si="321"/>
        <v>0</v>
      </c>
      <c r="AX495" s="81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6"/>
      <c r="C496" s="1177"/>
      <c r="D496" s="2297"/>
      <c r="E496" s="81">
        <f t="shared" si="319"/>
        <v>0</v>
      </c>
      <c r="F496" s="82"/>
      <c r="G496" s="83">
        <f t="shared" si="294"/>
        <v>0</v>
      </c>
      <c r="H496" s="84">
        <f t="shared" si="295"/>
        <v>0</v>
      </c>
      <c r="I496" s="1177"/>
      <c r="J496" s="85"/>
      <c r="K496" s="1177"/>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7"/>
      <c r="AG496" s="86"/>
      <c r="AH496" s="86"/>
      <c r="AI496" s="86"/>
      <c r="AJ496" s="86"/>
      <c r="AK496" s="86"/>
      <c r="AL496" s="86"/>
      <c r="AM496" s="86"/>
      <c r="AN496" s="86"/>
      <c r="AO496" s="86"/>
      <c r="AP496" s="86"/>
      <c r="AQ496" s="86"/>
      <c r="AR496" s="86"/>
      <c r="AS496" s="86"/>
      <c r="AT496" s="82"/>
      <c r="AU496" s="87"/>
      <c r="AV496" s="815">
        <f t="shared" si="320"/>
        <v>0</v>
      </c>
      <c r="AW496" s="815">
        <f t="shared" si="321"/>
        <v>0</v>
      </c>
      <c r="AX496" s="81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6"/>
      <c r="C497" s="1177"/>
      <c r="D497" s="2297"/>
      <c r="E497" s="81">
        <f t="shared" si="319"/>
        <v>0</v>
      </c>
      <c r="F497" s="82"/>
      <c r="G497" s="83">
        <f t="shared" si="294"/>
        <v>0</v>
      </c>
      <c r="H497" s="84">
        <f t="shared" si="295"/>
        <v>0</v>
      </c>
      <c r="I497" s="1177"/>
      <c r="J497" s="85"/>
      <c r="K497" s="1177"/>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7"/>
      <c r="AG497" s="86"/>
      <c r="AH497" s="86"/>
      <c r="AI497" s="86"/>
      <c r="AJ497" s="86"/>
      <c r="AK497" s="86"/>
      <c r="AL497" s="86"/>
      <c r="AM497" s="86"/>
      <c r="AN497" s="86"/>
      <c r="AO497" s="86"/>
      <c r="AP497" s="86"/>
      <c r="AQ497" s="86"/>
      <c r="AR497" s="86"/>
      <c r="AS497" s="86"/>
      <c r="AT497" s="82"/>
      <c r="AU497" s="87"/>
      <c r="AV497" s="815">
        <f t="shared" si="320"/>
        <v>0</v>
      </c>
      <c r="AW497" s="815">
        <f t="shared" si="321"/>
        <v>0</v>
      </c>
      <c r="AX497" s="81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6"/>
      <c r="C498" s="1177"/>
      <c r="D498" s="2297"/>
      <c r="E498" s="81">
        <f t="shared" si="319"/>
        <v>0</v>
      </c>
      <c r="F498" s="82"/>
      <c r="G498" s="83">
        <f t="shared" si="294"/>
        <v>0</v>
      </c>
      <c r="H498" s="84">
        <f t="shared" si="295"/>
        <v>0</v>
      </c>
      <c r="I498" s="1177"/>
      <c r="J498" s="85"/>
      <c r="K498" s="1177"/>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7"/>
      <c r="AG498" s="86"/>
      <c r="AH498" s="86"/>
      <c r="AI498" s="86"/>
      <c r="AJ498" s="86"/>
      <c r="AK498" s="86"/>
      <c r="AL498" s="86"/>
      <c r="AM498" s="86"/>
      <c r="AN498" s="86"/>
      <c r="AO498" s="86"/>
      <c r="AP498" s="86"/>
      <c r="AQ498" s="86"/>
      <c r="AR498" s="86"/>
      <c r="AS498" s="86"/>
      <c r="AT498" s="82"/>
      <c r="AU498" s="87"/>
      <c r="AV498" s="815">
        <f t="shared" si="320"/>
        <v>0</v>
      </c>
      <c r="AW498" s="815">
        <f t="shared" si="321"/>
        <v>0</v>
      </c>
      <c r="AX498" s="81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6"/>
      <c r="C499" s="1177"/>
      <c r="D499" s="2297"/>
      <c r="E499" s="81">
        <f t="shared" si="319"/>
        <v>0</v>
      </c>
      <c r="F499" s="82"/>
      <c r="G499" s="83">
        <f t="shared" si="294"/>
        <v>0</v>
      </c>
      <c r="H499" s="84">
        <f t="shared" si="295"/>
        <v>0</v>
      </c>
      <c r="I499" s="1177"/>
      <c r="J499" s="85"/>
      <c r="K499" s="1177"/>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7"/>
      <c r="AG499" s="86"/>
      <c r="AH499" s="86"/>
      <c r="AI499" s="86"/>
      <c r="AJ499" s="86"/>
      <c r="AK499" s="86"/>
      <c r="AL499" s="86"/>
      <c r="AM499" s="86"/>
      <c r="AN499" s="86"/>
      <c r="AO499" s="86"/>
      <c r="AP499" s="86"/>
      <c r="AQ499" s="86"/>
      <c r="AR499" s="86"/>
      <c r="AS499" s="86"/>
      <c r="AT499" s="82"/>
      <c r="AU499" s="87"/>
      <c r="AV499" s="815">
        <f t="shared" si="320"/>
        <v>0</v>
      </c>
      <c r="AW499" s="815">
        <f t="shared" si="321"/>
        <v>0</v>
      </c>
      <c r="AX499" s="81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6"/>
      <c r="C500" s="1177"/>
      <c r="D500" s="2297"/>
      <c r="E500" s="81">
        <f t="shared" si="319"/>
        <v>0</v>
      </c>
      <c r="F500" s="82"/>
      <c r="G500" s="83">
        <f t="shared" si="294"/>
        <v>0</v>
      </c>
      <c r="H500" s="84">
        <f t="shared" si="295"/>
        <v>0</v>
      </c>
      <c r="I500" s="1177"/>
      <c r="J500" s="85"/>
      <c r="K500" s="1177"/>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7"/>
      <c r="AG500" s="86"/>
      <c r="AH500" s="86"/>
      <c r="AI500" s="86"/>
      <c r="AJ500" s="86"/>
      <c r="AK500" s="86"/>
      <c r="AL500" s="86"/>
      <c r="AM500" s="86"/>
      <c r="AN500" s="86"/>
      <c r="AO500" s="86"/>
      <c r="AP500" s="86"/>
      <c r="AQ500" s="86"/>
      <c r="AR500" s="86"/>
      <c r="AS500" s="86"/>
      <c r="AT500" s="82"/>
      <c r="AU500" s="87"/>
      <c r="AV500" s="815">
        <f t="shared" si="320"/>
        <v>0</v>
      </c>
      <c r="AW500" s="815">
        <f t="shared" si="321"/>
        <v>0</v>
      </c>
      <c r="AX500" s="81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6"/>
      <c r="C501" s="1177"/>
      <c r="D501" s="2297"/>
      <c r="E501" s="81">
        <f t="shared" si="319"/>
        <v>0</v>
      </c>
      <c r="F501" s="82"/>
      <c r="G501" s="83">
        <f t="shared" si="294"/>
        <v>0</v>
      </c>
      <c r="H501" s="84">
        <f t="shared" si="295"/>
        <v>0</v>
      </c>
      <c r="I501" s="1177"/>
      <c r="J501" s="85"/>
      <c r="K501" s="1177"/>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7"/>
      <c r="AG501" s="86"/>
      <c r="AH501" s="86"/>
      <c r="AI501" s="86"/>
      <c r="AJ501" s="86"/>
      <c r="AK501" s="86"/>
      <c r="AL501" s="86"/>
      <c r="AM501" s="86"/>
      <c r="AN501" s="86"/>
      <c r="AO501" s="86"/>
      <c r="AP501" s="86"/>
      <c r="AQ501" s="86"/>
      <c r="AR501" s="86"/>
      <c r="AS501" s="86"/>
      <c r="AT501" s="82"/>
      <c r="AU501" s="87"/>
      <c r="AV501" s="815">
        <f t="shared" si="320"/>
        <v>0</v>
      </c>
      <c r="AW501" s="815">
        <f t="shared" si="321"/>
        <v>0</v>
      </c>
      <c r="AX501" s="81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6"/>
      <c r="C502" s="1177"/>
      <c r="D502" s="2297"/>
      <c r="E502" s="81">
        <f t="shared" si="319"/>
        <v>0</v>
      </c>
      <c r="F502" s="82"/>
      <c r="G502" s="83">
        <f t="shared" si="294"/>
        <v>0</v>
      </c>
      <c r="H502" s="84">
        <f t="shared" si="295"/>
        <v>0</v>
      </c>
      <c r="I502" s="1177"/>
      <c r="J502" s="85"/>
      <c r="K502" s="1177"/>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7"/>
      <c r="AG502" s="86"/>
      <c r="AH502" s="86"/>
      <c r="AI502" s="86"/>
      <c r="AJ502" s="86"/>
      <c r="AK502" s="86"/>
      <c r="AL502" s="86"/>
      <c r="AM502" s="86"/>
      <c r="AN502" s="86"/>
      <c r="AO502" s="86"/>
      <c r="AP502" s="86"/>
      <c r="AQ502" s="86"/>
      <c r="AR502" s="86"/>
      <c r="AS502" s="86"/>
      <c r="AT502" s="82"/>
      <c r="AU502" s="87"/>
      <c r="AV502" s="815">
        <f t="shared" si="320"/>
        <v>0</v>
      </c>
      <c r="AW502" s="815">
        <f t="shared" si="321"/>
        <v>0</v>
      </c>
      <c r="AX502" s="81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6"/>
      <c r="C503" s="1177"/>
      <c r="D503" s="2297"/>
      <c r="E503" s="81">
        <f t="shared" si="319"/>
        <v>0</v>
      </c>
      <c r="F503" s="82"/>
      <c r="G503" s="83">
        <f t="shared" si="294"/>
        <v>0</v>
      </c>
      <c r="H503" s="84">
        <f t="shared" si="295"/>
        <v>0</v>
      </c>
      <c r="I503" s="1177"/>
      <c r="J503" s="85"/>
      <c r="K503" s="1177"/>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7"/>
      <c r="AG503" s="86"/>
      <c r="AH503" s="86"/>
      <c r="AI503" s="86"/>
      <c r="AJ503" s="86"/>
      <c r="AK503" s="86"/>
      <c r="AL503" s="86"/>
      <c r="AM503" s="86"/>
      <c r="AN503" s="86"/>
      <c r="AO503" s="86"/>
      <c r="AP503" s="86"/>
      <c r="AQ503" s="86"/>
      <c r="AR503" s="86"/>
      <c r="AS503" s="86"/>
      <c r="AT503" s="82"/>
      <c r="AU503" s="87"/>
      <c r="AV503" s="815">
        <f t="shared" si="320"/>
        <v>0</v>
      </c>
      <c r="AW503" s="815">
        <f t="shared" si="321"/>
        <v>0</v>
      </c>
      <c r="AX503" s="81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6"/>
      <c r="C504" s="1177"/>
      <c r="D504" s="2297"/>
      <c r="E504" s="81">
        <f t="shared" si="319"/>
        <v>0</v>
      </c>
      <c r="F504" s="82"/>
      <c r="G504" s="83">
        <f t="shared" si="294"/>
        <v>0</v>
      </c>
      <c r="H504" s="84">
        <f t="shared" si="295"/>
        <v>0</v>
      </c>
      <c r="I504" s="1177"/>
      <c r="J504" s="85"/>
      <c r="K504" s="1177"/>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7"/>
      <c r="AG504" s="86"/>
      <c r="AH504" s="86"/>
      <c r="AI504" s="86"/>
      <c r="AJ504" s="86"/>
      <c r="AK504" s="86"/>
      <c r="AL504" s="86"/>
      <c r="AM504" s="86"/>
      <c r="AN504" s="86"/>
      <c r="AO504" s="86"/>
      <c r="AP504" s="86"/>
      <c r="AQ504" s="86"/>
      <c r="AR504" s="86"/>
      <c r="AS504" s="86"/>
      <c r="AT504" s="82"/>
      <c r="AU504" s="87"/>
      <c r="AV504" s="815">
        <f t="shared" si="320"/>
        <v>0</v>
      </c>
      <c r="AW504" s="815">
        <f t="shared" si="321"/>
        <v>0</v>
      </c>
      <c r="AX504" s="81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6"/>
      <c r="C505" s="1177"/>
      <c r="D505" s="2297"/>
      <c r="E505" s="81">
        <f t="shared" ref="E505:E536" si="323">IF($C$3="是",ROUND($A$3*G505/$B$3,2),ROUND($A$3*(G505-AT505)/$B$3,2))</f>
        <v>0</v>
      </c>
      <c r="F505" s="82"/>
      <c r="G505" s="83">
        <f t="shared" si="294"/>
        <v>0</v>
      </c>
      <c r="H505" s="84">
        <f t="shared" si="295"/>
        <v>0</v>
      </c>
      <c r="I505" s="1177"/>
      <c r="J505" s="85"/>
      <c r="K505" s="1177"/>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7"/>
      <c r="AG505" s="86"/>
      <c r="AH505" s="86"/>
      <c r="AI505" s="86"/>
      <c r="AJ505" s="86"/>
      <c r="AK505" s="86"/>
      <c r="AL505" s="86"/>
      <c r="AM505" s="86"/>
      <c r="AN505" s="86"/>
      <c r="AO505" s="86"/>
      <c r="AP505" s="86"/>
      <c r="AQ505" s="86"/>
      <c r="AR505" s="86"/>
      <c r="AS505" s="86"/>
      <c r="AT505" s="82"/>
      <c r="AU505" s="87"/>
      <c r="AV505" s="815">
        <f t="shared" si="320"/>
        <v>0</v>
      </c>
      <c r="AW505" s="815">
        <f t="shared" si="321"/>
        <v>0</v>
      </c>
      <c r="AX505" s="81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6"/>
      <c r="C506" s="1177"/>
      <c r="D506" s="2297"/>
      <c r="E506" s="81">
        <f t="shared" si="323"/>
        <v>0</v>
      </c>
      <c r="F506" s="82"/>
      <c r="G506" s="83">
        <f t="shared" si="294"/>
        <v>0</v>
      </c>
      <c r="H506" s="84">
        <f t="shared" si="295"/>
        <v>0</v>
      </c>
      <c r="I506" s="1177"/>
      <c r="J506" s="85"/>
      <c r="K506" s="1177"/>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7"/>
      <c r="AG506" s="86"/>
      <c r="AH506" s="86"/>
      <c r="AI506" s="86"/>
      <c r="AJ506" s="86"/>
      <c r="AK506" s="86"/>
      <c r="AL506" s="86"/>
      <c r="AM506" s="86"/>
      <c r="AN506" s="86"/>
      <c r="AO506" s="86"/>
      <c r="AP506" s="86"/>
      <c r="AQ506" s="86"/>
      <c r="AR506" s="86"/>
      <c r="AS506" s="86"/>
      <c r="AT506" s="82"/>
      <c r="AU506" s="87"/>
      <c r="AV506" s="815">
        <f t="shared" ref="AV506:AV537" si="324">A506</f>
        <v>0</v>
      </c>
      <c r="AW506" s="815">
        <f t="shared" ref="AW506:AW537" si="325">B506</f>
        <v>0</v>
      </c>
      <c r="AX506" s="81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6"/>
      <c r="C507" s="1177"/>
      <c r="D507" s="2297"/>
      <c r="E507" s="81">
        <f t="shared" si="323"/>
        <v>0</v>
      </c>
      <c r="F507" s="82"/>
      <c r="G507" s="83">
        <f t="shared" si="294"/>
        <v>0</v>
      </c>
      <c r="H507" s="84">
        <f t="shared" si="295"/>
        <v>0</v>
      </c>
      <c r="I507" s="1177"/>
      <c r="J507" s="85"/>
      <c r="K507" s="1177"/>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7"/>
      <c r="AG507" s="86"/>
      <c r="AH507" s="86"/>
      <c r="AI507" s="86"/>
      <c r="AJ507" s="86"/>
      <c r="AK507" s="86"/>
      <c r="AL507" s="86"/>
      <c r="AM507" s="86"/>
      <c r="AN507" s="86"/>
      <c r="AO507" s="86"/>
      <c r="AP507" s="86"/>
      <c r="AQ507" s="86"/>
      <c r="AR507" s="86"/>
      <c r="AS507" s="86"/>
      <c r="AT507" s="82"/>
      <c r="AU507" s="87"/>
      <c r="AV507" s="815">
        <f t="shared" si="324"/>
        <v>0</v>
      </c>
      <c r="AW507" s="815">
        <f t="shared" si="325"/>
        <v>0</v>
      </c>
      <c r="AX507" s="81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6"/>
      <c r="C508" s="1177"/>
      <c r="D508" s="2297"/>
      <c r="E508" s="81">
        <f t="shared" si="323"/>
        <v>0</v>
      </c>
      <c r="F508" s="82"/>
      <c r="G508" s="83">
        <f t="shared" si="294"/>
        <v>0</v>
      </c>
      <c r="H508" s="84">
        <f t="shared" si="295"/>
        <v>0</v>
      </c>
      <c r="I508" s="1177"/>
      <c r="J508" s="85"/>
      <c r="K508" s="1177"/>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7"/>
      <c r="AG508" s="86"/>
      <c r="AH508" s="86"/>
      <c r="AI508" s="86"/>
      <c r="AJ508" s="86"/>
      <c r="AK508" s="86"/>
      <c r="AL508" s="86"/>
      <c r="AM508" s="86"/>
      <c r="AN508" s="86"/>
      <c r="AO508" s="86"/>
      <c r="AP508" s="86"/>
      <c r="AQ508" s="86"/>
      <c r="AR508" s="86"/>
      <c r="AS508" s="86"/>
      <c r="AT508" s="82"/>
      <c r="AU508" s="87"/>
      <c r="AV508" s="815">
        <f t="shared" si="324"/>
        <v>0</v>
      </c>
      <c r="AW508" s="815">
        <f t="shared" si="325"/>
        <v>0</v>
      </c>
      <c r="AX508" s="81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6"/>
      <c r="C509" s="1177"/>
      <c r="D509" s="2297"/>
      <c r="E509" s="81">
        <f t="shared" si="323"/>
        <v>0</v>
      </c>
      <c r="F509" s="82"/>
      <c r="G509" s="83">
        <f t="shared" si="294"/>
        <v>0</v>
      </c>
      <c r="H509" s="84">
        <f t="shared" si="295"/>
        <v>0</v>
      </c>
      <c r="I509" s="1177"/>
      <c r="J509" s="85"/>
      <c r="K509" s="1177"/>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7"/>
      <c r="AG509" s="86"/>
      <c r="AH509" s="86"/>
      <c r="AI509" s="86"/>
      <c r="AJ509" s="86"/>
      <c r="AK509" s="86"/>
      <c r="AL509" s="86"/>
      <c r="AM509" s="86"/>
      <c r="AN509" s="86"/>
      <c r="AO509" s="86"/>
      <c r="AP509" s="86"/>
      <c r="AQ509" s="86"/>
      <c r="AR509" s="86"/>
      <c r="AS509" s="86"/>
      <c r="AT509" s="82"/>
      <c r="AU509" s="87"/>
      <c r="AV509" s="815">
        <f t="shared" si="324"/>
        <v>0</v>
      </c>
      <c r="AW509" s="815">
        <f t="shared" si="325"/>
        <v>0</v>
      </c>
      <c r="AX509" s="81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6"/>
      <c r="C510" s="1177"/>
      <c r="D510" s="2297"/>
      <c r="E510" s="81">
        <f t="shared" si="323"/>
        <v>0</v>
      </c>
      <c r="F510" s="82"/>
      <c r="G510" s="83">
        <f t="shared" ref="G510:G537" si="327">H510+AC510+AT510</f>
        <v>0</v>
      </c>
      <c r="H510" s="84">
        <f t="shared" ref="H510:H537" si="328">SUMIF(I$12:AB$12,"总值",I510:AB510)</f>
        <v>0</v>
      </c>
      <c r="I510" s="1177"/>
      <c r="J510" s="85"/>
      <c r="K510" s="1177"/>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7"/>
      <c r="AG510" s="86"/>
      <c r="AH510" s="86"/>
      <c r="AI510" s="86"/>
      <c r="AJ510" s="86"/>
      <c r="AK510" s="86"/>
      <c r="AL510" s="86"/>
      <c r="AM510" s="86"/>
      <c r="AN510" s="86"/>
      <c r="AO510" s="86"/>
      <c r="AP510" s="86"/>
      <c r="AQ510" s="86"/>
      <c r="AR510" s="86"/>
      <c r="AS510" s="86"/>
      <c r="AT510" s="82"/>
      <c r="AU510" s="87"/>
      <c r="AV510" s="815">
        <f t="shared" si="324"/>
        <v>0</v>
      </c>
      <c r="AW510" s="815">
        <f t="shared" si="325"/>
        <v>0</v>
      </c>
      <c r="AX510" s="81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6"/>
      <c r="C511" s="1177"/>
      <c r="D511" s="2297"/>
      <c r="E511" s="81">
        <f t="shared" si="323"/>
        <v>0</v>
      </c>
      <c r="F511" s="82"/>
      <c r="G511" s="83">
        <f t="shared" si="327"/>
        <v>0</v>
      </c>
      <c r="H511" s="84">
        <f t="shared" si="328"/>
        <v>0</v>
      </c>
      <c r="I511" s="1177"/>
      <c r="J511" s="85"/>
      <c r="K511" s="1177"/>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7"/>
      <c r="AG511" s="86"/>
      <c r="AH511" s="86"/>
      <c r="AI511" s="86"/>
      <c r="AJ511" s="86"/>
      <c r="AK511" s="86"/>
      <c r="AL511" s="86"/>
      <c r="AM511" s="86"/>
      <c r="AN511" s="86"/>
      <c r="AO511" s="86"/>
      <c r="AP511" s="86"/>
      <c r="AQ511" s="86"/>
      <c r="AR511" s="86"/>
      <c r="AS511" s="86"/>
      <c r="AT511" s="82"/>
      <c r="AU511" s="87"/>
      <c r="AV511" s="815">
        <f t="shared" si="324"/>
        <v>0</v>
      </c>
      <c r="AW511" s="815">
        <f t="shared" si="325"/>
        <v>0</v>
      </c>
      <c r="AX511" s="81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6"/>
      <c r="C512" s="1177"/>
      <c r="D512" s="2297"/>
      <c r="E512" s="81">
        <f t="shared" si="323"/>
        <v>0</v>
      </c>
      <c r="F512" s="82"/>
      <c r="G512" s="83">
        <f t="shared" si="327"/>
        <v>0</v>
      </c>
      <c r="H512" s="84">
        <f t="shared" si="328"/>
        <v>0</v>
      </c>
      <c r="I512" s="1177"/>
      <c r="J512" s="85"/>
      <c r="K512" s="1177"/>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7"/>
      <c r="AG512" s="86"/>
      <c r="AH512" s="86"/>
      <c r="AI512" s="86"/>
      <c r="AJ512" s="86"/>
      <c r="AK512" s="86"/>
      <c r="AL512" s="86"/>
      <c r="AM512" s="86"/>
      <c r="AN512" s="86"/>
      <c r="AO512" s="86"/>
      <c r="AP512" s="86"/>
      <c r="AQ512" s="86"/>
      <c r="AR512" s="86"/>
      <c r="AS512" s="86"/>
      <c r="AT512" s="82"/>
      <c r="AU512" s="87"/>
      <c r="AV512" s="815">
        <f t="shared" si="324"/>
        <v>0</v>
      </c>
      <c r="AW512" s="815">
        <f t="shared" si="325"/>
        <v>0</v>
      </c>
      <c r="AX512" s="81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6"/>
      <c r="C513" s="1177"/>
      <c r="D513" s="2297"/>
      <c r="E513" s="81">
        <f t="shared" si="323"/>
        <v>0</v>
      </c>
      <c r="F513" s="82"/>
      <c r="G513" s="83">
        <f t="shared" si="327"/>
        <v>0</v>
      </c>
      <c r="H513" s="84">
        <f t="shared" si="328"/>
        <v>0</v>
      </c>
      <c r="I513" s="1177"/>
      <c r="J513" s="85"/>
      <c r="K513" s="1177"/>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7"/>
      <c r="AG513" s="86"/>
      <c r="AH513" s="86"/>
      <c r="AI513" s="86"/>
      <c r="AJ513" s="86"/>
      <c r="AK513" s="86"/>
      <c r="AL513" s="86"/>
      <c r="AM513" s="86"/>
      <c r="AN513" s="86"/>
      <c r="AO513" s="86"/>
      <c r="AP513" s="86"/>
      <c r="AQ513" s="86"/>
      <c r="AR513" s="86"/>
      <c r="AS513" s="86"/>
      <c r="AT513" s="82"/>
      <c r="AU513" s="87"/>
      <c r="AV513" s="815">
        <f t="shared" si="324"/>
        <v>0</v>
      </c>
      <c r="AW513" s="815">
        <f t="shared" si="325"/>
        <v>0</v>
      </c>
      <c r="AX513" s="81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6"/>
      <c r="C514" s="1177"/>
      <c r="D514" s="2297"/>
      <c r="E514" s="81">
        <f t="shared" si="323"/>
        <v>0</v>
      </c>
      <c r="F514" s="82"/>
      <c r="G514" s="83">
        <f t="shared" si="327"/>
        <v>0</v>
      </c>
      <c r="H514" s="84">
        <f t="shared" si="328"/>
        <v>0</v>
      </c>
      <c r="I514" s="1177"/>
      <c r="J514" s="85"/>
      <c r="K514" s="1177"/>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7"/>
      <c r="AG514" s="86"/>
      <c r="AH514" s="86"/>
      <c r="AI514" s="86"/>
      <c r="AJ514" s="86"/>
      <c r="AK514" s="86"/>
      <c r="AL514" s="86"/>
      <c r="AM514" s="86"/>
      <c r="AN514" s="86"/>
      <c r="AO514" s="86"/>
      <c r="AP514" s="86"/>
      <c r="AQ514" s="86"/>
      <c r="AR514" s="86"/>
      <c r="AS514" s="86"/>
      <c r="AT514" s="82"/>
      <c r="AU514" s="87"/>
      <c r="AV514" s="815">
        <f t="shared" si="324"/>
        <v>0</v>
      </c>
      <c r="AW514" s="815">
        <f t="shared" si="325"/>
        <v>0</v>
      </c>
      <c r="AX514" s="81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6"/>
      <c r="C515" s="1177"/>
      <c r="D515" s="2297"/>
      <c r="E515" s="81">
        <f t="shared" si="323"/>
        <v>0</v>
      </c>
      <c r="F515" s="82"/>
      <c r="G515" s="83">
        <f t="shared" si="327"/>
        <v>0</v>
      </c>
      <c r="H515" s="84">
        <f t="shared" si="328"/>
        <v>0</v>
      </c>
      <c r="I515" s="1177"/>
      <c r="J515" s="85"/>
      <c r="K515" s="1177"/>
      <c r="L515" s="85"/>
      <c r="M515" s="1177"/>
      <c r="N515" s="85"/>
      <c r="O515" s="85"/>
      <c r="P515" s="85"/>
      <c r="Q515" s="85"/>
      <c r="R515" s="85"/>
      <c r="S515" s="85"/>
      <c r="T515" s="85"/>
      <c r="U515" s="85"/>
      <c r="V515" s="85"/>
      <c r="W515" s="85"/>
      <c r="X515" s="85"/>
      <c r="Y515" s="85"/>
      <c r="Z515" s="85"/>
      <c r="AA515" s="85"/>
      <c r="AB515" s="85"/>
      <c r="AC515" s="81">
        <f t="shared" si="329"/>
        <v>0</v>
      </c>
      <c r="AD515" s="86"/>
      <c r="AE515" s="86"/>
      <c r="AF515" s="1177"/>
      <c r="AG515" s="86"/>
      <c r="AH515" s="86"/>
      <c r="AI515" s="86"/>
      <c r="AJ515" s="86"/>
      <c r="AK515" s="86"/>
      <c r="AL515" s="86"/>
      <c r="AM515" s="86"/>
      <c r="AN515" s="86"/>
      <c r="AO515" s="86"/>
      <c r="AP515" s="86"/>
      <c r="AQ515" s="86"/>
      <c r="AR515" s="86"/>
      <c r="AS515" s="86"/>
      <c r="AT515" s="82"/>
      <c r="AU515" s="87"/>
      <c r="AV515" s="815">
        <f t="shared" si="324"/>
        <v>0</v>
      </c>
      <c r="AW515" s="815">
        <f t="shared" si="325"/>
        <v>0</v>
      </c>
      <c r="AX515" s="81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5">
        <f t="shared" si="324"/>
        <v>0</v>
      </c>
      <c r="AW516" s="815">
        <f t="shared" si="325"/>
        <v>0</v>
      </c>
      <c r="AX516" s="81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5">
        <f t="shared" si="324"/>
        <v>0</v>
      </c>
      <c r="AW517" s="815">
        <f t="shared" si="325"/>
        <v>0</v>
      </c>
      <c r="AX517" s="81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5">
        <f t="shared" si="324"/>
        <v>0</v>
      </c>
      <c r="AW518" s="815">
        <f t="shared" si="325"/>
        <v>0</v>
      </c>
      <c r="AX518" s="81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5">
        <f t="shared" si="324"/>
        <v>0</v>
      </c>
      <c r="AW519" s="815">
        <f t="shared" si="325"/>
        <v>0</v>
      </c>
      <c r="AX519" s="81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5">
        <f t="shared" si="324"/>
        <v>0</v>
      </c>
      <c r="AW520" s="815">
        <f t="shared" si="325"/>
        <v>0</v>
      </c>
      <c r="AX520" s="81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5">
        <f t="shared" si="324"/>
        <v>0</v>
      </c>
      <c r="AW521" s="815">
        <f t="shared" si="325"/>
        <v>0</v>
      </c>
      <c r="AX521" s="81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5">
        <f t="shared" si="324"/>
        <v>0</v>
      </c>
      <c r="AW522" s="815">
        <f t="shared" si="325"/>
        <v>0</v>
      </c>
      <c r="AX522" s="81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5">
        <f t="shared" si="324"/>
        <v>0</v>
      </c>
      <c r="AW523" s="815">
        <f t="shared" si="325"/>
        <v>0</v>
      </c>
      <c r="AX523" s="81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5">
        <f t="shared" si="324"/>
        <v>0</v>
      </c>
      <c r="AW524" s="815">
        <f t="shared" si="325"/>
        <v>0</v>
      </c>
      <c r="AX524" s="81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5">
        <f t="shared" si="324"/>
        <v>0</v>
      </c>
      <c r="AW525" s="815">
        <f t="shared" si="325"/>
        <v>0</v>
      </c>
      <c r="AX525" s="81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5">
        <f t="shared" si="324"/>
        <v>0</v>
      </c>
      <c r="AW526" s="815">
        <f t="shared" si="325"/>
        <v>0</v>
      </c>
      <c r="AX526" s="81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5">
        <f t="shared" si="324"/>
        <v>0</v>
      </c>
      <c r="AW527" s="815">
        <f t="shared" si="325"/>
        <v>0</v>
      </c>
      <c r="AX527" s="81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5">
        <f t="shared" si="324"/>
        <v>0</v>
      </c>
      <c r="AW528" s="815">
        <f t="shared" si="325"/>
        <v>0</v>
      </c>
      <c r="AX528" s="81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5">
        <f t="shared" si="324"/>
        <v>0</v>
      </c>
      <c r="AW529" s="815">
        <f t="shared" si="325"/>
        <v>0</v>
      </c>
      <c r="AX529" s="81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5">
        <f t="shared" si="324"/>
        <v>0</v>
      </c>
      <c r="AW530" s="815">
        <f t="shared" si="325"/>
        <v>0</v>
      </c>
      <c r="AX530" s="81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5">
        <f t="shared" si="324"/>
        <v>0</v>
      </c>
      <c r="AW531" s="815">
        <f t="shared" si="325"/>
        <v>0</v>
      </c>
      <c r="AX531" s="81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5">
        <f t="shared" si="324"/>
        <v>0</v>
      </c>
      <c r="AW532" s="815">
        <f t="shared" si="325"/>
        <v>0</v>
      </c>
      <c r="AX532" s="81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5">
        <f t="shared" si="324"/>
        <v>0</v>
      </c>
      <c r="AW533" s="815">
        <f t="shared" si="325"/>
        <v>0</v>
      </c>
      <c r="AX533" s="81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5">
        <f t="shared" si="324"/>
        <v>0</v>
      </c>
      <c r="AW534" s="815">
        <f t="shared" si="325"/>
        <v>0</v>
      </c>
      <c r="AX534" s="81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5">
        <f t="shared" si="324"/>
        <v>0</v>
      </c>
      <c r="AW535" s="815">
        <f t="shared" si="325"/>
        <v>0</v>
      </c>
      <c r="AX535" s="81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5">
        <f t="shared" si="324"/>
        <v>0</v>
      </c>
      <c r="AW536" s="815">
        <f t="shared" si="325"/>
        <v>0</v>
      </c>
      <c r="AX536" s="81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5">
        <f t="shared" si="324"/>
        <v>0</v>
      </c>
      <c r="AW537" s="815">
        <f t="shared" si="325"/>
        <v>0</v>
      </c>
      <c r="AX537" s="81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5">
        <f t="shared" ref="AV538:AV572" si="356">A538</f>
        <v>0</v>
      </c>
      <c r="AW538" s="815">
        <f t="shared" ref="AW538:AW572" si="357">B538</f>
        <v>0</v>
      </c>
      <c r="AX538" s="81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5">
        <f t="shared" si="356"/>
        <v>0</v>
      </c>
      <c r="AW539" s="815">
        <f t="shared" si="357"/>
        <v>0</v>
      </c>
      <c r="AX539" s="81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5">
        <f t="shared" si="356"/>
        <v>0</v>
      </c>
      <c r="AW540" s="815">
        <f t="shared" si="357"/>
        <v>0</v>
      </c>
      <c r="AX540" s="81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5">
        <f t="shared" si="356"/>
        <v>0</v>
      </c>
      <c r="AW541" s="815">
        <f t="shared" si="357"/>
        <v>0</v>
      </c>
      <c r="AX541" s="81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5">
        <f t="shared" si="356"/>
        <v>0</v>
      </c>
      <c r="AW542" s="815">
        <f t="shared" si="357"/>
        <v>0</v>
      </c>
      <c r="AX542" s="81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5">
        <f t="shared" si="356"/>
        <v>0</v>
      </c>
      <c r="AW543" s="815">
        <f t="shared" si="357"/>
        <v>0</v>
      </c>
      <c r="AX543" s="81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5">
        <f t="shared" si="356"/>
        <v>0</v>
      </c>
      <c r="AW544" s="815">
        <f t="shared" si="357"/>
        <v>0</v>
      </c>
      <c r="AX544" s="81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5">
        <f t="shared" si="356"/>
        <v>0</v>
      </c>
      <c r="AW545" s="815">
        <f t="shared" si="357"/>
        <v>0</v>
      </c>
      <c r="AX545" s="81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5">
        <f t="shared" si="356"/>
        <v>0</v>
      </c>
      <c r="AW546" s="815">
        <f t="shared" si="357"/>
        <v>0</v>
      </c>
      <c r="AX546" s="81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5">
        <f t="shared" si="356"/>
        <v>0</v>
      </c>
      <c r="AW547" s="815">
        <f t="shared" si="357"/>
        <v>0</v>
      </c>
      <c r="AX547" s="81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5">
        <f t="shared" si="356"/>
        <v>0</v>
      </c>
      <c r="AW548" s="815">
        <f t="shared" si="357"/>
        <v>0</v>
      </c>
      <c r="AX548" s="81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5">
        <f t="shared" si="356"/>
        <v>0</v>
      </c>
      <c r="AW549" s="815">
        <f t="shared" si="357"/>
        <v>0</v>
      </c>
      <c r="AX549" s="81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5">
        <f t="shared" si="356"/>
        <v>0</v>
      </c>
      <c r="AW550" s="815">
        <f t="shared" si="357"/>
        <v>0</v>
      </c>
      <c r="AX550" s="81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5">
        <f t="shared" si="356"/>
        <v>0</v>
      </c>
      <c r="AW551" s="815">
        <f t="shared" si="357"/>
        <v>0</v>
      </c>
      <c r="AX551" s="81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5">
        <f t="shared" si="356"/>
        <v>0</v>
      </c>
      <c r="AW552" s="815">
        <f t="shared" si="357"/>
        <v>0</v>
      </c>
      <c r="AX552" s="81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5">
        <f t="shared" si="356"/>
        <v>0</v>
      </c>
      <c r="AW553" s="815">
        <f t="shared" si="357"/>
        <v>0</v>
      </c>
      <c r="AX553" s="81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5">
        <f t="shared" si="356"/>
        <v>0</v>
      </c>
      <c r="AW554" s="815">
        <f t="shared" si="357"/>
        <v>0</v>
      </c>
      <c r="AX554" s="81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5">
        <f t="shared" si="356"/>
        <v>0</v>
      </c>
      <c r="AW555" s="815">
        <f t="shared" si="357"/>
        <v>0</v>
      </c>
      <c r="AX555" s="81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5">
        <f t="shared" si="356"/>
        <v>0</v>
      </c>
      <c r="AW556" s="815">
        <f t="shared" si="357"/>
        <v>0</v>
      </c>
      <c r="AX556" s="81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5">
        <f t="shared" si="356"/>
        <v>0</v>
      </c>
      <c r="AW557" s="815">
        <f t="shared" si="357"/>
        <v>0</v>
      </c>
      <c r="AX557" s="81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5">
        <f t="shared" si="356"/>
        <v>0</v>
      </c>
      <c r="AW558" s="815">
        <f t="shared" si="357"/>
        <v>0</v>
      </c>
      <c r="AX558" s="81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5">
        <f t="shared" si="356"/>
        <v>0</v>
      </c>
      <c r="AW559" s="815">
        <f t="shared" si="357"/>
        <v>0</v>
      </c>
      <c r="AX559" s="81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5">
        <f t="shared" si="356"/>
        <v>0</v>
      </c>
      <c r="AW560" s="815">
        <f t="shared" si="357"/>
        <v>0</v>
      </c>
      <c r="AX560" s="81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5">
        <f t="shared" si="356"/>
        <v>0</v>
      </c>
      <c r="AW561" s="815">
        <f t="shared" si="357"/>
        <v>0</v>
      </c>
      <c r="AX561" s="81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5">
        <f t="shared" si="356"/>
        <v>0</v>
      </c>
      <c r="AW562" s="815">
        <f t="shared" si="357"/>
        <v>0</v>
      </c>
      <c r="AX562" s="81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5">
        <f t="shared" si="356"/>
        <v>0</v>
      </c>
      <c r="AW563" s="815">
        <f t="shared" si="357"/>
        <v>0</v>
      </c>
      <c r="AX563" s="81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5">
        <f t="shared" si="356"/>
        <v>0</v>
      </c>
      <c r="AW564" s="815">
        <f t="shared" si="357"/>
        <v>0</v>
      </c>
      <c r="AX564" s="81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5">
        <f t="shared" si="356"/>
        <v>0</v>
      </c>
      <c r="AW565" s="815">
        <f t="shared" si="357"/>
        <v>0</v>
      </c>
      <c r="AX565" s="81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5">
        <f t="shared" si="356"/>
        <v>0</v>
      </c>
      <c r="AW566" s="815">
        <f t="shared" si="357"/>
        <v>0</v>
      </c>
      <c r="AX566" s="81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5">
        <f t="shared" si="356"/>
        <v>0</v>
      </c>
      <c r="AW567" s="815">
        <f t="shared" si="357"/>
        <v>0</v>
      </c>
      <c r="AX567" s="81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5">
        <f t="shared" si="356"/>
        <v>0</v>
      </c>
      <c r="AW568" s="815">
        <f t="shared" si="357"/>
        <v>0</v>
      </c>
      <c r="AX568" s="81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5">
        <f t="shared" si="356"/>
        <v>0</v>
      </c>
      <c r="AW569" s="815">
        <f t="shared" si="357"/>
        <v>0</v>
      </c>
      <c r="AX569" s="81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5">
        <f t="shared" si="356"/>
        <v>0</v>
      </c>
      <c r="AW570" s="815">
        <f t="shared" si="357"/>
        <v>0</v>
      </c>
      <c r="AX570" s="81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5">
        <f t="shared" si="356"/>
        <v>0</v>
      </c>
      <c r="AW571" s="815">
        <f t="shared" si="357"/>
        <v>0</v>
      </c>
      <c r="AX571" s="81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5">
        <f t="shared" si="356"/>
        <v>0</v>
      </c>
      <c r="AW572" s="815">
        <f t="shared" si="357"/>
        <v>0</v>
      </c>
      <c r="AX572" s="81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opLeftCell="A7" workbookViewId="0">
      <selection activeCell="B30" sqref="B30"/>
    </sheetView>
  </sheetViews>
  <sheetFormatPr defaultRowHeight="13.5"/>
  <cols>
    <col min="1" max="1" width="19.375" customWidth="1"/>
  </cols>
  <sheetData>
    <row r="1" spans="1:15">
      <c r="A1" s="2743" t="s">
        <v>3300</v>
      </c>
      <c r="B1">
        <v>21672.98</v>
      </c>
    </row>
    <row r="2" spans="1:15">
      <c r="A2" s="2743" t="s">
        <v>3301</v>
      </c>
      <c r="B2">
        <f>B3+B10</f>
        <v>64390.649999999994</v>
      </c>
    </row>
    <row r="3" spans="1:15">
      <c r="A3" s="2743" t="s">
        <v>3302</v>
      </c>
      <c r="B3">
        <f>SUM(B4:B9)</f>
        <v>43345.959999999992</v>
      </c>
    </row>
    <row r="4" spans="1:15">
      <c r="A4" s="3385" t="s">
        <v>3290</v>
      </c>
      <c r="B4" s="3386">
        <v>34475.879999999997</v>
      </c>
    </row>
    <row r="5" spans="1:15">
      <c r="A5" s="2743" t="s">
        <v>3303</v>
      </c>
      <c r="B5">
        <v>115.07</v>
      </c>
    </row>
    <row r="6" spans="1:15">
      <c r="A6" s="2743" t="s">
        <v>3304</v>
      </c>
      <c r="B6">
        <v>85.81</v>
      </c>
    </row>
    <row r="7" spans="1:15">
      <c r="A7" s="3385" t="s">
        <v>3306</v>
      </c>
      <c r="B7" s="3386">
        <v>5896.96</v>
      </c>
    </row>
    <row r="8" spans="1:15">
      <c r="A8" s="3385" t="s">
        <v>3291</v>
      </c>
      <c r="B8" s="3386">
        <v>2172.2399999999998</v>
      </c>
    </row>
    <row r="9" spans="1:15">
      <c r="A9" s="2743" t="s">
        <v>3307</v>
      </c>
      <c r="B9">
        <v>600</v>
      </c>
    </row>
    <row r="10" spans="1:15">
      <c r="A10" s="2743" t="s">
        <v>3308</v>
      </c>
      <c r="B10">
        <f>SUM(B11:B14)</f>
        <v>21044.690000000002</v>
      </c>
    </row>
    <row r="11" spans="1:15">
      <c r="A11" s="3385" t="s">
        <v>3309</v>
      </c>
      <c r="B11" s="3386">
        <v>11328.62</v>
      </c>
    </row>
    <row r="12" spans="1:15">
      <c r="A12" s="3385" t="s">
        <v>3311</v>
      </c>
      <c r="B12" s="3386">
        <v>6372.1</v>
      </c>
    </row>
    <row r="13" spans="1:15">
      <c r="A13" s="2743" t="s">
        <v>3313</v>
      </c>
      <c r="B13">
        <v>2753.07</v>
      </c>
    </row>
    <row r="14" spans="1:15">
      <c r="A14" s="2743" t="s">
        <v>3314</v>
      </c>
      <c r="B14">
        <v>590.9</v>
      </c>
      <c r="N14" s="2743" t="s">
        <v>4118</v>
      </c>
      <c r="O14">
        <f>475.03+993.46+703.75</f>
        <v>2172.2399999999998</v>
      </c>
    </row>
    <row r="15" spans="1:15">
      <c r="A15" s="2743" t="s">
        <v>3296</v>
      </c>
      <c r="B15">
        <v>2</v>
      </c>
    </row>
    <row r="16" spans="1:15">
      <c r="N16" s="2743"/>
    </row>
    <row r="18" spans="1:2">
      <c r="A18" s="2743" t="s">
        <v>3316</v>
      </c>
      <c r="B18">
        <v>489</v>
      </c>
    </row>
    <row r="19" spans="1:2">
      <c r="A19" s="2743" t="s">
        <v>3318</v>
      </c>
      <c r="B19">
        <v>24</v>
      </c>
    </row>
    <row r="20" spans="1:2">
      <c r="A20" s="2743" t="s">
        <v>3320</v>
      </c>
      <c r="B20">
        <v>465</v>
      </c>
    </row>
    <row r="21" spans="1:2">
      <c r="A21" s="2743" t="s">
        <v>3290</v>
      </c>
      <c r="B21">
        <f>375-B19</f>
        <v>351</v>
      </c>
    </row>
    <row r="22" spans="1:2">
      <c r="A22" s="2743" t="s">
        <v>3299</v>
      </c>
      <c r="B22">
        <v>65</v>
      </c>
    </row>
    <row r="23" spans="1:2">
      <c r="A23" s="2743" t="s">
        <v>3321</v>
      </c>
      <c r="B23">
        <v>50</v>
      </c>
    </row>
    <row r="24" spans="1:2">
      <c r="A24" s="2743" t="s">
        <v>3322</v>
      </c>
      <c r="B24">
        <v>118</v>
      </c>
    </row>
    <row r="25" spans="1:2">
      <c r="A25" s="2743" t="s">
        <v>3324</v>
      </c>
      <c r="B25">
        <v>347</v>
      </c>
    </row>
    <row r="27" spans="1:2">
      <c r="A27" s="2743" t="s">
        <v>3311</v>
      </c>
    </row>
    <row r="28" spans="1:2">
      <c r="A28" s="2743" t="s">
        <v>3318</v>
      </c>
      <c r="B28">
        <v>29.04</v>
      </c>
    </row>
    <row r="29" spans="1:2">
      <c r="A29" s="2743" t="s">
        <v>3320</v>
      </c>
      <c r="B29">
        <v>6372.1</v>
      </c>
    </row>
    <row r="30" spans="1:2">
      <c r="B30">
        <f>B29+B28</f>
        <v>6401.14</v>
      </c>
    </row>
    <row r="32" spans="1:2">
      <c r="A32" s="2743" t="s">
        <v>3326</v>
      </c>
    </row>
    <row r="33" spans="1:5">
      <c r="A33" s="2743" t="s">
        <v>3318</v>
      </c>
      <c r="B33">
        <v>100.02</v>
      </c>
    </row>
    <row r="34" spans="1:5">
      <c r="A34" s="2743" t="s">
        <v>3320</v>
      </c>
      <c r="B34">
        <v>50.08</v>
      </c>
    </row>
    <row r="37" spans="1:5">
      <c r="A37" s="2743" t="s">
        <v>3327</v>
      </c>
      <c r="D37" s="2743" t="s">
        <v>3313</v>
      </c>
    </row>
    <row r="38" spans="1:5">
      <c r="A38" s="2743" t="s">
        <v>3318</v>
      </c>
      <c r="B38" s="2743" t="s">
        <v>3328</v>
      </c>
      <c r="D38" s="2743" t="s">
        <v>3318</v>
      </c>
    </row>
    <row r="39" spans="1:5">
      <c r="A39" s="2743" t="s">
        <v>3329</v>
      </c>
      <c r="B39">
        <v>15.05</v>
      </c>
      <c r="D39" s="2743" t="s">
        <v>3331</v>
      </c>
      <c r="E39">
        <v>48.72</v>
      </c>
    </row>
    <row r="40" spans="1:5">
      <c r="A40" s="2743" t="s">
        <v>3330</v>
      </c>
      <c r="B40">
        <v>8.0500000000000007</v>
      </c>
      <c r="D40" s="2743" t="s">
        <v>3320</v>
      </c>
      <c r="E40">
        <v>2339.2800000000002</v>
      </c>
    </row>
    <row r="41" spans="1:5">
      <c r="A41" s="2743" t="s">
        <v>3320</v>
      </c>
    </row>
    <row r="42" spans="1:5">
      <c r="A42" s="2743"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H17" sqref="H17"/>
    </sheetView>
  </sheetViews>
  <sheetFormatPr defaultRowHeight="13.5"/>
  <cols>
    <col min="1" max="1" width="24.75" customWidth="1"/>
    <col min="2" max="2" width="11.625" bestFit="1" customWidth="1"/>
    <col min="8" max="8" width="19.875" customWidth="1"/>
  </cols>
  <sheetData>
    <row r="1" spans="1:9">
      <c r="A1" s="2743" t="s">
        <v>3280</v>
      </c>
      <c r="H1" s="2743" t="s">
        <v>4287</v>
      </c>
    </row>
    <row r="2" spans="1:9">
      <c r="A2" s="2743" t="s">
        <v>3281</v>
      </c>
      <c r="B2" s="2743" t="s">
        <v>3283</v>
      </c>
      <c r="H2" s="2743" t="s">
        <v>4113</v>
      </c>
      <c r="I2">
        <v>9500</v>
      </c>
    </row>
    <row r="3" spans="1:9">
      <c r="A3" s="2743" t="s">
        <v>3284</v>
      </c>
      <c r="B3">
        <v>21672.98</v>
      </c>
      <c r="H3" s="2743" t="s">
        <v>4114</v>
      </c>
      <c r="I3">
        <v>15000</v>
      </c>
    </row>
    <row r="4" spans="1:9">
      <c r="A4" s="2743" t="s">
        <v>3285</v>
      </c>
      <c r="B4" s="2743" t="s">
        <v>3286</v>
      </c>
      <c r="H4" s="2743" t="s">
        <v>4114</v>
      </c>
      <c r="I4">
        <v>25000</v>
      </c>
    </row>
    <row r="5" spans="1:9">
      <c r="A5" s="2743" t="s">
        <v>3287</v>
      </c>
      <c r="B5" s="2743" t="s">
        <v>3288</v>
      </c>
      <c r="H5" s="2743" t="s">
        <v>4114</v>
      </c>
      <c r="I5">
        <v>10000</v>
      </c>
    </row>
    <row r="6" spans="1:9">
      <c r="A6" s="2743" t="s">
        <v>3289</v>
      </c>
      <c r="B6" s="2743" t="s">
        <v>3290</v>
      </c>
      <c r="C6" s="2743" t="s">
        <v>3291</v>
      </c>
      <c r="D6" s="2743" t="s">
        <v>3292</v>
      </c>
      <c r="I6">
        <f>SUM(I3:I5)</f>
        <v>50000</v>
      </c>
    </row>
    <row r="7" spans="1:9">
      <c r="B7">
        <v>70</v>
      </c>
      <c r="C7">
        <v>40</v>
      </c>
      <c r="D7">
        <v>50</v>
      </c>
      <c r="H7" s="2743" t="s">
        <v>4266</v>
      </c>
      <c r="I7">
        <f>I6*3%</f>
        <v>1500</v>
      </c>
    </row>
    <row r="8" spans="1:9">
      <c r="A8" s="2743" t="s">
        <v>3293</v>
      </c>
      <c r="B8">
        <v>50000</v>
      </c>
      <c r="H8" s="2743" t="s">
        <v>4267</v>
      </c>
      <c r="I8">
        <f>I6*0.05%</f>
        <v>25</v>
      </c>
    </row>
    <row r="9" spans="1:9">
      <c r="A9" s="2743" t="s">
        <v>3294</v>
      </c>
      <c r="B9">
        <v>11535</v>
      </c>
      <c r="I9">
        <f>SUM(I7:I8)</f>
        <v>1525</v>
      </c>
    </row>
    <row r="10" spans="1:9">
      <c r="A10" s="2743" t="s">
        <v>3295</v>
      </c>
      <c r="B10">
        <v>43345.96</v>
      </c>
      <c r="C10" s="2743" t="s">
        <v>3290</v>
      </c>
      <c r="D10" s="2743" t="s">
        <v>3299</v>
      </c>
      <c r="H10" s="2743" t="s">
        <v>4288</v>
      </c>
    </row>
    <row r="11" spans="1:9">
      <c r="A11" s="2743" t="s">
        <v>3296</v>
      </c>
      <c r="B11">
        <v>2</v>
      </c>
      <c r="C11">
        <v>34676.767999999996</v>
      </c>
      <c r="D11">
        <v>8669.1919999999991</v>
      </c>
    </row>
    <row r="12" spans="1:9">
      <c r="A12" s="2743" t="s">
        <v>3297</v>
      </c>
      <c r="B12" s="3384">
        <v>45637</v>
      </c>
    </row>
    <row r="13" spans="1:9">
      <c r="A13" s="2743" t="s">
        <v>3298</v>
      </c>
      <c r="B13" s="3384">
        <v>46732</v>
      </c>
    </row>
    <row r="15" spans="1:9">
      <c r="H15">
        <f>B8*10000/C11</f>
        <v>14418.875484589569</v>
      </c>
    </row>
    <row r="16" spans="1:9">
      <c r="H16">
        <f>B8*10000/B10</f>
        <v>11535.100387671653</v>
      </c>
    </row>
  </sheetData>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F20" sqref="F20:F21"/>
    </sheetView>
  </sheetViews>
  <sheetFormatPr defaultColWidth="9.25" defaultRowHeight="14.25"/>
  <cols>
    <col min="1" max="1" width="8.25" style="1631" customWidth="1"/>
    <col min="2" max="2" width="10.25" style="1631" customWidth="1"/>
    <col min="3" max="3" width="18.5" style="1631" customWidth="1"/>
    <col min="4" max="4" width="11.125" style="1631" customWidth="1"/>
    <col min="5" max="5" width="13.375" style="1631" customWidth="1"/>
    <col min="6" max="8" width="11.5" style="1631" customWidth="1"/>
    <col min="9" max="9" width="10.375" style="1631" customWidth="1"/>
    <col min="10" max="10" width="3.125" style="1631" customWidth="1"/>
    <col min="11" max="16" width="11.625" style="1631" customWidth="1"/>
    <col min="17" max="17" width="3.375" style="1631" customWidth="1"/>
    <col min="18" max="16384" width="9.25" style="1631"/>
  </cols>
  <sheetData>
    <row r="1" spans="1:16" ht="18.75">
      <c r="A1" s="95" t="s">
        <v>168</v>
      </c>
      <c r="B1" s="1630"/>
      <c r="C1" s="1630"/>
      <c r="D1" s="1630"/>
      <c r="E1" s="1630"/>
      <c r="F1" s="1630"/>
      <c r="G1" s="1630"/>
      <c r="H1" s="1630"/>
      <c r="I1" s="1630"/>
      <c r="J1" s="1630"/>
      <c r="K1" s="1630"/>
      <c r="L1" s="1630"/>
      <c r="M1" s="1630"/>
      <c r="N1" s="1630"/>
      <c r="O1" s="1630"/>
      <c r="P1" s="1630"/>
    </row>
    <row r="2" spans="1:16" ht="15">
      <c r="A2" s="3551" t="s">
        <v>169</v>
      </c>
      <c r="B2" s="3551"/>
      <c r="C2" s="3551"/>
      <c r="D2" s="1628" t="s">
        <v>170</v>
      </c>
      <c r="E2" s="97" t="s">
        <v>171</v>
      </c>
      <c r="F2" s="2606"/>
      <c r="G2" s="1039"/>
      <c r="H2" s="1040"/>
      <c r="I2" s="1041" t="s">
        <v>795</v>
      </c>
      <c r="J2" s="2606"/>
      <c r="K2" s="2606"/>
      <c r="L2" s="2606"/>
      <c r="M2" s="2606"/>
      <c r="N2" s="2606"/>
      <c r="O2" s="2606"/>
      <c r="P2" s="2606"/>
    </row>
    <row r="3" spans="1:16" ht="15.75" thickBot="1">
      <c r="A3" s="3552" t="s">
        <v>172</v>
      </c>
      <c r="B3" s="3552"/>
      <c r="C3" s="3552"/>
      <c r="D3" s="98">
        <f>'数据-基础表'!AY6</f>
        <v>19518.45</v>
      </c>
      <c r="E3" s="98">
        <f>'数据-基础表'!AZ5</f>
        <v>57989.509999999995</v>
      </c>
      <c r="F3" s="2606"/>
      <c r="G3" s="106" t="s">
        <v>796</v>
      </c>
      <c r="H3" s="102" t="s">
        <v>797</v>
      </c>
      <c r="I3" s="994">
        <f>ROUND('数据-基础表'!B3/'数据-基础表'!A3,2)</f>
        <v>2.97</v>
      </c>
      <c r="J3" s="2606"/>
      <c r="K3" s="2606"/>
      <c r="L3" s="2606"/>
      <c r="M3" s="2606"/>
      <c r="N3" s="2606"/>
      <c r="O3" s="2606"/>
      <c r="P3" s="2606"/>
    </row>
    <row r="4" spans="1:16" ht="15">
      <c r="A4" s="3553"/>
      <c r="B4" s="3554"/>
      <c r="C4" s="3555"/>
      <c r="D4" s="99" t="s">
        <v>170</v>
      </c>
      <c r="E4" s="100" t="s">
        <v>171</v>
      </c>
      <c r="F4" s="2606"/>
      <c r="G4" s="119"/>
      <c r="H4" s="102" t="s">
        <v>798</v>
      </c>
      <c r="I4" s="994">
        <f>ROUND(SUMIF('数据-基础表'!I9:AS9,"地上",'数据-基础表'!I5:AS5)/'数据-基础表'!A3,2)</f>
        <v>2</v>
      </c>
      <c r="J4" s="2606"/>
      <c r="K4" s="2606"/>
      <c r="L4" s="2606"/>
      <c r="M4" s="2606"/>
      <c r="N4" s="2606"/>
      <c r="O4" s="2606"/>
      <c r="P4" s="2606"/>
    </row>
    <row r="5" spans="1:16">
      <c r="A5" s="101" t="s">
        <v>173</v>
      </c>
      <c r="B5" s="3556" t="s">
        <v>196</v>
      </c>
      <c r="C5" s="3556"/>
      <c r="D5" s="102">
        <f>ROUND($D$3*E5/$E$3,2)</f>
        <v>11604.09</v>
      </c>
      <c r="E5" s="103">
        <f>SUMIF('数据-基础表'!$11:$11,"住宅",'数据-基础表'!$5:$5)</f>
        <v>34475.879999999997</v>
      </c>
      <c r="F5" s="2606"/>
      <c r="G5" s="106" t="s">
        <v>799</v>
      </c>
      <c r="H5" s="102" t="s">
        <v>797</v>
      </c>
      <c r="I5" s="994">
        <f>ROUND(E31/D31,2)</f>
        <v>2.97</v>
      </c>
      <c r="J5" s="2606"/>
      <c r="K5" s="2606"/>
      <c r="L5" s="2606"/>
      <c r="M5" s="2606"/>
      <c r="N5" s="2606"/>
      <c r="O5" s="2606"/>
      <c r="P5" s="2606"/>
    </row>
    <row r="6" spans="1:16" ht="15" thickBot="1">
      <c r="A6" s="104"/>
      <c r="B6" s="3556" t="s">
        <v>174</v>
      </c>
      <c r="C6" s="3556"/>
      <c r="D6" s="102">
        <f>ROUND($D$3*E6/$E$3,2)</f>
        <v>7914.36</v>
      </c>
      <c r="E6" s="103">
        <f>E3-E5</f>
        <v>23513.629999999997</v>
      </c>
      <c r="F6" s="2606"/>
      <c r="G6" s="119"/>
      <c r="H6" s="102" t="s">
        <v>798</v>
      </c>
      <c r="I6" s="994">
        <f>ROUND(F31/D31,2)</f>
        <v>2.2200000000000002</v>
      </c>
      <c r="J6" s="2606"/>
      <c r="K6" s="2606"/>
      <c r="L6" s="2606"/>
      <c r="M6" s="2606"/>
      <c r="N6" s="2606"/>
      <c r="O6" s="2606"/>
      <c r="P6" s="2606"/>
    </row>
    <row r="7" spans="1:16" ht="15">
      <c r="A7" s="3548"/>
      <c r="B7" s="3549"/>
      <c r="C7" s="3550"/>
      <c r="D7" s="99" t="s">
        <v>170</v>
      </c>
      <c r="E7" s="105" t="s">
        <v>197</v>
      </c>
      <c r="F7" s="2606"/>
      <c r="G7" s="999" t="s">
        <v>1180</v>
      </c>
      <c r="H7" s="1000"/>
      <c r="I7" s="127">
        <v>2</v>
      </c>
      <c r="J7" s="2606"/>
      <c r="K7" s="2606"/>
      <c r="L7" s="2606"/>
      <c r="M7" s="2606"/>
      <c r="N7" s="2606"/>
      <c r="O7" s="2606"/>
      <c r="P7" s="2606"/>
    </row>
    <row r="8" spans="1:16">
      <c r="A8" s="101" t="s">
        <v>175</v>
      </c>
      <c r="B8" s="106" t="s">
        <v>176</v>
      </c>
      <c r="C8" s="102" t="s">
        <v>177</v>
      </c>
      <c r="D8" s="102">
        <f t="shared" ref="D8:D15" si="0">ROUND($D$3*E8/$E$3,2)</f>
        <v>14320.07</v>
      </c>
      <c r="E8" s="107">
        <f>SUMIF('数据-基础表'!BB10:BK10,"地上",'数据-基础表'!BB5:BK5)</f>
        <v>42545.079999999994</v>
      </c>
      <c r="F8" s="2606"/>
      <c r="G8" s="2606"/>
      <c r="H8" s="2606"/>
      <c r="I8" s="2606">
        <f>F27/'数据-基础表'!A3</f>
        <v>1.9630470752060858</v>
      </c>
      <c r="J8" s="2606"/>
      <c r="K8" s="2606"/>
      <c r="L8" s="2606"/>
      <c r="M8" s="2606"/>
      <c r="N8" s="2606"/>
      <c r="O8" s="2606"/>
      <c r="P8" s="2606"/>
    </row>
    <row r="9" spans="1:16">
      <c r="A9" s="108"/>
      <c r="B9" s="109"/>
      <c r="C9" s="102" t="s">
        <v>178</v>
      </c>
      <c r="D9" s="102">
        <f t="shared" si="0"/>
        <v>33.67</v>
      </c>
      <c r="E9" s="110">
        <f>指标!B33</f>
        <v>100.02</v>
      </c>
      <c r="F9" s="2606"/>
      <c r="G9" s="2606"/>
      <c r="H9" s="2606"/>
      <c r="I9" s="2606"/>
      <c r="J9" s="2606"/>
      <c r="K9" s="2606"/>
      <c r="L9" s="2606"/>
      <c r="M9" s="2606"/>
      <c r="N9" s="2606"/>
      <c r="O9" s="2606"/>
      <c r="P9" s="2606"/>
    </row>
    <row r="10" spans="1:16">
      <c r="A10" s="108"/>
      <c r="B10" s="109"/>
      <c r="C10" s="102" t="s">
        <v>179</v>
      </c>
      <c r="D10" s="102">
        <f t="shared" si="0"/>
        <v>0</v>
      </c>
      <c r="E10" s="107">
        <f>SUMPRODUCT(('数据-基础表'!BB10:BK10="地下")*('数据-基础表'!BB11:BK11="商业")*('数据-基础表'!BB5:BK5))</f>
        <v>0</v>
      </c>
      <c r="F10" s="2606"/>
      <c r="G10" s="2606"/>
      <c r="H10" s="2606"/>
      <c r="I10" s="2606"/>
      <c r="J10" s="2606"/>
      <c r="K10" s="2606"/>
      <c r="L10" s="2606"/>
      <c r="M10" s="2606"/>
      <c r="N10" s="2606"/>
      <c r="O10" s="2606"/>
      <c r="P10" s="2606"/>
    </row>
    <row r="11" spans="1:16">
      <c r="A11" s="108"/>
      <c r="B11" s="109"/>
      <c r="C11" s="1915" t="s">
        <v>1682</v>
      </c>
      <c r="D11" s="102">
        <f t="shared" si="0"/>
        <v>16.86</v>
      </c>
      <c r="E11" s="107">
        <f>SUMPRODUCT(('数据-基础表'!BB10:BK10="地下")*('数据-基础表'!BB11:BK11="办公")*('数据-基础表'!BB5:BK5))+'数据-基础表'!AJ5</f>
        <v>50.08</v>
      </c>
      <c r="F11" s="2606"/>
      <c r="G11" s="2606"/>
      <c r="H11" s="2606"/>
      <c r="I11" s="2606"/>
      <c r="J11" s="2606"/>
      <c r="K11" s="2606"/>
      <c r="L11" s="2606"/>
      <c r="M11" s="2606"/>
      <c r="N11" s="2606"/>
      <c r="O11" s="2606"/>
      <c r="P11" s="2606"/>
    </row>
    <row r="12" spans="1:16">
      <c r="A12" s="108"/>
      <c r="B12" s="109"/>
      <c r="C12" s="102" t="s">
        <v>180</v>
      </c>
      <c r="D12" s="102">
        <f t="shared" si="0"/>
        <v>0</v>
      </c>
      <c r="E12" s="107">
        <f>SUMPRODUCT(('数据-基础表'!BB10:BK10="地下")*('数据-基础表'!BB11:BK11="仓储")*('数据-基础表'!BB5:BK5))</f>
        <v>0</v>
      </c>
      <c r="F12" s="2606"/>
      <c r="G12" s="2606"/>
      <c r="H12" s="2606"/>
      <c r="I12" s="2606"/>
      <c r="J12" s="2606"/>
      <c r="K12" s="2606"/>
      <c r="L12" s="2606"/>
      <c r="M12" s="2606"/>
      <c r="N12" s="2606"/>
      <c r="O12" s="2606"/>
      <c r="P12" s="2606"/>
    </row>
    <row r="13" spans="1:16">
      <c r="A13" s="108"/>
      <c r="B13" s="109"/>
      <c r="C13" s="1915" t="s">
        <v>1689</v>
      </c>
      <c r="D13" s="102">
        <f t="shared" si="0"/>
        <v>3813.05</v>
      </c>
      <c r="E13" s="107">
        <f>SUMPRODUCT(('数据-基础表'!BB10:BK10="地下")*('数据-基础表'!BB11:BK11="车库")*('数据-基础表'!BB5:BK5))</f>
        <v>11328.62</v>
      </c>
      <c r="F13" s="2606"/>
      <c r="G13" s="2606"/>
      <c r="H13" s="2606"/>
      <c r="I13" s="2606"/>
      <c r="J13" s="2606"/>
      <c r="K13" s="2606"/>
      <c r="L13" s="2606"/>
      <c r="M13" s="2606"/>
      <c r="N13" s="2606"/>
      <c r="O13" s="2606"/>
      <c r="P13" s="2606"/>
    </row>
    <row r="14" spans="1:16">
      <c r="A14" s="108"/>
      <c r="B14" s="109"/>
      <c r="C14" s="102" t="s">
        <v>198</v>
      </c>
      <c r="D14" s="102">
        <f t="shared" si="0"/>
        <v>0</v>
      </c>
      <c r="E14" s="107">
        <f>SUMPRODUCT(('数据-基础表'!BB10:BK10="地下")*('数据-基础表'!BB11:BK11="车库—商业")*('数据-基础表'!BB5:BK5))</f>
        <v>0</v>
      </c>
      <c r="F14" s="2606"/>
      <c r="G14" s="2606"/>
      <c r="H14" s="2606"/>
      <c r="I14" s="2606"/>
      <c r="J14" s="2606"/>
      <c r="K14" s="2606"/>
      <c r="L14" s="2606"/>
      <c r="M14" s="2606"/>
      <c r="N14" s="2606"/>
      <c r="O14" s="2606"/>
      <c r="P14" s="2606"/>
    </row>
    <row r="15" spans="1:16" ht="15" thickBot="1">
      <c r="A15" s="108"/>
      <c r="B15" s="109"/>
      <c r="C15" s="102" t="s">
        <v>199</v>
      </c>
      <c r="D15" s="102">
        <f t="shared" si="0"/>
        <v>0</v>
      </c>
      <c r="E15" s="107">
        <f>SUMPRODUCT(('数据-基础表'!BB10:BK10="地下")*('数据-基础表'!BB11:BK11="车库—办公")*('数据-基础表'!BB5:BK5))</f>
        <v>0</v>
      </c>
      <c r="F15" s="2606"/>
      <c r="G15" s="2606"/>
      <c r="H15" s="2606"/>
      <c r="I15" s="2606"/>
      <c r="J15" s="2606"/>
      <c r="K15" s="2606"/>
      <c r="L15" s="2606"/>
      <c r="M15" s="2606"/>
      <c r="N15" s="2606"/>
      <c r="O15" s="2606"/>
      <c r="P15" s="2606"/>
    </row>
    <row r="16" spans="1:16" ht="15.75" thickBot="1">
      <c r="A16" s="104"/>
      <c r="B16" s="109"/>
      <c r="C16" s="106" t="s">
        <v>181</v>
      </c>
      <c r="D16" s="106">
        <f>SUM(D8:D15)</f>
        <v>18183.650000000001</v>
      </c>
      <c r="E16" s="111">
        <f>SUM(E8:E15)</f>
        <v>54023.799999999996</v>
      </c>
      <c r="F16" s="2606"/>
      <c r="G16" s="2606"/>
      <c r="H16" s="880" t="s">
        <v>185</v>
      </c>
      <c r="I16" s="881"/>
      <c r="J16" s="1630"/>
      <c r="K16" s="3542" t="s">
        <v>1847</v>
      </c>
      <c r="L16" s="3543"/>
      <c r="M16" s="3543"/>
      <c r="N16" s="3543"/>
      <c r="O16" s="3543"/>
      <c r="P16" s="3544"/>
    </row>
    <row r="17" spans="1:19" ht="15">
      <c r="A17" s="112" t="s">
        <v>182</v>
      </c>
      <c r="B17" s="113" t="s">
        <v>183</v>
      </c>
      <c r="C17" s="1883" t="s">
        <v>1668</v>
      </c>
      <c r="D17" s="99" t="s">
        <v>170</v>
      </c>
      <c r="E17" s="115" t="s">
        <v>171</v>
      </c>
      <c r="F17" s="116"/>
      <c r="G17" s="1156"/>
      <c r="H17" s="882" t="s">
        <v>184</v>
      </c>
      <c r="I17" s="883" t="s">
        <v>1667</v>
      </c>
      <c r="J17" s="1630"/>
      <c r="K17" s="3545" t="s">
        <v>1848</v>
      </c>
      <c r="L17" s="3546"/>
      <c r="M17" s="3547"/>
      <c r="N17" s="3545" t="s">
        <v>1849</v>
      </c>
      <c r="O17" s="3546"/>
      <c r="P17" s="3547"/>
      <c r="R17" s="1884" t="s">
        <v>1666</v>
      </c>
      <c r="S17" s="125"/>
    </row>
    <row r="18" spans="1:19" ht="15">
      <c r="A18" s="108"/>
      <c r="B18" s="119"/>
      <c r="C18" s="96"/>
      <c r="D18" s="1628"/>
      <c r="E18" s="120" t="s">
        <v>186</v>
      </c>
      <c r="F18" s="121" t="s">
        <v>187</v>
      </c>
      <c r="G18" s="1157" t="s">
        <v>188</v>
      </c>
      <c r="H18" s="884" t="s">
        <v>189</v>
      </c>
      <c r="I18" s="885" t="s">
        <v>190</v>
      </c>
      <c r="J18" s="1630"/>
      <c r="K18" s="2060" t="s">
        <v>1850</v>
      </c>
      <c r="L18" s="2061" t="s">
        <v>1851</v>
      </c>
      <c r="M18" s="2062" t="s">
        <v>1852</v>
      </c>
      <c r="N18" s="2060" t="s">
        <v>1850</v>
      </c>
      <c r="O18" s="2061" t="s">
        <v>1851</v>
      </c>
      <c r="P18" s="2062" t="s">
        <v>1852</v>
      </c>
      <c r="R18" s="1885" t="s">
        <v>1664</v>
      </c>
      <c r="S18" s="1885" t="s">
        <v>1665</v>
      </c>
    </row>
    <row r="19" spans="1:19">
      <c r="A19" s="123"/>
      <c r="B19" s="106" t="s">
        <v>191</v>
      </c>
      <c r="C19" s="2306" t="s">
        <v>3333</v>
      </c>
      <c r="D19" s="102">
        <f t="shared" ref="D19:D26" si="1">ROUND($D$3*E19/$E$3,2)</f>
        <v>11604.09</v>
      </c>
      <c r="E19" s="124">
        <f t="shared" ref="E19:E26" si="2">SUM(F19:G19)</f>
        <v>34475.879999999997</v>
      </c>
      <c r="F19" s="2607">
        <f>'数据-基础表'!I5</f>
        <v>34475.879999999997</v>
      </c>
      <c r="G19" s="2608"/>
      <c r="H19" s="886">
        <f>ROUND($D$3*I19/$E$3,2)</f>
        <v>1023.2</v>
      </c>
      <c r="I19" s="107">
        <f>IF($I$17="自定义",P19,M19)</f>
        <v>3039.95</v>
      </c>
      <c r="J19" s="1630"/>
      <c r="K19" s="886">
        <f t="shared" ref="K19:K26" si="3">ROUND(E$28*E19/E$27,2)</f>
        <v>1912.14</v>
      </c>
      <c r="L19" s="102">
        <f t="shared" ref="L19:L26" si="4">ROUND(IF(COUNTIF(C19,"*住宅*")&gt;0,E$29*E19/E$32,0),2)</f>
        <v>1127.81</v>
      </c>
      <c r="M19" s="107">
        <f>K19+L19</f>
        <v>3039.95</v>
      </c>
      <c r="N19" s="2063">
        <f>ROUND(E$28*E19/E$27,2)</f>
        <v>1912.14</v>
      </c>
      <c r="O19" s="2064">
        <f>ROUND(E$29*E19/E$32,2)</f>
        <v>1127.81</v>
      </c>
      <c r="P19" s="2065">
        <f>N19+O19</f>
        <v>3039.95</v>
      </c>
      <c r="R19" s="102">
        <f t="shared" ref="R19:S26" si="5">D19+H19</f>
        <v>12627.29</v>
      </c>
      <c r="S19" s="124">
        <f t="shared" si="5"/>
        <v>37515.829999999994</v>
      </c>
    </row>
    <row r="20" spans="1:19">
      <c r="A20" s="123"/>
      <c r="B20" s="106" t="s">
        <v>192</v>
      </c>
      <c r="C20" s="2306" t="s">
        <v>3334</v>
      </c>
      <c r="D20" s="102">
        <f t="shared" si="1"/>
        <v>1984.83</v>
      </c>
      <c r="E20" s="124">
        <f t="shared" si="2"/>
        <v>5896.96</v>
      </c>
      <c r="F20" s="2607">
        <f>'数据-基础表'!K5</f>
        <v>5896.96</v>
      </c>
      <c r="G20" s="2608"/>
      <c r="H20" s="886">
        <f t="shared" ref="H20:H26" si="6">ROUND($D$3*I20/$E$3,2)</f>
        <v>110.08</v>
      </c>
      <c r="I20" s="107">
        <f t="shared" ref="I20:I26" si="7">IF($I$17="自定义",P20,M20)</f>
        <v>327.06</v>
      </c>
      <c r="J20" s="1630"/>
      <c r="K20" s="886">
        <f t="shared" si="3"/>
        <v>327.06</v>
      </c>
      <c r="L20" s="102">
        <f t="shared" si="4"/>
        <v>0</v>
      </c>
      <c r="M20" s="107">
        <f t="shared" ref="M20:M26" si="8">K20+L20</f>
        <v>327.06</v>
      </c>
      <c r="N20" s="2063">
        <f>ROUND(E$28*E20/E$27,2)</f>
        <v>327.06</v>
      </c>
      <c r="O20" s="2064"/>
      <c r="P20" s="2065">
        <f t="shared" ref="P20:P26" si="9">N20+O20</f>
        <v>327.06</v>
      </c>
      <c r="R20" s="102">
        <f t="shared" si="5"/>
        <v>2094.91</v>
      </c>
      <c r="S20" s="124">
        <f t="shared" si="5"/>
        <v>6224.02</v>
      </c>
    </row>
    <row r="21" spans="1:19">
      <c r="A21" s="123"/>
      <c r="B21" s="106" t="s">
        <v>192</v>
      </c>
      <c r="C21" s="2306" t="s">
        <v>3335</v>
      </c>
      <c r="D21" s="102">
        <f t="shared" si="1"/>
        <v>731.15</v>
      </c>
      <c r="E21" s="124">
        <f t="shared" si="2"/>
        <v>2172.2399999999998</v>
      </c>
      <c r="F21" s="2607">
        <f>'数据-基础表'!M5</f>
        <v>2172.2399999999998</v>
      </c>
      <c r="G21" s="2608"/>
      <c r="H21" s="886">
        <f t="shared" si="6"/>
        <v>40.549999999999997</v>
      </c>
      <c r="I21" s="107">
        <f t="shared" si="7"/>
        <v>120.48</v>
      </c>
      <c r="J21" s="1630"/>
      <c r="K21" s="886">
        <f t="shared" si="3"/>
        <v>120.48</v>
      </c>
      <c r="L21" s="102">
        <f t="shared" si="4"/>
        <v>0</v>
      </c>
      <c r="M21" s="107">
        <f t="shared" si="8"/>
        <v>120.48</v>
      </c>
      <c r="N21" s="2063">
        <f>ROUND(E$28*E21/E$27,2)</f>
        <v>120.48</v>
      </c>
      <c r="O21" s="2064"/>
      <c r="P21" s="2065">
        <f t="shared" si="9"/>
        <v>120.48</v>
      </c>
      <c r="R21" s="102">
        <f t="shared" si="5"/>
        <v>771.69999999999993</v>
      </c>
      <c r="S21" s="124">
        <f t="shared" si="5"/>
        <v>2292.7199999999998</v>
      </c>
    </row>
    <row r="22" spans="1:19">
      <c r="A22" s="123"/>
      <c r="B22" s="106" t="s">
        <v>192</v>
      </c>
      <c r="C22" s="3077" t="s">
        <v>4081</v>
      </c>
      <c r="D22" s="102">
        <f t="shared" si="1"/>
        <v>2867.85</v>
      </c>
      <c r="E22" s="124">
        <f t="shared" si="2"/>
        <v>8520.4</v>
      </c>
      <c r="F22" s="2609"/>
      <c r="G22" s="2610">
        <f>'数据-取费表'!AM21</f>
        <v>8520.4</v>
      </c>
      <c r="H22" s="886">
        <f t="shared" si="6"/>
        <v>159.06</v>
      </c>
      <c r="I22" s="107">
        <f t="shared" si="7"/>
        <v>472.57</v>
      </c>
      <c r="J22" s="1630"/>
      <c r="K22" s="886">
        <f t="shared" si="3"/>
        <v>472.57</v>
      </c>
      <c r="L22" s="102">
        <f t="shared" si="4"/>
        <v>0</v>
      </c>
      <c r="M22" s="107">
        <f t="shared" si="8"/>
        <v>472.57</v>
      </c>
      <c r="N22" s="3435">
        <f>ROUND(E$28*E22/E$27,2)</f>
        <v>472.57</v>
      </c>
      <c r="O22" s="2064"/>
      <c r="P22" s="2065">
        <f t="shared" si="9"/>
        <v>472.57</v>
      </c>
      <c r="R22" s="102">
        <f t="shared" si="5"/>
        <v>3026.91</v>
      </c>
      <c r="S22" s="124">
        <f t="shared" si="5"/>
        <v>8992.9699999999993</v>
      </c>
    </row>
    <row r="23" spans="1:19">
      <c r="A23" s="123"/>
      <c r="B23" s="106" t="s">
        <v>192</v>
      </c>
      <c r="C23" s="3077" t="s">
        <v>4083</v>
      </c>
      <c r="D23" s="102">
        <f>ROUND($D$3*E23/$E$3,2)</f>
        <v>945.21</v>
      </c>
      <c r="E23" s="124">
        <f>SUM(F23:G23)</f>
        <v>2808.2200000000012</v>
      </c>
      <c r="F23" s="2609"/>
      <c r="G23" s="2610">
        <f>'数据-取费表'!AM20</f>
        <v>2808.2200000000012</v>
      </c>
      <c r="H23" s="886">
        <f>ROUND($D$3*I23/$E$3,2)</f>
        <v>52.42</v>
      </c>
      <c r="I23" s="107">
        <f t="shared" si="7"/>
        <v>155.75</v>
      </c>
      <c r="J23" s="1630"/>
      <c r="K23" s="886">
        <f t="shared" si="3"/>
        <v>155.75</v>
      </c>
      <c r="L23" s="102">
        <f t="shared" si="4"/>
        <v>0</v>
      </c>
      <c r="M23" s="107">
        <f t="shared" si="8"/>
        <v>155.75</v>
      </c>
      <c r="N23" s="3435">
        <f>E28-N19-N20-N21-N22</f>
        <v>155.74999999999994</v>
      </c>
      <c r="O23" s="2064"/>
      <c r="P23" s="2065">
        <f t="shared" si="9"/>
        <v>155.74999999999994</v>
      </c>
      <c r="R23" s="102">
        <f t="shared" si="5"/>
        <v>997.63</v>
      </c>
      <c r="S23" s="124">
        <f t="shared" si="5"/>
        <v>2963.9700000000012</v>
      </c>
    </row>
    <row r="24" spans="1:19">
      <c r="A24" s="123"/>
      <c r="B24" s="106" t="s">
        <v>192</v>
      </c>
      <c r="C24" s="3077"/>
      <c r="D24" s="102">
        <f>ROUND($D$3*E24/$E$3,2)</f>
        <v>0</v>
      </c>
      <c r="E24" s="124">
        <f>SUM(F24:G24)</f>
        <v>0</v>
      </c>
      <c r="F24" s="2609"/>
      <c r="G24" s="2610"/>
      <c r="H24" s="886">
        <f>ROUND($D$3*I24/$E$3,2)</f>
        <v>0</v>
      </c>
      <c r="I24" s="107">
        <f t="shared" si="7"/>
        <v>0</v>
      </c>
      <c r="J24" s="1630"/>
      <c r="K24" s="886">
        <f t="shared" si="3"/>
        <v>0</v>
      </c>
      <c r="L24" s="102">
        <f t="shared" si="4"/>
        <v>0</v>
      </c>
      <c r="M24" s="107">
        <f t="shared" si="8"/>
        <v>0</v>
      </c>
      <c r="N24" s="2063"/>
      <c r="O24" s="2064"/>
      <c r="P24" s="2065">
        <f t="shared" si="9"/>
        <v>0</v>
      </c>
      <c r="R24" s="102">
        <f t="shared" si="5"/>
        <v>0</v>
      </c>
      <c r="S24" s="124">
        <f t="shared" si="5"/>
        <v>0</v>
      </c>
    </row>
    <row r="25" spans="1:19">
      <c r="A25" s="123"/>
      <c r="B25" s="106" t="s">
        <v>192</v>
      </c>
      <c r="C25" s="3077"/>
      <c r="D25" s="102">
        <f t="shared" si="1"/>
        <v>0</v>
      </c>
      <c r="E25" s="124">
        <f t="shared" si="2"/>
        <v>0</v>
      </c>
      <c r="F25" s="2609"/>
      <c r="G25" s="2610"/>
      <c r="H25" s="101">
        <f t="shared" si="6"/>
        <v>0</v>
      </c>
      <c r="I25" s="107">
        <f t="shared" si="7"/>
        <v>0</v>
      </c>
      <c r="J25" s="1630"/>
      <c r="K25" s="886">
        <f t="shared" si="3"/>
        <v>0</v>
      </c>
      <c r="L25" s="102">
        <f t="shared" si="4"/>
        <v>0</v>
      </c>
      <c r="M25" s="107">
        <f t="shared" si="8"/>
        <v>0</v>
      </c>
      <c r="N25" s="2063"/>
      <c r="O25" s="2064"/>
      <c r="P25" s="2065">
        <f t="shared" si="9"/>
        <v>0</v>
      </c>
      <c r="R25" s="102">
        <f t="shared" si="5"/>
        <v>0</v>
      </c>
      <c r="S25" s="124">
        <f t="shared" si="5"/>
        <v>0</v>
      </c>
    </row>
    <row r="26" spans="1:19">
      <c r="A26" s="123"/>
      <c r="B26" s="106" t="s">
        <v>192</v>
      </c>
      <c r="C26" s="128"/>
      <c r="D26" s="102">
        <f t="shared" si="1"/>
        <v>0</v>
      </c>
      <c r="E26" s="124">
        <f t="shared" si="2"/>
        <v>0</v>
      </c>
      <c r="F26" s="2609"/>
      <c r="G26" s="2610"/>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29.25" thickBot="1">
      <c r="A27" s="123"/>
      <c r="B27" s="102"/>
      <c r="C27" s="118" t="s">
        <v>181</v>
      </c>
      <c r="D27" s="124">
        <f>SUM(D19:D26)</f>
        <v>18133.129999999997</v>
      </c>
      <c r="E27" s="129">
        <f>IF(SUM(E19:E26)='数据-基础表'!BA5,SUM(E19:E26),IF(F27="地上面积有误","面积有误","地下面积有误"))</f>
        <v>53873.7</v>
      </c>
      <c r="F27" s="124">
        <f>IF(SUM(F19:F26)=E8,SUM(F19:F26),"地上面积有误")</f>
        <v>42545.079999999994</v>
      </c>
      <c r="G27" s="103">
        <f>SUM(G19:G26)</f>
        <v>11328.62</v>
      </c>
      <c r="H27" s="887">
        <f>SUM(H19:H26)</f>
        <v>1385.31</v>
      </c>
      <c r="I27" s="888">
        <f>SUM(I19:I26)</f>
        <v>4115.8099999999995</v>
      </c>
      <c r="J27" s="1630"/>
      <c r="K27" s="2069">
        <f t="shared" ref="K27:P27" si="10">SUM(K19:K26)</f>
        <v>2988.0000000000005</v>
      </c>
      <c r="L27" s="2070">
        <f t="shared" si="10"/>
        <v>1127.81</v>
      </c>
      <c r="M27" s="2071">
        <f t="shared" si="10"/>
        <v>4115.8099999999995</v>
      </c>
      <c r="N27" s="2069">
        <f t="shared" si="10"/>
        <v>2988.0000000000005</v>
      </c>
      <c r="O27" s="2070">
        <f t="shared" si="10"/>
        <v>1127.81</v>
      </c>
      <c r="P27" s="193">
        <f t="shared" si="10"/>
        <v>4115.8099999999995</v>
      </c>
      <c r="R27" s="1889"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6"/>
      <c r="I28" s="2606"/>
      <c r="J28" s="2606"/>
      <c r="K28" s="2606"/>
      <c r="L28" s="2606"/>
      <c r="M28" s="2606"/>
      <c r="N28" s="2606"/>
      <c r="O28" s="2606"/>
      <c r="P28" s="2606"/>
    </row>
    <row r="29" spans="1:19">
      <c r="A29" s="123"/>
      <c r="B29" s="106" t="s">
        <v>193</v>
      </c>
      <c r="C29" s="1897" t="s">
        <v>1675</v>
      </c>
      <c r="D29" s="102">
        <f>ROUND($D$3*E29/$E$3,2)</f>
        <v>379.6</v>
      </c>
      <c r="E29" s="124">
        <f>SUM(F29:G29)</f>
        <v>1127.81</v>
      </c>
      <c r="F29" s="125">
        <f>'数据-基础表'!BM5+'数据-基础表'!BO5</f>
        <v>123.12</v>
      </c>
      <c r="G29" s="111">
        <f>'数据-基础表'!BN5+'数据-基础表'!BP5</f>
        <v>1004.6899999999999</v>
      </c>
      <c r="H29" s="2606"/>
      <c r="I29" s="2606"/>
      <c r="J29" s="2606"/>
      <c r="K29" s="2606"/>
      <c r="L29" s="2606"/>
      <c r="M29" s="2606"/>
      <c r="N29" s="2606"/>
      <c r="O29" s="2606"/>
      <c r="P29" s="2606"/>
    </row>
    <row r="30" spans="1:19">
      <c r="A30" s="123"/>
      <c r="B30" s="102"/>
      <c r="C30" s="131" t="s">
        <v>181</v>
      </c>
      <c r="D30" s="124">
        <f>SUM(D28:D29)</f>
        <v>1385.3200000000002</v>
      </c>
      <c r="E30" s="124">
        <f>SUM(E28:E29)</f>
        <v>4115.8099999999995</v>
      </c>
      <c r="F30" s="124">
        <f>SUM(F28:F29)</f>
        <v>771.84</v>
      </c>
      <c r="G30" s="103">
        <f>SUM(G28:G29)</f>
        <v>3343.9700000000003</v>
      </c>
      <c r="H30" s="2606"/>
      <c r="I30" s="2606"/>
      <c r="J30" s="2606"/>
      <c r="K30" s="2606"/>
      <c r="L30" s="2606"/>
      <c r="M30" s="2606"/>
      <c r="N30" s="2606"/>
      <c r="O30" s="2606"/>
      <c r="P30" s="2606"/>
    </row>
    <row r="31" spans="1:19" ht="32.25" customHeight="1" thickBot="1">
      <c r="A31" s="1158"/>
      <c r="B31" s="1159" t="s">
        <v>195</v>
      </c>
      <c r="C31" s="1914" t="s">
        <v>1677</v>
      </c>
      <c r="D31" s="1160">
        <f>D27+D30</f>
        <v>19518.449999999997</v>
      </c>
      <c r="E31" s="1160">
        <f>E27+E30</f>
        <v>57989.509999999995</v>
      </c>
      <c r="F31" s="1161">
        <f>F27+F30</f>
        <v>43316.919999999991</v>
      </c>
      <c r="G31" s="1162">
        <f>G27+G30</f>
        <v>14672.59</v>
      </c>
      <c r="H31" s="2606"/>
      <c r="I31" s="2606"/>
      <c r="J31" s="2606"/>
      <c r="K31" s="2606"/>
      <c r="L31" s="2606"/>
      <c r="M31" s="2606"/>
      <c r="N31" s="2606"/>
      <c r="O31" s="2606"/>
      <c r="P31" s="2606"/>
    </row>
    <row r="32" spans="1:19">
      <c r="A32" s="1630"/>
      <c r="B32" s="1926" t="s">
        <v>1676</v>
      </c>
      <c r="C32" s="2084"/>
      <c r="D32" s="119"/>
      <c r="E32" s="119">
        <f>SUMIF(C19:C26,"*住宅*",E19:E26)</f>
        <v>34475.879999999997</v>
      </c>
      <c r="F32" s="119"/>
      <c r="G32" s="119"/>
      <c r="H32" s="2606"/>
      <c r="I32" s="2606"/>
      <c r="J32" s="2606"/>
      <c r="K32" s="2606"/>
      <c r="L32" s="2606"/>
      <c r="M32" s="2606"/>
      <c r="N32" s="2606"/>
      <c r="O32" s="2606"/>
      <c r="P32" s="2606"/>
    </row>
    <row r="33" spans="4:4">
      <c r="D33" s="1632"/>
    </row>
  </sheetData>
  <sheetProtection algorithmName="SHA-512" hashValue="gcBcRgzHOrAeNwogLKIeVf6/pUpE5CiODvOFd3sGmTIr22IgdLc8bICnTAWuiCf8tYOHrx9VxIxQB6lWtXieJg==" saltValue="AyMtR9CNhgtFDESKLSx4IA=="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32"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9" width="8.875" style="1042" customWidth="1"/>
    <col min="10" max="10" width="11.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8.5" style="1042" customWidth="1"/>
    <col min="32" max="32" width="9.875" style="1042" customWidth="1"/>
    <col min="33" max="33" width="14.125" style="1042" customWidth="1"/>
    <col min="34" max="34" width="7.25" style="1042" customWidth="1"/>
    <col min="35" max="38" width="8" style="1042" customWidth="1"/>
    <col min="39" max="39" width="9.5" style="1042" customWidth="1"/>
    <col min="40" max="41" width="13.75" style="235"/>
    <col min="42" max="42" width="13.75" style="235" customWidth="1"/>
    <col min="43" max="83" width="13.75" style="235"/>
    <col min="84" max="16384" width="13.75" style="1042"/>
  </cols>
  <sheetData>
    <row r="1" spans="1:83" ht="19.5" thickBot="1">
      <c r="A1" s="132" t="s">
        <v>200</v>
      </c>
      <c r="B1" s="285"/>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2"/>
      <c r="AO1" s="2612"/>
      <c r="AP1" s="2612"/>
      <c r="AQ1" s="2612"/>
      <c r="AR1" s="2612"/>
      <c r="AS1" s="2612"/>
      <c r="AT1" s="2612"/>
      <c r="AU1" s="2612"/>
      <c r="AV1" s="2612"/>
      <c r="AW1" s="2612"/>
      <c r="AX1" s="2612"/>
      <c r="AY1" s="2612"/>
      <c r="AZ1" s="2612"/>
    </row>
    <row r="2" spans="1:83" s="1044" customFormat="1" ht="15.75" thickBot="1">
      <c r="A2" s="133" t="s">
        <v>201</v>
      </c>
      <c r="B2" s="1922">
        <f>项目基本情况!D3</f>
        <v>45617</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6"/>
      <c r="AO2" s="2606"/>
      <c r="AP2" s="2606"/>
      <c r="AQ2" s="2606"/>
      <c r="AR2" s="2606"/>
      <c r="AS2" s="2606"/>
      <c r="AT2" s="2606"/>
      <c r="AU2" s="2606"/>
      <c r="AV2" s="2606"/>
      <c r="AW2" s="2606"/>
      <c r="AX2" s="2606"/>
      <c r="AY2" s="2606"/>
      <c r="AZ2" s="2606"/>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4" customFormat="1" ht="15" thickBot="1">
      <c r="A3" s="1045"/>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6"/>
      <c r="AO3" s="2606"/>
      <c r="AP3" s="2606"/>
      <c r="AQ3" s="2606"/>
      <c r="AR3" s="2606"/>
      <c r="AS3" s="2606"/>
      <c r="AT3" s="2606"/>
      <c r="AU3" s="2606"/>
      <c r="AV3" s="2606"/>
      <c r="AW3" s="2606"/>
      <c r="AX3" s="2606"/>
      <c r="AY3" s="2606"/>
      <c r="AZ3" s="2606"/>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6"/>
      <c r="AO4" s="2606"/>
      <c r="AP4" s="2606"/>
      <c r="AQ4" s="2606"/>
      <c r="AR4" s="2606"/>
      <c r="AS4" s="2606"/>
      <c r="AT4" s="2606"/>
      <c r="AU4" s="2606"/>
      <c r="AV4" s="2606"/>
      <c r="AW4" s="2606"/>
      <c r="AX4" s="2606"/>
      <c r="AY4" s="2606"/>
      <c r="AZ4" s="2606"/>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0" customFormat="1" ht="40.5">
      <c r="A5" s="1888"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3236</v>
      </c>
      <c r="O5" s="147" t="s">
        <v>212</v>
      </c>
      <c r="P5" s="149" t="s">
        <v>213</v>
      </c>
      <c r="Q5" s="150" t="s">
        <v>214</v>
      </c>
      <c r="R5" s="151" t="s">
        <v>215</v>
      </c>
      <c r="S5" s="2072" t="s">
        <v>1853</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1678</v>
      </c>
      <c r="AI5" s="155" t="s">
        <v>1647</v>
      </c>
      <c r="AJ5" s="155" t="s">
        <v>224</v>
      </c>
      <c r="AK5" s="143" t="s">
        <v>225</v>
      </c>
      <c r="AL5" s="143" t="s">
        <v>226</v>
      </c>
      <c r="AM5" s="156" t="s">
        <v>227</v>
      </c>
      <c r="AN5" s="1947" t="s">
        <v>1725</v>
      </c>
      <c r="AO5" s="2624"/>
      <c r="AP5" s="2611" t="s">
        <v>2257</v>
      </c>
      <c r="AQ5" s="2624"/>
      <c r="AR5" s="2624"/>
      <c r="AS5" s="2624"/>
      <c r="AT5" s="2624"/>
      <c r="AU5" s="2624"/>
      <c r="AV5" s="2624"/>
      <c r="AW5" s="2624"/>
      <c r="AX5" s="2624"/>
      <c r="AY5" s="2624"/>
      <c r="AZ5" s="2624"/>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4" customFormat="1" ht="14.25">
      <c r="A6" s="1886" t="str">
        <f>'数据-汇总表'!C19</f>
        <v>住宅</v>
      </c>
      <c r="B6" s="1921" t="str">
        <f>IF(A6=0,"","经营性")</f>
        <v>经营性</v>
      </c>
      <c r="C6" s="157" t="s">
        <v>851</v>
      </c>
      <c r="D6" s="1892">
        <f>SUMIF(项目基本情况!C$15:I$15,C6,项目基本情况!C$18:I$18)</f>
        <v>70</v>
      </c>
      <c r="E6" s="1893">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07">
        <v>0.04</v>
      </c>
      <c r="I6" s="2307">
        <v>4.4999999999999998E-2</v>
      </c>
      <c r="J6" s="160">
        <v>7.0000000000000007E-2</v>
      </c>
      <c r="K6" s="163">
        <f>SUMIF('数据-汇总表'!C$19:C$33,'数据-取费表'!A6,'数据-汇总表'!E$19:E$33)</f>
        <v>34475.879999999997</v>
      </c>
      <c r="L6" s="2308">
        <v>5000</v>
      </c>
      <c r="M6" s="161">
        <f t="shared" ref="M6:M14" si="1">ROUND(K6*L6/10000,0)</f>
        <v>17238</v>
      </c>
      <c r="N6" s="2309">
        <v>0</v>
      </c>
      <c r="O6" s="161">
        <f>IF($N$5="成新度","——",ROUND(M6*N6,0))</f>
        <v>0</v>
      </c>
      <c r="P6" s="162">
        <f>IF($N$5="成新度","——",M6-O6)</f>
        <v>17238</v>
      </c>
      <c r="Q6" s="2310">
        <v>0.15</v>
      </c>
      <c r="R6" s="163">
        <f>SUMIF('数据-汇总表'!C$19:C$33,A6,'数据-汇总表'!R$19:R$33)</f>
        <v>12627.29</v>
      </c>
      <c r="S6" s="122">
        <f>IF('数据-汇总表'!$I$17="按面积比例",SUMIF('数据-汇总表'!C$19:C$33,A6,'数据-汇总表'!K$19:K$33),SUMIF('数据-汇总表'!C$19:C$33,A6,'数据-汇总表'!N$19:N$33))</f>
        <v>1912.14</v>
      </c>
      <c r="T6" s="1824">
        <f>IF($T$4="按面积比例",IF(ISERROR(ROUND($M$14*S6/S$16,0)),"0",ROUND($M$14*S6/S$16,0)),"需自行计算录入")</f>
        <v>726</v>
      </c>
      <c r="U6" s="164"/>
      <c r="V6" s="165"/>
      <c r="W6" s="165"/>
      <c r="X6" s="1905"/>
      <c r="Y6" s="166"/>
      <c r="Z6" s="167"/>
      <c r="AA6" s="160"/>
      <c r="AB6" s="160"/>
      <c r="AC6" s="1908"/>
      <c r="AD6" s="168"/>
      <c r="AE6" s="884">
        <f ca="1">IF(AN6="",0,SUMIF(INDIRECT("'"&amp;AN6&amp;"'"&amp;"!E:E"),$AE$5,INDIRECT("'"&amp;AN6&amp;"'"&amp;"!F:F")))</f>
        <v>0</v>
      </c>
      <c r="AF6" s="127"/>
      <c r="AG6" s="1051">
        <f>IF(AF6="",0,AE6-AF6)</f>
        <v>0</v>
      </c>
      <c r="AH6" s="127"/>
      <c r="AI6" s="171"/>
      <c r="AJ6" s="127"/>
      <c r="AK6" s="172"/>
      <c r="AL6" s="173"/>
      <c r="AM6" s="2318"/>
      <c r="AN6" s="1122"/>
      <c r="AO6" s="2606"/>
      <c r="AP6" s="96">
        <f>ROUND(1-1/(1+H6)^F6,3)</f>
        <v>0.93300000000000005</v>
      </c>
      <c r="AQ6" s="2606"/>
      <c r="AR6" s="2606"/>
      <c r="AS6" s="2606"/>
      <c r="AT6" s="2606"/>
      <c r="AU6" s="2606"/>
      <c r="AV6" s="2606"/>
      <c r="AW6" s="2606"/>
      <c r="AX6" s="2606"/>
      <c r="AY6" s="2606"/>
      <c r="AZ6" s="2606"/>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4" customFormat="1" ht="14.25">
      <c r="A7" s="1886" t="str">
        <f>'数据-汇总表'!C20</f>
        <v>酒店</v>
      </c>
      <c r="B7" s="1921" t="str">
        <f t="shared" ref="B7:B13" si="2">IF(A7=0,"","经营性")</f>
        <v>经营性</v>
      </c>
      <c r="C7" s="157" t="s">
        <v>2732</v>
      </c>
      <c r="D7" s="1892">
        <f>SUMIF(项目基本情况!C$15:I$15,C7,项目基本情况!C$18:I$18)</f>
        <v>40</v>
      </c>
      <c r="E7" s="1893">
        <f>IF(B7="","",SUMIF(项目基本情况!C$15:I$15,C7,项目基本情况!C$17:I$17))</f>
        <v>59880</v>
      </c>
      <c r="F7" s="158">
        <f>SUMIF(项目基本情况!C$15:I$15,C7,项目基本情况!C$19:I$19)</f>
        <v>39.07</v>
      </c>
      <c r="G7" s="159">
        <f t="shared" si="0"/>
        <v>0.99199999999999999</v>
      </c>
      <c r="H7" s="2307">
        <v>0.05</v>
      </c>
      <c r="I7" s="2307">
        <v>5.5E-2</v>
      </c>
      <c r="J7" s="160">
        <f>J6</f>
        <v>7.0000000000000007E-2</v>
      </c>
      <c r="K7" s="163">
        <f>SUMIF('数据-汇总表'!C$19:C$33,'数据-取费表'!A7,'数据-汇总表'!E$19:E$33)</f>
        <v>5896.96</v>
      </c>
      <c r="L7" s="2308">
        <v>5500</v>
      </c>
      <c r="M7" s="161">
        <f t="shared" si="1"/>
        <v>3243</v>
      </c>
      <c r="N7" s="2309">
        <f>N6</f>
        <v>0</v>
      </c>
      <c r="O7" s="161">
        <f t="shared" ref="O7:O14" si="3">IF($N$5="成新度","——",ROUND(M7*N7,0))</f>
        <v>0</v>
      </c>
      <c r="P7" s="162">
        <f t="shared" ref="P7:P14" si="4">IF($N$5="成新度","——",M7-O7)</f>
        <v>3243</v>
      </c>
      <c r="Q7" s="2310">
        <v>0.1</v>
      </c>
      <c r="R7" s="163">
        <f>SUMIF('数据-汇总表'!C$19:C$33,A7,'数据-汇总表'!R$19:R$33)</f>
        <v>2094.91</v>
      </c>
      <c r="S7" s="122">
        <f>IF('数据-汇总表'!$I$17="按面积比例",SUMIF('数据-汇总表'!C$19:C$33,A7,'数据-汇总表'!K$19:K$33),SUMIF('数据-汇总表'!C$19:C$33,A7,'数据-汇总表'!N$19:N$33))</f>
        <v>327.06</v>
      </c>
      <c r="T7" s="1824">
        <f t="shared" ref="T7:T13" si="5">IF($T$4="按面积比例",IF(ISERROR(ROUND($M$14*S7/S$16,0)),"0",ROUND($M$14*S7/S$16,0)),"需自行计算录入")</f>
        <v>124</v>
      </c>
      <c r="U7" s="164"/>
      <c r="V7" s="165"/>
      <c r="W7" s="165"/>
      <c r="X7" s="1905"/>
      <c r="Y7" s="166">
        <v>1</v>
      </c>
      <c r="Z7" s="167"/>
      <c r="AA7" s="160"/>
      <c r="AB7" s="160"/>
      <c r="AC7" s="1908"/>
      <c r="AD7" s="168"/>
      <c r="AE7" s="884">
        <f t="shared" ref="AE7:AE13" ca="1" si="6">IF(AN7="",0,SUMIF(INDIRECT("'"&amp;AN7&amp;"'"&amp;"!E:E"),$AE$5,INDIRECT("'"&amp;AN7&amp;"'"&amp;"!F:F")))</f>
        <v>0</v>
      </c>
      <c r="AF7" s="127"/>
      <c r="AG7" s="1051">
        <f t="shared" ref="AG7:AG13" si="7">IF(AF7="",0,AE7-AF7)</f>
        <v>0</v>
      </c>
      <c r="AH7" s="127"/>
      <c r="AI7" s="171"/>
      <c r="AJ7" s="127"/>
      <c r="AK7" s="172"/>
      <c r="AL7" s="173"/>
      <c r="AM7" s="2318"/>
      <c r="AN7" s="1122"/>
      <c r="AO7" s="2606"/>
      <c r="AP7" s="96">
        <f t="shared" ref="AP7:AP13" si="8">ROUND(1-1/(1+H7)^F7,3)</f>
        <v>0.85099999999999998</v>
      </c>
      <c r="AQ7" s="2606"/>
      <c r="AR7" s="2606"/>
      <c r="AS7" s="2606"/>
      <c r="AT7" s="2606"/>
      <c r="AU7" s="2606"/>
      <c r="AV7" s="2606"/>
      <c r="AW7" s="2606"/>
      <c r="AX7" s="2606"/>
      <c r="AY7" s="2606"/>
      <c r="AZ7" s="2606"/>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4" customFormat="1" ht="14.25">
      <c r="A8" s="1886" t="str">
        <f>'数据-汇总表'!C21</f>
        <v>商业</v>
      </c>
      <c r="B8" s="1921" t="str">
        <f t="shared" si="2"/>
        <v>经营性</v>
      </c>
      <c r="C8" s="157" t="s">
        <v>2732</v>
      </c>
      <c r="D8" s="1892">
        <f>SUMIF(项目基本情况!C$15:I$15,C8,项目基本情况!C$18:I$18)</f>
        <v>40</v>
      </c>
      <c r="E8" s="1893">
        <f>IF(B8="","",SUMIF(项目基本情况!C$15:I$15,C8,项目基本情况!C$17:I$17))</f>
        <v>59880</v>
      </c>
      <c r="F8" s="158">
        <f>SUMIF(项目基本情况!C$15:I$15,C8,项目基本情况!C$19:I$19)</f>
        <v>39.07</v>
      </c>
      <c r="G8" s="159">
        <f t="shared" si="0"/>
        <v>0.99199999999999999</v>
      </c>
      <c r="H8" s="2307">
        <v>0.05</v>
      </c>
      <c r="I8" s="2307">
        <v>5.5E-2</v>
      </c>
      <c r="J8" s="160">
        <f>J6</f>
        <v>7.0000000000000007E-2</v>
      </c>
      <c r="K8" s="163">
        <f>SUMIF('数据-汇总表'!C$19:C$33,'数据-取费表'!A8,'数据-汇总表'!E$19:E$33)</f>
        <v>2172.2399999999998</v>
      </c>
      <c r="L8" s="2308">
        <v>4500</v>
      </c>
      <c r="M8" s="161">
        <f>ROUND(K8*L8/10000,0)</f>
        <v>978</v>
      </c>
      <c r="N8" s="2309">
        <f>N6</f>
        <v>0</v>
      </c>
      <c r="O8" s="161">
        <f t="shared" si="3"/>
        <v>0</v>
      </c>
      <c r="P8" s="162">
        <f t="shared" si="4"/>
        <v>978</v>
      </c>
      <c r="Q8" s="2310">
        <v>0.1</v>
      </c>
      <c r="R8" s="163">
        <f>SUMIF('数据-汇总表'!C$19:C$33,A8,'数据-汇总表'!R$19:R$33)</f>
        <v>771.69999999999993</v>
      </c>
      <c r="S8" s="122">
        <f>IF('数据-汇总表'!$I$17="按面积比例",SUMIF('数据-汇总表'!C$19:C$33,A8,'数据-汇总表'!K$19:K$33),SUMIF('数据-汇总表'!C$19:C$33,A8,'数据-汇总表'!N$19:N$33))</f>
        <v>120.48</v>
      </c>
      <c r="T8" s="1824">
        <f t="shared" si="5"/>
        <v>46</v>
      </c>
      <c r="U8" s="164">
        <v>2.5499999999999998</v>
      </c>
      <c r="V8" s="165">
        <v>0.02</v>
      </c>
      <c r="W8" s="165">
        <v>0.1</v>
      </c>
      <c r="X8" s="1905"/>
      <c r="Y8" s="166">
        <v>1</v>
      </c>
      <c r="Z8" s="167"/>
      <c r="AA8" s="160"/>
      <c r="AB8" s="160"/>
      <c r="AC8" s="1908"/>
      <c r="AD8" s="168"/>
      <c r="AE8" s="884">
        <f t="shared" ca="1" si="6"/>
        <v>37.07</v>
      </c>
      <c r="AF8" s="127"/>
      <c r="AG8" s="1051">
        <f t="shared" si="7"/>
        <v>0</v>
      </c>
      <c r="AH8" s="127"/>
      <c r="AI8" s="171">
        <v>365</v>
      </c>
      <c r="AJ8" s="127"/>
      <c r="AK8" s="172">
        <v>2E-3</v>
      </c>
      <c r="AL8" s="173">
        <v>1E-3</v>
      </c>
      <c r="AM8" s="2318">
        <v>0.01</v>
      </c>
      <c r="AN8" s="1122" t="s">
        <v>4087</v>
      </c>
      <c r="AO8" s="2606"/>
      <c r="AP8" s="96">
        <f t="shared" si="8"/>
        <v>0.85099999999999998</v>
      </c>
      <c r="AQ8" s="2606"/>
      <c r="AR8" s="2606"/>
      <c r="AS8" s="2606"/>
      <c r="AT8" s="2606"/>
      <c r="AU8" s="2606"/>
      <c r="AV8" s="2606"/>
      <c r="AW8" s="2606"/>
      <c r="AX8" s="2606"/>
      <c r="AY8" s="2606"/>
      <c r="AZ8" s="2606"/>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4" customFormat="1" ht="14.25">
      <c r="A9" s="1886" t="str">
        <f>'数据-汇总表'!C22</f>
        <v>车位-平层</v>
      </c>
      <c r="B9" s="1921" t="str">
        <f t="shared" si="2"/>
        <v>经营性</v>
      </c>
      <c r="C9" s="157" t="s">
        <v>2733</v>
      </c>
      <c r="D9" s="1892">
        <f>SUMIF(项目基本情况!C$15:I$15,C9,项目基本情况!C$18:I$18)</f>
        <v>50</v>
      </c>
      <c r="E9" s="1893">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8520.4</v>
      </c>
      <c r="L9" s="3798">
        <v>3800</v>
      </c>
      <c r="M9" s="161">
        <f t="shared" si="1"/>
        <v>3238</v>
      </c>
      <c r="N9" s="2309">
        <f>N6</f>
        <v>0</v>
      </c>
      <c r="O9" s="161">
        <f t="shared" si="3"/>
        <v>0</v>
      </c>
      <c r="P9" s="162">
        <f t="shared" si="4"/>
        <v>3238</v>
      </c>
      <c r="Q9" s="175">
        <v>0.05</v>
      </c>
      <c r="R9" s="163">
        <f>SUMIF('数据-汇总表'!C$19:C$33,A9,'数据-汇总表'!R$19:R$33)</f>
        <v>3026.91</v>
      </c>
      <c r="S9" s="122">
        <f>IF('数据-汇总表'!$I$17="按面积比例",SUMIF('数据-汇总表'!C$19:C$33,A9,'数据-汇总表'!K$19:K$33),SUMIF('数据-汇总表'!C$19:C$33,A9,'数据-汇总表'!N$19:N$33))</f>
        <v>472.57</v>
      </c>
      <c r="T9" s="1824">
        <f t="shared" si="5"/>
        <v>180</v>
      </c>
      <c r="U9" s="164">
        <v>350</v>
      </c>
      <c r="V9" s="165">
        <v>1.4999999999999999E-2</v>
      </c>
      <c r="W9" s="165">
        <f>W8</f>
        <v>0.1</v>
      </c>
      <c r="X9" s="1905"/>
      <c r="Y9" s="166">
        <f>Y8</f>
        <v>1</v>
      </c>
      <c r="Z9" s="167"/>
      <c r="AA9" s="160"/>
      <c r="AB9" s="160"/>
      <c r="AC9" s="1908"/>
      <c r="AD9" s="168"/>
      <c r="AE9" s="884">
        <f t="shared" ca="1" si="6"/>
        <v>0</v>
      </c>
      <c r="AF9" s="127"/>
      <c r="AG9" s="1051">
        <f t="shared" si="7"/>
        <v>0</v>
      </c>
      <c r="AH9" s="127">
        <f>AK21</f>
        <v>179</v>
      </c>
      <c r="AI9" s="171">
        <v>12</v>
      </c>
      <c r="AJ9" s="127"/>
      <c r="AK9" s="172"/>
      <c r="AL9" s="173"/>
      <c r="AM9" s="2318"/>
      <c r="AN9" s="1122"/>
      <c r="AO9" s="2606"/>
      <c r="AP9" s="96">
        <f t="shared" si="8"/>
        <v>0.88500000000000001</v>
      </c>
      <c r="AQ9" s="2606"/>
      <c r="AR9" s="2606"/>
      <c r="AS9" s="2606"/>
      <c r="AT9" s="2606"/>
      <c r="AU9" s="2606"/>
      <c r="AV9" s="2606"/>
      <c r="AW9" s="2606"/>
      <c r="AX9" s="2606"/>
      <c r="AY9" s="2606"/>
      <c r="AZ9" s="2606"/>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4" customFormat="1" ht="14.25">
      <c r="A10" s="1886" t="str">
        <f>'数据-汇总表'!C23</f>
        <v>车位-机械</v>
      </c>
      <c r="B10" s="1921" t="str">
        <f t="shared" si="2"/>
        <v>经营性</v>
      </c>
      <c r="C10" s="157" t="s">
        <v>2733</v>
      </c>
      <c r="D10" s="1892">
        <f>SUMIF(项目基本情况!C$15:I$15,C10,项目基本情况!C$18:I$18)</f>
        <v>50</v>
      </c>
      <c r="E10" s="1893">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2808.2200000000012</v>
      </c>
      <c r="L10" s="3798">
        <f>L9</f>
        <v>3800</v>
      </c>
      <c r="M10" s="161">
        <f t="shared" si="1"/>
        <v>1067</v>
      </c>
      <c r="N10" s="2309">
        <f>N9</f>
        <v>0</v>
      </c>
      <c r="O10" s="161">
        <f t="shared" si="3"/>
        <v>0</v>
      </c>
      <c r="P10" s="162">
        <f t="shared" si="4"/>
        <v>1067</v>
      </c>
      <c r="Q10" s="175">
        <v>0.05</v>
      </c>
      <c r="R10" s="163">
        <f>SUMIF('数据-汇总表'!C$19:C$33,A10,'数据-汇总表'!R$19:R$33)</f>
        <v>997.63</v>
      </c>
      <c r="S10" s="122">
        <f>IF('数据-汇总表'!$I$17="按面积比例",SUMIF('数据-汇总表'!C$19:C$33,A10,'数据-汇总表'!K$19:K$33),SUMIF('数据-汇总表'!C$19:C$33,A10,'数据-汇总表'!N$19:N$33))</f>
        <v>155.75</v>
      </c>
      <c r="T10" s="1824">
        <f t="shared" si="5"/>
        <v>59</v>
      </c>
      <c r="U10" s="3788">
        <v>300</v>
      </c>
      <c r="V10" s="165">
        <f>V9</f>
        <v>1.4999999999999999E-2</v>
      </c>
      <c r="W10" s="165">
        <v>0.1</v>
      </c>
      <c r="X10" s="1905"/>
      <c r="Y10" s="166">
        <v>1</v>
      </c>
      <c r="Z10" s="167"/>
      <c r="AA10" s="160"/>
      <c r="AB10" s="160"/>
      <c r="AC10" s="1908"/>
      <c r="AD10" s="168"/>
      <c r="AE10" s="884">
        <f t="shared" ca="1" si="6"/>
        <v>47.08</v>
      </c>
      <c r="AF10" s="127"/>
      <c r="AG10" s="1051">
        <f t="shared" si="7"/>
        <v>0</v>
      </c>
      <c r="AH10" s="3789">
        <f>AK20</f>
        <v>118</v>
      </c>
      <c r="AI10" s="171">
        <v>12</v>
      </c>
      <c r="AJ10" s="127"/>
      <c r="AK10" s="172">
        <f>AK8</f>
        <v>2E-3</v>
      </c>
      <c r="AL10" s="173">
        <f>AL8</f>
        <v>1E-3</v>
      </c>
      <c r="AM10" s="2318">
        <f>AM8</f>
        <v>0.01</v>
      </c>
      <c r="AN10" s="1122" t="s">
        <v>4085</v>
      </c>
      <c r="AO10" s="2606"/>
      <c r="AP10" s="96">
        <f t="shared" si="8"/>
        <v>0.88500000000000001</v>
      </c>
      <c r="AQ10" s="2606"/>
      <c r="AR10" s="2606"/>
      <c r="AS10" s="2606"/>
      <c r="AT10" s="2606"/>
      <c r="AU10" s="2606"/>
      <c r="AV10" s="2606"/>
      <c r="AW10" s="2606"/>
      <c r="AX10" s="2606"/>
      <c r="AY10" s="2606"/>
      <c r="AZ10" s="2606"/>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4" customFormat="1" ht="14.25" hidden="1">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798"/>
      <c r="M11" s="161">
        <f t="shared" si="1"/>
        <v>0</v>
      </c>
      <c r="N11" s="2309"/>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7"/>
      <c r="AA11" s="160"/>
      <c r="AB11" s="160"/>
      <c r="AC11" s="1908"/>
      <c r="AD11" s="168"/>
      <c r="AE11" s="884">
        <f t="shared" ca="1" si="6"/>
        <v>0</v>
      </c>
      <c r="AF11" s="127"/>
      <c r="AG11" s="1051">
        <f t="shared" si="7"/>
        <v>0</v>
      </c>
      <c r="AH11" s="127"/>
      <c r="AI11" s="171"/>
      <c r="AJ11" s="127"/>
      <c r="AK11" s="172"/>
      <c r="AL11" s="173"/>
      <c r="AM11" s="2318"/>
      <c r="AN11" s="1122"/>
      <c r="AO11" s="2606"/>
      <c r="AP11" s="96">
        <f t="shared" si="8"/>
        <v>0</v>
      </c>
      <c r="AQ11" s="2606"/>
      <c r="AR11" s="2606"/>
      <c r="AS11" s="2606"/>
      <c r="AT11" s="2606"/>
      <c r="AU11" s="2606"/>
      <c r="AV11" s="2606"/>
      <c r="AW11" s="2606"/>
      <c r="AX11" s="2606"/>
      <c r="AY11" s="2606"/>
      <c r="AZ11" s="2606"/>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4" customFormat="1" ht="14.25" hidden="1">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798"/>
      <c r="M12" s="161">
        <f>ROUND(K12*L12/10000,0)</f>
        <v>0</v>
      </c>
      <c r="N12" s="2309"/>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7"/>
      <c r="AA12" s="160"/>
      <c r="AB12" s="160"/>
      <c r="AC12" s="1908"/>
      <c r="AD12" s="168"/>
      <c r="AE12" s="884">
        <f t="shared" ca="1" si="6"/>
        <v>0</v>
      </c>
      <c r="AF12" s="127"/>
      <c r="AG12" s="1051">
        <f t="shared" si="7"/>
        <v>0</v>
      </c>
      <c r="AH12" s="127"/>
      <c r="AI12" s="171"/>
      <c r="AJ12" s="127"/>
      <c r="AK12" s="172"/>
      <c r="AL12" s="173"/>
      <c r="AM12" s="2318"/>
      <c r="AN12" s="1122"/>
      <c r="AO12" s="2606"/>
      <c r="AP12" s="96">
        <f t="shared" si="8"/>
        <v>0</v>
      </c>
      <c r="AQ12" s="2606"/>
      <c r="AR12" s="2606"/>
      <c r="AS12" s="2606"/>
      <c r="AT12" s="2606"/>
      <c r="AU12" s="2606"/>
      <c r="AV12" s="2606"/>
      <c r="AW12" s="2606"/>
      <c r="AX12" s="2606"/>
      <c r="AY12" s="2606"/>
      <c r="AZ12" s="2606"/>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4" customFormat="1" ht="14.25" hidden="1">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799"/>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4">
        <f t="shared" ca="1" si="6"/>
        <v>0</v>
      </c>
      <c r="AF13" s="127"/>
      <c r="AG13" s="1051">
        <f t="shared" si="7"/>
        <v>0</v>
      </c>
      <c r="AH13" s="127"/>
      <c r="AI13" s="171"/>
      <c r="AJ13" s="127"/>
      <c r="AK13" s="172"/>
      <c r="AL13" s="173"/>
      <c r="AM13" s="1946"/>
      <c r="AN13" s="1122"/>
      <c r="AO13" s="2606"/>
      <c r="AP13" s="96">
        <f t="shared" si="8"/>
        <v>0</v>
      </c>
      <c r="AQ13" s="2606"/>
      <c r="AR13" s="2606"/>
      <c r="AS13" s="2606"/>
      <c r="AT13" s="2606"/>
      <c r="AU13" s="2606"/>
      <c r="AV13" s="2606"/>
      <c r="AW13" s="2606"/>
      <c r="AX13" s="2606"/>
      <c r="AY13" s="2606"/>
      <c r="AZ13" s="2606"/>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4" customFormat="1" ht="14.25">
      <c r="A14" s="1887" t="s">
        <v>1669</v>
      </c>
      <c r="B14" s="1890" t="s">
        <v>1213</v>
      </c>
      <c r="C14" s="1891" t="s">
        <v>1669</v>
      </c>
      <c r="D14" s="1892"/>
      <c r="E14" s="1893"/>
      <c r="F14" s="158"/>
      <c r="G14" s="159"/>
      <c r="H14" s="1894"/>
      <c r="I14" s="1894"/>
      <c r="J14" s="1894"/>
      <c r="K14" s="163">
        <f>SUMIF('数据-汇总表'!C$19:C$33,'数据-取费表'!A14,'数据-汇总表'!E$19:E$33)</f>
        <v>2988</v>
      </c>
      <c r="L14" s="3799">
        <f>L9</f>
        <v>3800</v>
      </c>
      <c r="M14" s="161">
        <f t="shared" si="1"/>
        <v>1135</v>
      </c>
      <c r="N14" s="176">
        <f>N6</f>
        <v>0</v>
      </c>
      <c r="O14" s="161">
        <f t="shared" si="3"/>
        <v>0</v>
      </c>
      <c r="P14" s="162">
        <f t="shared" si="4"/>
        <v>1135</v>
      </c>
      <c r="Q14" s="1902"/>
      <c r="R14" s="163"/>
      <c r="S14" s="122"/>
      <c r="T14" s="1901"/>
      <c r="U14" s="886"/>
      <c r="V14" s="1904"/>
      <c r="W14" s="1904"/>
      <c r="X14" s="1905"/>
      <c r="Y14" s="1906"/>
      <c r="Z14" s="125"/>
      <c r="AA14" s="1907"/>
      <c r="AB14" s="1907"/>
      <c r="AC14" s="1908"/>
      <c r="AD14" s="1905"/>
      <c r="AE14" s="884"/>
      <c r="AF14" s="994"/>
      <c r="AG14" s="1051"/>
      <c r="AH14" s="994"/>
      <c r="AI14" s="994"/>
      <c r="AJ14" s="994"/>
      <c r="AK14" s="1909"/>
      <c r="AL14" s="1910"/>
      <c r="AM14" s="1911"/>
      <c r="AN14" s="2606"/>
      <c r="AO14" s="2606"/>
      <c r="AP14" s="2606"/>
      <c r="AQ14" s="2606"/>
      <c r="AR14" s="2606"/>
      <c r="AS14" s="2606"/>
      <c r="AT14" s="2606"/>
      <c r="AU14" s="2606"/>
      <c r="AV14" s="2606"/>
      <c r="AW14" s="2606"/>
      <c r="AX14" s="2606"/>
      <c r="AY14" s="2606"/>
      <c r="AZ14" s="2606"/>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4" customFormat="1" ht="27">
      <c r="A15" s="1896" t="s">
        <v>1671</v>
      </c>
      <c r="B15" s="1890" t="s">
        <v>1213</v>
      </c>
      <c r="C15" s="1891" t="s">
        <v>1670</v>
      </c>
      <c r="D15" s="1892"/>
      <c r="E15" s="1893"/>
      <c r="F15" s="158"/>
      <c r="G15" s="159"/>
      <c r="H15" s="1894"/>
      <c r="I15" s="1894"/>
      <c r="J15" s="1894"/>
      <c r="K15" s="163">
        <f>SUMIF('数据-汇总表'!C$19:C$33,'数据-取费表'!A15,'数据-汇总表'!E$19:E$33)</f>
        <v>1127.81</v>
      </c>
      <c r="L15" s="1900"/>
      <c r="M15" s="161"/>
      <c r="N15" s="1903"/>
      <c r="O15" s="161"/>
      <c r="P15" s="162"/>
      <c r="Q15" s="1902"/>
      <c r="R15" s="163"/>
      <c r="S15" s="122"/>
      <c r="T15" s="1901"/>
      <c r="U15" s="886"/>
      <c r="V15" s="1904"/>
      <c r="W15" s="1904"/>
      <c r="X15" s="1905"/>
      <c r="Y15" s="1906"/>
      <c r="Z15" s="125"/>
      <c r="AA15" s="1907"/>
      <c r="AB15" s="1907"/>
      <c r="AC15" s="1908"/>
      <c r="AD15" s="1905"/>
      <c r="AE15" s="884"/>
      <c r="AF15" s="994"/>
      <c r="AG15" s="1051"/>
      <c r="AH15" s="994"/>
      <c r="AI15" s="994"/>
      <c r="AJ15" s="994"/>
      <c r="AK15" s="1909"/>
      <c r="AL15" s="1910"/>
      <c r="AM15" s="1911"/>
      <c r="AN15" s="2606"/>
      <c r="AO15" s="2606"/>
      <c r="AP15" s="2606"/>
      <c r="AQ15" s="2606"/>
      <c r="AR15" s="2606"/>
      <c r="AS15" s="2606"/>
      <c r="AT15" s="2606"/>
      <c r="AU15" s="2606"/>
      <c r="AV15" s="2606"/>
      <c r="AW15" s="2606"/>
      <c r="AX15" s="2606"/>
      <c r="AY15" s="2606"/>
      <c r="AZ15" s="2606"/>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4" customFormat="1" ht="15.75" thickBot="1">
      <c r="A16" s="178" t="s">
        <v>228</v>
      </c>
      <c r="B16" s="179"/>
      <c r="C16" s="180"/>
      <c r="D16" s="181"/>
      <c r="E16" s="179"/>
      <c r="F16" s="179"/>
      <c r="G16" s="182">
        <f>ROUND(SUMPRODUCT(G6:G13,K6:K13)/SUMPRODUCT((G6:G13&gt;0)*(K6:K13)),3)</f>
        <v>0.996</v>
      </c>
      <c r="H16" s="183">
        <f>ROUND(SUMPRODUCT(H6:H13,K6:K13)/SUMPRODUCT((H6:H13&gt;0)*(K6:K13)),3)</f>
        <v>4.2999999999999997E-2</v>
      </c>
      <c r="I16" s="184"/>
      <c r="J16" s="184"/>
      <c r="K16" s="185">
        <f>SUM(K6:K15)</f>
        <v>57989.509999999995</v>
      </c>
      <c r="L16" s="186">
        <f>ROUND(M16*10000/SUM(K6:K14),0)</f>
        <v>4731</v>
      </c>
      <c r="M16" s="186">
        <f>SUM(M6:M14)</f>
        <v>26899</v>
      </c>
      <c r="N16" s="187">
        <f>ROUND(SUMPRODUCT(M6:M14,N6:N14)/M16,3)</f>
        <v>0</v>
      </c>
      <c r="O16" s="186">
        <f>SUM(O6:O14)</f>
        <v>0</v>
      </c>
      <c r="P16" s="186">
        <f>SUM(P6:P14)</f>
        <v>26899</v>
      </c>
      <c r="Q16" s="188">
        <f>ROUND(SUMPRODUCT(Q6:Q13,K6:K13)/SUMPRODUCT((Q6:Q13&gt;0)*(K6:K13)),2)</f>
        <v>0.12</v>
      </c>
      <c r="R16" s="1895">
        <f>SUM(R6:R13)</f>
        <v>19518.440000000002</v>
      </c>
      <c r="S16" s="189">
        <f>SUM(S6:S13)</f>
        <v>2988.0000000000005</v>
      </c>
      <c r="T16" s="190">
        <f>IF(SUMIF(T6:T13,"&lt;9E307")=M14,SUMIF(T6:T13,"&lt;9E307"),"有误，请检查")</f>
        <v>1135</v>
      </c>
      <c r="U16" s="191"/>
      <c r="V16" s="192"/>
      <c r="W16" s="192"/>
      <c r="X16" s="195"/>
      <c r="Y16" s="193"/>
      <c r="Z16" s="194"/>
      <c r="AA16" s="192"/>
      <c r="AB16" s="192"/>
      <c r="AC16" s="195"/>
      <c r="AD16" s="195"/>
      <c r="AE16" s="191"/>
      <c r="AF16" s="192"/>
      <c r="AG16" s="193"/>
      <c r="AH16" s="192"/>
      <c r="AI16" s="194"/>
      <c r="AJ16" s="194"/>
      <c r="AK16" s="192"/>
      <c r="AL16" s="192"/>
      <c r="AM16" s="193"/>
      <c r="AN16" s="2606"/>
      <c r="AO16" s="2606"/>
      <c r="AP16" s="96">
        <f>ROUND(SUMPRODUCT(AP6:AP13,K6:K13)/SUMPRODUCT((AP6:AP13&gt;0)*(K6:K13)),3)</f>
        <v>0.91100000000000003</v>
      </c>
      <c r="AQ16" s="2606"/>
      <c r="AR16" s="2606"/>
      <c r="AS16" s="2606"/>
      <c r="AT16" s="2606"/>
      <c r="AU16" s="2606"/>
      <c r="AV16" s="2606"/>
      <c r="AW16" s="2606"/>
      <c r="AX16" s="2606"/>
      <c r="AY16" s="2606"/>
      <c r="AZ16" s="2606"/>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5" thickBot="1">
      <c r="A17" s="1052"/>
      <c r="B17" s="2612"/>
      <c r="C17" s="2612"/>
      <c r="D17" s="2613"/>
      <c r="E17" s="2613"/>
      <c r="F17" s="2612"/>
      <c r="G17" s="2612"/>
      <c r="H17" s="2612"/>
      <c r="I17" s="2612"/>
      <c r="J17" s="2612"/>
      <c r="K17" s="2614"/>
      <c r="L17" s="2614"/>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c r="AS17" s="2612"/>
      <c r="AT17" s="2612"/>
      <c r="AU17" s="2612"/>
      <c r="AV17" s="2612"/>
      <c r="AW17" s="2612"/>
      <c r="AX17" s="2612"/>
      <c r="AY17" s="2612"/>
      <c r="AZ17" s="2612"/>
    </row>
    <row r="18" spans="1:52" ht="15" thickBot="1">
      <c r="A18" s="134" t="s">
        <v>229</v>
      </c>
      <c r="B18" s="2606"/>
      <c r="C18" s="2606"/>
      <c r="D18" s="2615"/>
      <c r="E18" s="2606"/>
      <c r="F18" s="2606"/>
      <c r="G18" s="2606"/>
      <c r="H18" s="2606"/>
      <c r="I18" s="2606"/>
      <c r="J18" s="2606"/>
      <c r="K18" s="2614"/>
      <c r="L18" s="2614"/>
      <c r="M18" s="2612"/>
      <c r="N18" s="2612"/>
      <c r="O18" s="2612"/>
      <c r="P18" s="2612"/>
      <c r="Q18" s="2612">
        <f>Q16/B20</f>
        <v>0.06</v>
      </c>
      <c r="R18" s="2612"/>
      <c r="S18" s="2612"/>
      <c r="T18" s="3403"/>
      <c r="U18" s="3403"/>
      <c r="V18" s="3403"/>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c r="AS18" s="2612"/>
      <c r="AT18" s="2612"/>
      <c r="AU18" s="2612"/>
      <c r="AV18" s="2612"/>
      <c r="AW18" s="2612"/>
      <c r="AX18" s="2612"/>
      <c r="AY18" s="2612"/>
      <c r="AZ18" s="2612"/>
    </row>
    <row r="19" spans="1:52" ht="14.25">
      <c r="A19" s="197" t="s">
        <v>230</v>
      </c>
      <c r="B19" s="198">
        <v>0</v>
      </c>
      <c r="C19" s="2625" t="s">
        <v>2267</v>
      </c>
      <c r="D19" s="2615"/>
      <c r="E19" s="2606"/>
      <c r="F19" s="2606"/>
      <c r="G19" s="2606"/>
      <c r="H19" s="2606"/>
      <c r="I19" s="2606"/>
      <c r="J19" s="2606"/>
      <c r="K19" s="2614"/>
      <c r="L19" s="2614"/>
      <c r="M19" s="2612"/>
      <c r="N19" s="2612"/>
      <c r="O19" s="2612"/>
      <c r="P19" s="2612"/>
      <c r="Q19" s="2612"/>
      <c r="R19" s="2612"/>
      <c r="S19" s="2612"/>
      <c r="T19" s="2612"/>
      <c r="U19" s="2612"/>
      <c r="V19" s="2612"/>
      <c r="W19" s="2612"/>
      <c r="X19" s="2612"/>
      <c r="Y19" s="2612"/>
      <c r="Z19" s="2612"/>
      <c r="AA19" s="2612"/>
      <c r="AB19" s="2612"/>
      <c r="AC19" s="2612"/>
      <c r="AD19" s="2612"/>
      <c r="AE19" s="2614"/>
      <c r="AF19" s="3454" t="s">
        <v>4304</v>
      </c>
      <c r="AG19" s="3454" t="s">
        <v>4075</v>
      </c>
      <c r="AH19" s="2614">
        <f>指标!B20</f>
        <v>465</v>
      </c>
      <c r="AI19" s="2614"/>
      <c r="AJ19" s="3450" t="s">
        <v>4312</v>
      </c>
      <c r="AK19" s="3450" t="s">
        <v>4307</v>
      </c>
      <c r="AL19" s="3452"/>
      <c r="AM19" s="3450" t="s">
        <v>4304</v>
      </c>
      <c r="AN19" s="2612"/>
      <c r="AO19" s="2612"/>
      <c r="AP19" s="2612"/>
      <c r="AQ19" s="2612"/>
      <c r="AR19" s="2612"/>
      <c r="AS19" s="2612"/>
      <c r="AT19" s="2612"/>
      <c r="AU19" s="2612"/>
      <c r="AV19" s="2612"/>
      <c r="AW19" s="2612"/>
      <c r="AX19" s="2612"/>
      <c r="AY19" s="2612"/>
      <c r="AZ19" s="2612"/>
    </row>
    <row r="20" spans="1:52" ht="14.25">
      <c r="A20" s="199" t="s">
        <v>231</v>
      </c>
      <c r="B20" s="200">
        <v>2</v>
      </c>
      <c r="C20" s="2625" t="s">
        <v>1690</v>
      </c>
      <c r="D20" s="2615"/>
      <c r="E20" s="2606"/>
      <c r="F20" s="2606"/>
      <c r="G20" s="2606"/>
      <c r="H20" s="2606"/>
      <c r="I20" s="2606"/>
      <c r="J20" s="2606"/>
      <c r="K20" s="2614"/>
      <c r="L20" s="2614"/>
      <c r="M20" s="2612"/>
      <c r="N20" s="2612"/>
      <c r="O20" s="2612"/>
      <c r="P20" s="2612"/>
      <c r="Q20" s="2612"/>
      <c r="R20" s="2612"/>
      <c r="S20" s="2612"/>
      <c r="T20" s="3403" t="s">
        <v>4121</v>
      </c>
      <c r="U20" s="3403" t="s">
        <v>4123</v>
      </c>
      <c r="V20" s="3403" t="s">
        <v>4120</v>
      </c>
      <c r="W20" s="2612"/>
      <c r="X20" s="2612"/>
      <c r="Y20" s="2612"/>
      <c r="Z20" s="2612"/>
      <c r="AA20" s="2612"/>
      <c r="AB20" s="2612"/>
      <c r="AC20" s="2612"/>
      <c r="AD20" s="2612"/>
      <c r="AE20" s="3451" t="s">
        <v>4305</v>
      </c>
      <c r="AF20" s="3455">
        <f>'数据-基础表'!O13</f>
        <v>11328.62</v>
      </c>
      <c r="AG20" s="3454" t="s">
        <v>4076</v>
      </c>
      <c r="AH20" s="2614">
        <f>ROUNDDOWN(AH19*AF20/AF22,0)</f>
        <v>297</v>
      </c>
      <c r="AI20" s="2614"/>
      <c r="AJ20" s="3450" t="s">
        <v>4078</v>
      </c>
      <c r="AK20" s="3452">
        <f>指标!B24</f>
        <v>118</v>
      </c>
      <c r="AL20" s="3452"/>
      <c r="AM20" s="3452">
        <f>AF20-AM21</f>
        <v>2808.2200000000012</v>
      </c>
      <c r="AN20" s="2612"/>
      <c r="AO20" s="2612"/>
      <c r="AP20" s="2612"/>
      <c r="AQ20" s="2612"/>
      <c r="AR20" s="2612"/>
      <c r="AS20" s="2612"/>
      <c r="AT20" s="2612"/>
      <c r="AU20" s="2612"/>
      <c r="AV20" s="2612"/>
      <c r="AW20" s="2612"/>
      <c r="AX20" s="2612"/>
      <c r="AY20" s="2612"/>
      <c r="AZ20" s="2612"/>
    </row>
    <row r="21" spans="1:52" ht="14.25">
      <c r="A21" s="201" t="s">
        <v>232</v>
      </c>
      <c r="B21" s="200">
        <v>0</v>
      </c>
      <c r="C21" s="2606"/>
      <c r="D21" s="2615"/>
      <c r="E21" s="2606"/>
      <c r="F21" s="2606"/>
      <c r="G21" s="2606"/>
      <c r="H21" s="2606"/>
      <c r="I21" s="2606"/>
      <c r="J21" s="2606"/>
      <c r="K21" s="2614"/>
      <c r="L21" s="2614"/>
      <c r="M21" s="2612"/>
      <c r="N21" s="2612"/>
      <c r="O21" s="2612"/>
      <c r="P21" s="2612"/>
      <c r="Q21" s="2612"/>
      <c r="R21" s="2612"/>
      <c r="S21" s="2612"/>
      <c r="T21" s="2612" t="s">
        <v>4107</v>
      </c>
      <c r="U21" s="2612">
        <v>1</v>
      </c>
      <c r="V21" s="2612">
        <v>3</v>
      </c>
      <c r="W21" s="2612"/>
      <c r="X21" s="2612"/>
      <c r="Y21" s="2612"/>
      <c r="Z21" s="2612"/>
      <c r="AA21" s="2612"/>
      <c r="AB21" s="2612"/>
      <c r="AC21" s="2612"/>
      <c r="AD21" s="2612"/>
      <c r="AE21" s="3451" t="s">
        <v>4306</v>
      </c>
      <c r="AF21" s="3455">
        <f>指标!B29</f>
        <v>6372.1</v>
      </c>
      <c r="AG21" s="3454" t="s">
        <v>4077</v>
      </c>
      <c r="AH21" s="2614">
        <f>AH19-AH20</f>
        <v>168</v>
      </c>
      <c r="AI21" s="2614"/>
      <c r="AJ21" s="3450" t="s">
        <v>4079</v>
      </c>
      <c r="AK21" s="3452">
        <f>AH20-AK20</f>
        <v>179</v>
      </c>
      <c r="AL21" s="3452"/>
      <c r="AM21" s="3452">
        <f>ROUND(AK21*AH27,2)</f>
        <v>8520.4</v>
      </c>
      <c r="AN21" s="2612"/>
      <c r="AO21" s="2612"/>
      <c r="AP21" s="2612"/>
      <c r="AQ21" s="2612"/>
      <c r="AR21" s="2612"/>
      <c r="AS21" s="2612"/>
      <c r="AT21" s="2612"/>
      <c r="AU21" s="2612"/>
      <c r="AV21" s="2612"/>
      <c r="AW21" s="2612"/>
      <c r="AX21" s="2612"/>
      <c r="AY21" s="2612"/>
      <c r="AZ21" s="2612"/>
    </row>
    <row r="22" spans="1:52" ht="14.25">
      <c r="A22" s="199" t="s">
        <v>233</v>
      </c>
      <c r="B22" s="202">
        <f>B19+B20</f>
        <v>2</v>
      </c>
      <c r="C22" s="2606"/>
      <c r="D22" s="2615"/>
      <c r="E22" s="2606"/>
      <c r="F22" s="2606"/>
      <c r="G22" s="2606"/>
      <c r="H22" s="2606"/>
      <c r="I22" s="2606"/>
      <c r="J22" s="2606" t="s">
        <v>3336</v>
      </c>
      <c r="K22" s="2614"/>
      <c r="L22" s="2614"/>
      <c r="M22" s="2612"/>
      <c r="N22" s="2612"/>
      <c r="O22" s="2612"/>
      <c r="P22" s="2612"/>
      <c r="Q22" s="2612"/>
      <c r="R22" s="2612"/>
      <c r="S22" s="2612"/>
      <c r="T22" s="2612" t="s">
        <v>4119</v>
      </c>
      <c r="U22" s="2612">
        <v>0.7</v>
      </c>
      <c r="V22" s="2612">
        <f>V21*U22</f>
        <v>2.0999999999999996</v>
      </c>
      <c r="W22" s="2612"/>
      <c r="X22" s="2612"/>
      <c r="Y22" s="2612"/>
      <c r="Z22" s="2612"/>
      <c r="AA22" s="2612"/>
      <c r="AB22" s="2612"/>
      <c r="AC22" s="2612"/>
      <c r="AD22" s="2612"/>
      <c r="AE22" s="2614"/>
      <c r="AF22" s="3455">
        <f>AF21+AF20</f>
        <v>17700.72</v>
      </c>
      <c r="AG22" s="3455"/>
      <c r="AH22" s="2614"/>
      <c r="AI22" s="2614"/>
      <c r="AJ22" s="3450" t="s">
        <v>4311</v>
      </c>
      <c r="AK22" s="3452">
        <f>AK20+AK21</f>
        <v>297</v>
      </c>
      <c r="AL22" s="3452"/>
      <c r="AM22" s="3452">
        <f>AM20+AM21</f>
        <v>11328.62</v>
      </c>
      <c r="AN22" s="2612"/>
      <c r="AO22" s="2612"/>
      <c r="AP22" s="2612"/>
      <c r="AQ22" s="2612"/>
      <c r="AR22" s="2612"/>
      <c r="AS22" s="2612"/>
      <c r="AT22" s="2612"/>
      <c r="AU22" s="2612"/>
      <c r="AV22" s="2612"/>
      <c r="AW22" s="2612"/>
      <c r="AX22" s="2612"/>
      <c r="AY22" s="2612"/>
      <c r="AZ22" s="2612"/>
    </row>
    <row r="23" spans="1:52" ht="14.25">
      <c r="A23" s="201" t="s">
        <v>234</v>
      </c>
      <c r="B23" s="202">
        <f>B19+B21</f>
        <v>0</v>
      </c>
      <c r="C23" s="2606"/>
      <c r="D23" s="2615"/>
      <c r="E23" s="2606"/>
      <c r="F23" s="2606"/>
      <c r="G23" s="2606"/>
      <c r="H23" s="2606"/>
      <c r="I23" s="2606"/>
      <c r="J23" s="2606"/>
      <c r="K23" s="2614" t="s">
        <v>2203</v>
      </c>
      <c r="L23" s="2614" t="s">
        <v>3337</v>
      </c>
      <c r="M23" s="2612" t="s">
        <v>3338</v>
      </c>
      <c r="N23" s="2612"/>
      <c r="O23" s="2612"/>
      <c r="P23" s="2612"/>
      <c r="Q23" s="2612"/>
      <c r="R23" s="2612"/>
      <c r="S23" s="2612"/>
      <c r="T23" s="2612" t="s">
        <v>4122</v>
      </c>
      <c r="U23" s="2612">
        <f>(U21+U22)/2</f>
        <v>0.85</v>
      </c>
      <c r="V23" s="2612">
        <f>V21*U23</f>
        <v>2.5499999999999998</v>
      </c>
      <c r="W23" s="2612"/>
      <c r="X23" s="2612"/>
      <c r="Y23" s="2612"/>
      <c r="Z23" s="2612"/>
      <c r="AA23" s="2612"/>
      <c r="AB23" s="2612"/>
      <c r="AC23" s="2612"/>
      <c r="AD23" s="2612"/>
      <c r="AE23" s="2614"/>
      <c r="AF23" s="2614"/>
      <c r="AG23" s="2614"/>
      <c r="AH23" s="2614"/>
      <c r="AI23" s="2614"/>
      <c r="AJ23" s="2614"/>
      <c r="AK23" s="2614"/>
      <c r="AL23" s="2614"/>
      <c r="AM23" s="2614"/>
      <c r="AN23" s="2612"/>
      <c r="AO23" s="2612"/>
      <c r="AP23" s="2612"/>
      <c r="AQ23" s="2612"/>
      <c r="AR23" s="2612"/>
      <c r="AS23" s="2612"/>
      <c r="AT23" s="2612"/>
      <c r="AU23" s="2612"/>
      <c r="AV23" s="2612"/>
      <c r="AW23" s="2612"/>
      <c r="AX23" s="2612"/>
      <c r="AY23" s="2612"/>
      <c r="AZ23" s="2612"/>
    </row>
    <row r="24" spans="1:52" ht="15" thickBot="1">
      <c r="A24" s="203" t="s">
        <v>235</v>
      </c>
      <c r="B24" s="204">
        <f>B20-B21</f>
        <v>2</v>
      </c>
      <c r="C24" s="2606"/>
      <c r="D24" s="2615"/>
      <c r="E24" s="2606"/>
      <c r="F24" s="2606"/>
      <c r="G24" s="2606"/>
      <c r="H24" s="2606"/>
      <c r="I24" s="2606"/>
      <c r="J24" s="3422" t="s">
        <v>4116</v>
      </c>
      <c r="K24" s="2614"/>
      <c r="L24" s="2614">
        <f>L25+L28+L30</f>
        <v>4308</v>
      </c>
      <c r="M24" s="2612">
        <f>M25+M28+M30</f>
        <v>24984.548799999997</v>
      </c>
      <c r="N24" s="2612"/>
      <c r="O24" s="2612"/>
      <c r="P24" s="2612"/>
      <c r="Q24" s="2612"/>
      <c r="R24" s="2612"/>
      <c r="S24" s="2612"/>
      <c r="T24" s="2612"/>
      <c r="U24" s="2612"/>
      <c r="V24" s="2612"/>
      <c r="W24" s="2612"/>
      <c r="X24" s="2612"/>
      <c r="Y24" s="2612"/>
      <c r="Z24" s="2612"/>
      <c r="AA24" s="2612"/>
      <c r="AB24" s="2612"/>
      <c r="AC24" s="2612"/>
      <c r="AD24" s="2612"/>
      <c r="AE24" s="2614"/>
      <c r="AF24" s="2614"/>
      <c r="AG24" s="2614"/>
      <c r="AH24" s="2614"/>
      <c r="AI24" s="2614"/>
      <c r="AJ24" s="2614"/>
      <c r="AK24" s="2614"/>
      <c r="AL24" s="2614"/>
      <c r="AM24" s="2614"/>
      <c r="AN24" s="2612"/>
      <c r="AO24" s="2612"/>
      <c r="AP24" s="2612"/>
      <c r="AQ24" s="2612"/>
      <c r="AR24" s="2612"/>
      <c r="AS24" s="2612"/>
      <c r="AT24" s="2612"/>
      <c r="AU24" s="2612"/>
      <c r="AV24" s="2612"/>
      <c r="AW24" s="2612"/>
      <c r="AX24" s="2612"/>
      <c r="AY24" s="2612"/>
      <c r="AZ24" s="2612"/>
    </row>
    <row r="25" spans="1:52" ht="15" thickBot="1">
      <c r="A25" s="1045"/>
      <c r="B25" s="96"/>
      <c r="C25" s="2606"/>
      <c r="D25" s="2615"/>
      <c r="E25" s="2606"/>
      <c r="F25" s="2606"/>
      <c r="G25" s="2606"/>
      <c r="H25" s="2606"/>
      <c r="I25" s="2606"/>
      <c r="J25" s="2606" t="s">
        <v>3339</v>
      </c>
      <c r="K25" s="2614">
        <f>K26+K27</f>
        <v>57989.509999999995</v>
      </c>
      <c r="L25" s="2614">
        <f>ROUND(M25*10000/K25,0)</f>
        <v>1708</v>
      </c>
      <c r="M25" s="2612">
        <f>M26+M27</f>
        <v>9907.2762000000002</v>
      </c>
      <c r="N25" s="2612"/>
      <c r="O25" s="2612"/>
      <c r="P25" s="2612"/>
      <c r="Q25" s="2612"/>
      <c r="R25" s="2612"/>
      <c r="S25" s="2612"/>
      <c r="T25" s="2612"/>
      <c r="U25" s="2612"/>
      <c r="V25" s="2612"/>
      <c r="W25" s="2612"/>
      <c r="X25" s="2612"/>
      <c r="Y25" s="2612"/>
      <c r="Z25" s="2612"/>
      <c r="AA25" s="2612"/>
      <c r="AB25" s="2612"/>
      <c r="AC25" s="2612"/>
      <c r="AD25" s="2612"/>
      <c r="AE25" s="2614"/>
      <c r="AF25" s="2614"/>
      <c r="AG25" s="3453" t="s">
        <v>4308</v>
      </c>
      <c r="AH25" s="2614"/>
      <c r="AI25" s="2614"/>
      <c r="AJ25" s="2614"/>
      <c r="AK25" s="2614"/>
      <c r="AL25" s="2614"/>
      <c r="AM25" s="2614"/>
      <c r="AN25" s="2612"/>
      <c r="AO25" s="2612"/>
      <c r="AP25" s="2612"/>
      <c r="AQ25" s="2612"/>
      <c r="AR25" s="2612"/>
      <c r="AS25" s="2612"/>
      <c r="AT25" s="2612"/>
      <c r="AU25" s="2612"/>
      <c r="AV25" s="2612"/>
      <c r="AW25" s="2612"/>
      <c r="AX25" s="2612"/>
      <c r="AY25" s="2612"/>
      <c r="AZ25" s="2612"/>
    </row>
    <row r="26" spans="1:52" ht="15" thickBot="1">
      <c r="A26" s="133" t="s">
        <v>236</v>
      </c>
      <c r="B26" s="205" t="s">
        <v>237</v>
      </c>
      <c r="C26" s="2616" t="s">
        <v>238</v>
      </c>
      <c r="D26" s="2615"/>
      <c r="E26" s="2606"/>
      <c r="F26" s="2606"/>
      <c r="G26" s="2606"/>
      <c r="H26" s="2606"/>
      <c r="I26" s="2606"/>
      <c r="J26" s="2606" t="s">
        <v>3317</v>
      </c>
      <c r="K26" s="2614">
        <f>'数据-汇总表'!F31</f>
        <v>43316.919999999991</v>
      </c>
      <c r="L26" s="2614">
        <v>1000</v>
      </c>
      <c r="M26" s="2612">
        <f>K26*L26/10000</f>
        <v>4331.6919999999991</v>
      </c>
      <c r="N26" s="2612"/>
      <c r="O26" s="2612"/>
      <c r="P26" s="2612"/>
      <c r="Q26" s="2612"/>
      <c r="R26" s="2612"/>
      <c r="S26" s="2612"/>
      <c r="T26" s="2612"/>
      <c r="U26" s="2612"/>
      <c r="V26" s="2612"/>
      <c r="W26" s="2612"/>
      <c r="X26" s="2612"/>
      <c r="Y26" s="2612"/>
      <c r="Z26" s="2612"/>
      <c r="AA26" s="2612"/>
      <c r="AB26" s="2612"/>
      <c r="AC26" s="2612"/>
      <c r="AD26" s="2612"/>
      <c r="AE26" s="2614"/>
      <c r="AF26" s="2614"/>
      <c r="AG26" s="3453" t="s">
        <v>4310</v>
      </c>
      <c r="AH26" s="3452">
        <f>AK21+AK20/2</f>
        <v>238</v>
      </c>
      <c r="AI26" s="3453"/>
      <c r="AJ26" s="2614"/>
      <c r="AK26" s="2614"/>
      <c r="AL26" s="2614"/>
      <c r="AM26" s="2614"/>
      <c r="AN26" s="2612"/>
      <c r="AO26" s="2612"/>
      <c r="AP26" s="2612"/>
      <c r="AQ26" s="2612"/>
      <c r="AR26" s="2612"/>
      <c r="AS26" s="2612"/>
      <c r="AT26" s="2612"/>
      <c r="AU26" s="2612"/>
      <c r="AV26" s="2612"/>
      <c r="AW26" s="2612"/>
      <c r="AX26" s="2612"/>
      <c r="AY26" s="2612"/>
      <c r="AZ26" s="2612"/>
    </row>
    <row r="27" spans="1:52" ht="27.75">
      <c r="A27" s="206" t="s">
        <v>1692</v>
      </c>
      <c r="B27" s="207">
        <v>160</v>
      </c>
      <c r="C27" s="2626" t="s">
        <v>2268</v>
      </c>
      <c r="D27" s="2618"/>
      <c r="E27" s="2619"/>
      <c r="F27" s="2619"/>
      <c r="G27" s="2606"/>
      <c r="H27" s="2606"/>
      <c r="I27" s="2606"/>
      <c r="J27" s="2606" t="s">
        <v>3319</v>
      </c>
      <c r="K27" s="2614">
        <f>'数据-汇总表'!G31</f>
        <v>14672.59</v>
      </c>
      <c r="L27" s="2614">
        <v>3800</v>
      </c>
      <c r="M27" s="2612">
        <f>K27*L27/10000</f>
        <v>5575.5842000000002</v>
      </c>
      <c r="N27" s="2612"/>
      <c r="O27" s="2612"/>
      <c r="P27" s="2612"/>
      <c r="Q27" s="2612"/>
      <c r="R27" s="2612"/>
      <c r="S27" s="2612"/>
      <c r="T27" s="2612"/>
      <c r="U27" s="2612"/>
      <c r="V27" s="2612"/>
      <c r="W27" s="2612"/>
      <c r="X27" s="2612"/>
      <c r="Y27" s="2612"/>
      <c r="Z27" s="2612"/>
      <c r="AA27" s="2612"/>
      <c r="AB27" s="2612"/>
      <c r="AC27" s="2612"/>
      <c r="AD27" s="2612"/>
      <c r="AE27" s="2614"/>
      <c r="AF27" s="2614"/>
      <c r="AG27" s="3451" t="s">
        <v>4309</v>
      </c>
      <c r="AH27" s="3452">
        <f>ROUND(AF20/AH26,2)</f>
        <v>47.6</v>
      </c>
      <c r="AI27" s="2614"/>
      <c r="AJ27" s="2614"/>
      <c r="AK27" s="2614"/>
      <c r="AL27" s="2614"/>
      <c r="AM27" s="2614">
        <f>11328.62/(179+118/2)</f>
        <v>47.599243697478997</v>
      </c>
      <c r="AN27" s="2612"/>
      <c r="AO27" s="2612"/>
      <c r="AP27" s="2612"/>
      <c r="AQ27" s="2612"/>
      <c r="AR27" s="2612"/>
      <c r="AS27" s="2612"/>
      <c r="AT27" s="2612"/>
      <c r="AU27" s="2612"/>
      <c r="AV27" s="2612"/>
      <c r="AW27" s="2612"/>
      <c r="AX27" s="2612"/>
      <c r="AY27" s="2612"/>
      <c r="AZ27" s="2612"/>
    </row>
    <row r="28" spans="1:52" ht="27.75">
      <c r="A28" s="208" t="s">
        <v>1693</v>
      </c>
      <c r="B28" s="209">
        <v>200</v>
      </c>
      <c r="C28" s="2620"/>
      <c r="D28" s="2618"/>
      <c r="E28" s="2619"/>
      <c r="F28" s="2619"/>
      <c r="G28" s="2606"/>
      <c r="H28" s="2606"/>
      <c r="I28" s="2606"/>
      <c r="J28" s="2606" t="s">
        <v>3340</v>
      </c>
      <c r="K28" s="2614">
        <f>K25</f>
        <v>57989.509999999995</v>
      </c>
      <c r="L28" s="2614">
        <v>1500</v>
      </c>
      <c r="M28" s="2612">
        <f>K28*L28/10000</f>
        <v>8698.4264999999978</v>
      </c>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c r="AS28" s="2612"/>
      <c r="AT28" s="2612"/>
      <c r="AU28" s="2612"/>
      <c r="AV28" s="2612"/>
      <c r="AW28" s="2612"/>
      <c r="AX28" s="2612"/>
      <c r="AY28" s="2612"/>
      <c r="AZ28" s="2612"/>
    </row>
    <row r="29" spans="1:52" ht="28.5" thickBot="1">
      <c r="A29" s="211" t="s">
        <v>1691</v>
      </c>
      <c r="B29" s="3786">
        <f ca="1">'剩余法-待开发'!C21+'剩余法-待开发'!C22</f>
        <v>1022</v>
      </c>
      <c r="C29" s="2627" t="s">
        <v>1694</v>
      </c>
      <c r="D29" s="2618"/>
      <c r="E29" s="2619">
        <f>11499090.8/10000</f>
        <v>1149.9090800000001</v>
      </c>
      <c r="F29" s="3433" t="s">
        <v>4286</v>
      </c>
      <c r="G29" s="2606"/>
      <c r="H29" s="2606"/>
      <c r="I29" s="2606"/>
      <c r="J29" s="2606"/>
      <c r="K29" s="2614"/>
      <c r="L29" s="2614"/>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T29" s="2612"/>
      <c r="AU29" s="2612"/>
      <c r="AV29" s="2612"/>
      <c r="AW29" s="2612"/>
      <c r="AX29" s="2612"/>
      <c r="AY29" s="2612"/>
      <c r="AZ29" s="2612"/>
    </row>
    <row r="30" spans="1:52" ht="27">
      <c r="A30" s="214" t="s">
        <v>239</v>
      </c>
      <c r="B30" s="890">
        <v>200</v>
      </c>
      <c r="C30" s="2620"/>
      <c r="D30" s="2618"/>
      <c r="E30" s="2619"/>
      <c r="F30" s="2619"/>
      <c r="G30" s="2606"/>
      <c r="H30" s="2606"/>
      <c r="I30" s="2606"/>
      <c r="J30" s="2606" t="s">
        <v>3312</v>
      </c>
      <c r="K30" s="2614">
        <f>K25</f>
        <v>57989.509999999995</v>
      </c>
      <c r="L30" s="2614">
        <v>1100</v>
      </c>
      <c r="M30" s="2612">
        <f>K30*L30/10000</f>
        <v>6378.8460999999988</v>
      </c>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c r="AS30" s="2612"/>
      <c r="AT30" s="2612"/>
      <c r="AU30" s="2612"/>
      <c r="AV30" s="2612"/>
      <c r="AW30" s="2612"/>
      <c r="AX30" s="2612"/>
      <c r="AY30" s="2612"/>
      <c r="AZ30" s="2612"/>
    </row>
    <row r="31" spans="1:52" ht="27">
      <c r="A31" s="208" t="s">
        <v>240</v>
      </c>
      <c r="B31" s="210">
        <f>B30-B32</f>
        <v>150</v>
      </c>
      <c r="C31" s="2617"/>
      <c r="D31" s="2618"/>
      <c r="E31" s="2619"/>
      <c r="F31" s="2619"/>
      <c r="G31" s="2606"/>
      <c r="H31" s="2606"/>
      <c r="I31" s="2606"/>
      <c r="J31" s="2606" t="s">
        <v>3310</v>
      </c>
      <c r="K31" s="2614">
        <f>'数据-基础表'!AT5</f>
        <v>6401.14</v>
      </c>
      <c r="L31" s="2614">
        <f>L27</f>
        <v>3800</v>
      </c>
      <c r="M31" s="2612">
        <f>K31*L31/10000</f>
        <v>2432.4331999999999</v>
      </c>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c r="AS31" s="2612"/>
      <c r="AT31" s="2612"/>
      <c r="AU31" s="2612"/>
      <c r="AV31" s="2612"/>
      <c r="AW31" s="2612"/>
      <c r="AX31" s="2612"/>
      <c r="AY31" s="2612"/>
      <c r="AZ31" s="2612"/>
    </row>
    <row r="32" spans="1:52" ht="27.75" thickBot="1">
      <c r="A32" s="216" t="s">
        <v>241</v>
      </c>
      <c r="B32" s="3446">
        <v>50</v>
      </c>
      <c r="C32" s="2620"/>
      <c r="D32" s="2615"/>
      <c r="E32" s="2606"/>
      <c r="F32" s="2606"/>
      <c r="G32" s="2606"/>
      <c r="H32" s="2606"/>
      <c r="I32" s="2606"/>
      <c r="J32" s="3422" t="s">
        <v>4117</v>
      </c>
      <c r="K32" s="2614">
        <f>K25+K31</f>
        <v>64390.649999999994</v>
      </c>
      <c r="L32" s="2614">
        <f>ROUND(M32*10000/K32,0)</f>
        <v>4258</v>
      </c>
      <c r="M32" s="2612">
        <f>M24+M31</f>
        <v>27416.981999999996</v>
      </c>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c r="AS32" s="2612"/>
      <c r="AT32" s="2612"/>
      <c r="AU32" s="2612"/>
      <c r="AV32" s="2612"/>
      <c r="AW32" s="2612"/>
      <c r="AX32" s="2612"/>
      <c r="AY32" s="2612"/>
      <c r="AZ32" s="2612"/>
    </row>
    <row r="33" spans="1:52" ht="14.25">
      <c r="A33" s="206" t="s">
        <v>244</v>
      </c>
      <c r="B33" s="1166">
        <v>0.05</v>
      </c>
      <c r="C33" s="2628" t="s">
        <v>3254</v>
      </c>
      <c r="D33" s="2618"/>
      <c r="E33" s="2619"/>
      <c r="F33" s="2619"/>
      <c r="G33" s="2606"/>
      <c r="H33" s="2606"/>
      <c r="I33" s="2606"/>
      <c r="J33" s="2606" t="s">
        <v>3341</v>
      </c>
      <c r="K33" s="2614">
        <f>K25</f>
        <v>57989.509999999995</v>
      </c>
      <c r="L33" s="2614">
        <f>ROUND(M33*10000/K33,0)</f>
        <v>4728</v>
      </c>
      <c r="M33" s="2612">
        <f>M24+M31</f>
        <v>27416.981999999996</v>
      </c>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c r="AS33" s="2612"/>
      <c r="AT33" s="2612"/>
      <c r="AU33" s="2612"/>
      <c r="AV33" s="2612"/>
      <c r="AW33" s="2612"/>
      <c r="AX33" s="2612"/>
      <c r="AY33" s="2612"/>
      <c r="AZ33" s="2612"/>
    </row>
    <row r="34" spans="1:52" ht="14.25">
      <c r="A34" s="208" t="s">
        <v>245</v>
      </c>
      <c r="B34" s="212">
        <v>0.05</v>
      </c>
      <c r="C34" s="2628" t="s">
        <v>2258</v>
      </c>
      <c r="D34" s="2629" t="s">
        <v>2264</v>
      </c>
      <c r="E34" s="2612"/>
      <c r="F34" s="2606"/>
      <c r="G34" s="2606">
        <f ca="1">'剩余法-待开发'!C15</f>
        <v>862</v>
      </c>
      <c r="H34" s="2606"/>
      <c r="I34" s="2606"/>
      <c r="J34" s="2606"/>
      <c r="K34" s="2614"/>
      <c r="L34" s="2614"/>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c r="AS34" s="2612"/>
      <c r="AT34" s="2612"/>
      <c r="AU34" s="2612"/>
      <c r="AV34" s="2612"/>
      <c r="AW34" s="2612"/>
      <c r="AX34" s="2612"/>
      <c r="AY34" s="2612"/>
      <c r="AZ34" s="2612"/>
    </row>
    <row r="35" spans="1:52" ht="14.25">
      <c r="A35" s="208" t="s">
        <v>242</v>
      </c>
      <c r="B35" s="209">
        <f>B30</f>
        <v>200</v>
      </c>
      <c r="C35" s="2628" t="s">
        <v>2259</v>
      </c>
      <c r="D35" s="2615"/>
      <c r="E35" s="2606"/>
      <c r="F35" s="2606"/>
      <c r="G35" s="3407">
        <f>'数据-汇总表'!E29*'数据-取费表'!L14/10000</f>
        <v>428.56779999999998</v>
      </c>
      <c r="H35" s="2606"/>
      <c r="I35" s="2606"/>
      <c r="J35" s="2606"/>
      <c r="K35" s="2614"/>
      <c r="L35" s="2614"/>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c r="AS35" s="2612"/>
      <c r="AT35" s="2612"/>
      <c r="AU35" s="2612"/>
      <c r="AV35" s="2612"/>
      <c r="AW35" s="2612"/>
      <c r="AX35" s="2612"/>
      <c r="AY35" s="2612"/>
      <c r="AZ35" s="2612"/>
    </row>
    <row r="36" spans="1:52" ht="15" thickBot="1">
      <c r="A36" s="211" t="s">
        <v>243</v>
      </c>
      <c r="B36" s="213">
        <v>0.02</v>
      </c>
      <c r="C36" s="2628" t="s">
        <v>3255</v>
      </c>
      <c r="D36" s="2613"/>
      <c r="E36" s="2612"/>
      <c r="F36" s="2606"/>
      <c r="G36" s="2606"/>
      <c r="H36" s="2606"/>
      <c r="I36" s="2606"/>
      <c r="J36" s="2606"/>
      <c r="K36" s="2614"/>
      <c r="L36" s="2614"/>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c r="AS36" s="2612"/>
      <c r="AT36" s="2612"/>
      <c r="AU36" s="2612"/>
      <c r="AV36" s="2612"/>
      <c r="AW36" s="2612"/>
      <c r="AX36" s="2612"/>
      <c r="AY36" s="2612"/>
      <c r="AZ36" s="2612"/>
    </row>
    <row r="37" spans="1:52" ht="14.25">
      <c r="A37" s="214" t="s">
        <v>246</v>
      </c>
      <c r="B37" s="215">
        <v>0.02</v>
      </c>
      <c r="C37" s="2628" t="s">
        <v>2260</v>
      </c>
      <c r="D37" s="2615"/>
      <c r="E37" s="2606"/>
      <c r="F37" s="2606"/>
      <c r="G37" s="2606"/>
      <c r="H37" s="2606"/>
      <c r="I37" s="2606"/>
      <c r="J37" s="2606"/>
      <c r="K37" s="2614"/>
      <c r="L37" s="2614"/>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c r="AS37" s="2612"/>
      <c r="AT37" s="2612"/>
      <c r="AU37" s="2612"/>
      <c r="AV37" s="2612"/>
      <c r="AW37" s="2612"/>
      <c r="AX37" s="2612"/>
      <c r="AY37" s="2612"/>
      <c r="AZ37" s="2612"/>
    </row>
    <row r="38" spans="1:52" ht="14.25">
      <c r="A38" s="208" t="s">
        <v>247</v>
      </c>
      <c r="B38" s="3445">
        <v>0.02</v>
      </c>
      <c r="C38" s="2628" t="s">
        <v>2260</v>
      </c>
      <c r="D38" s="2615">
        <v>3</v>
      </c>
      <c r="E38" s="2606"/>
      <c r="F38" s="2606"/>
      <c r="G38" s="2606"/>
      <c r="H38" s="2606"/>
      <c r="I38" s="2606"/>
      <c r="J38" s="2606"/>
      <c r="K38" s="2614"/>
      <c r="L38" s="2614"/>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c r="AS38" s="2612"/>
      <c r="AT38" s="2612"/>
      <c r="AU38" s="2612"/>
      <c r="AV38" s="2612"/>
      <c r="AW38" s="2612"/>
      <c r="AX38" s="2612"/>
      <c r="AY38" s="2612"/>
      <c r="AZ38" s="2612"/>
    </row>
    <row r="39" spans="1:52" ht="14.25">
      <c r="A39" s="1990" t="s">
        <v>1799</v>
      </c>
      <c r="B39" s="733">
        <f ca="1">存贷款利率!C4</f>
        <v>1.4999999999999999E-2</v>
      </c>
      <c r="C39" s="2621"/>
      <c r="D39" s="2615"/>
      <c r="E39" s="2606"/>
      <c r="F39" s="2606"/>
      <c r="G39" s="2606"/>
      <c r="H39" s="2606"/>
      <c r="I39" s="2606"/>
      <c r="J39" s="2606"/>
      <c r="K39" s="2614"/>
      <c r="L39" s="2614"/>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c r="AS39" s="2612"/>
      <c r="AT39" s="2612"/>
      <c r="AU39" s="2612"/>
      <c r="AV39" s="2612"/>
      <c r="AW39" s="2612"/>
      <c r="AX39" s="2612"/>
      <c r="AY39" s="2612"/>
      <c r="AZ39" s="2612"/>
    </row>
    <row r="40" spans="1:52" ht="15" thickBot="1">
      <c r="A40" s="2773" t="s">
        <v>2282</v>
      </c>
      <c r="B40" s="1988">
        <f ca="1">IF(A40="利息：取LPR",存贷款利率!E2,存贷款利率!E2+C40)</f>
        <v>3.1E-2</v>
      </c>
      <c r="C40" s="2774">
        <v>5.0000000000000001E-3</v>
      </c>
      <c r="D40" s="2615"/>
      <c r="E40" s="2606"/>
      <c r="F40" s="2606"/>
      <c r="G40" s="2606"/>
      <c r="H40" s="2606"/>
      <c r="I40" s="2606"/>
      <c r="J40" s="2606"/>
      <c r="K40" s="2614"/>
      <c r="L40" s="2614"/>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c r="AS40" s="2612"/>
      <c r="AT40" s="2612"/>
      <c r="AU40" s="2612"/>
      <c r="AV40" s="2612"/>
      <c r="AW40" s="2612"/>
      <c r="AX40" s="2612"/>
      <c r="AY40" s="2612"/>
      <c r="AZ40" s="2612"/>
    </row>
    <row r="41" spans="1:52" ht="14.25">
      <c r="A41" s="206" t="s">
        <v>248</v>
      </c>
      <c r="B41" s="217">
        <f>B42+B43</f>
        <v>5.5000000000000007E-2</v>
      </c>
      <c r="C41" s="2617"/>
      <c r="D41" s="2615"/>
      <c r="E41" s="2606"/>
      <c r="F41" s="2606"/>
      <c r="G41" s="2606"/>
      <c r="H41" s="2606"/>
      <c r="I41" s="2606"/>
      <c r="J41" s="2606"/>
      <c r="K41" s="2614"/>
      <c r="L41" s="2614"/>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c r="AS41" s="2612"/>
      <c r="AT41" s="2612"/>
      <c r="AU41" s="2612"/>
      <c r="AV41" s="2612"/>
      <c r="AW41" s="2612"/>
      <c r="AX41" s="2612"/>
      <c r="AY41" s="2612"/>
      <c r="AZ41" s="2612"/>
    </row>
    <row r="42" spans="1:52" ht="14.25">
      <c r="A42" s="891" t="s">
        <v>249</v>
      </c>
      <c r="B42" s="219">
        <v>0.05</v>
      </c>
      <c r="C42" s="2630">
        <f>IF(B2&lt;DATE(2016,5,1),0,B42)</f>
        <v>0.05</v>
      </c>
      <c r="D42" s="2615"/>
      <c r="E42" s="2606"/>
      <c r="F42" s="2606"/>
      <c r="G42" s="2606"/>
      <c r="H42" s="2606"/>
      <c r="I42" s="2606"/>
      <c r="J42" s="2606"/>
      <c r="K42" s="2614"/>
      <c r="L42" s="2614"/>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c r="AS42" s="2612"/>
      <c r="AT42" s="2612"/>
      <c r="AU42" s="2612"/>
      <c r="AV42" s="2612"/>
      <c r="AW42" s="2612"/>
      <c r="AX42" s="2612"/>
      <c r="AY42" s="2612"/>
      <c r="AZ42" s="2612"/>
    </row>
    <row r="43" spans="1:52" ht="14.25">
      <c r="A43" s="891" t="s">
        <v>250</v>
      </c>
      <c r="B43" s="220">
        <f>B42*(B44+B45+B46)+B47</f>
        <v>5.000000000000001E-3</v>
      </c>
      <c r="C43" s="2617"/>
      <c r="D43" s="2615"/>
      <c r="E43" s="2606"/>
      <c r="F43" s="2606"/>
      <c r="G43" s="2606"/>
      <c r="H43" s="2606"/>
      <c r="I43" s="2606"/>
      <c r="J43" s="2606"/>
      <c r="K43" s="2614"/>
      <c r="L43" s="2614"/>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c r="AS43" s="2612"/>
      <c r="AT43" s="2612"/>
      <c r="AU43" s="2612"/>
      <c r="AV43" s="2612"/>
      <c r="AW43" s="2612"/>
      <c r="AX43" s="2612"/>
      <c r="AY43" s="2612"/>
      <c r="AZ43" s="2612"/>
    </row>
    <row r="44" spans="1:52" ht="14.25">
      <c r="A44" s="218" t="s">
        <v>251</v>
      </c>
      <c r="B44" s="221">
        <v>0.05</v>
      </c>
      <c r="C44" s="2628" t="s">
        <v>2265</v>
      </c>
      <c r="D44" s="2615"/>
      <c r="E44" s="2606"/>
      <c r="F44" s="2606"/>
      <c r="G44" s="2606"/>
      <c r="H44" s="2606"/>
      <c r="I44" s="2606"/>
      <c r="J44" s="2606"/>
      <c r="K44" s="2614"/>
      <c r="L44" s="2614"/>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row>
    <row r="45" spans="1:52" ht="14.25">
      <c r="A45" s="218" t="s">
        <v>252</v>
      </c>
      <c r="B45" s="219">
        <v>0.03</v>
      </c>
      <c r="C45" s="2631" t="s">
        <v>2261</v>
      </c>
      <c r="D45" s="2615"/>
      <c r="E45" s="2606"/>
      <c r="F45" s="2606"/>
      <c r="G45" s="2606"/>
      <c r="H45" s="2606"/>
      <c r="I45" s="2606"/>
      <c r="J45" s="2606"/>
      <c r="K45" s="2614"/>
      <c r="L45" s="2614"/>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c r="AS45" s="2612"/>
      <c r="AT45" s="2612"/>
      <c r="AU45" s="2612"/>
      <c r="AV45" s="2612"/>
      <c r="AW45" s="2612"/>
      <c r="AX45" s="2612"/>
      <c r="AY45" s="2612"/>
      <c r="AZ45" s="2612"/>
    </row>
    <row r="46" spans="1:52" ht="14.25">
      <c r="A46" s="218" t="s">
        <v>253</v>
      </c>
      <c r="B46" s="219">
        <v>0.02</v>
      </c>
      <c r="C46" s="2631" t="s">
        <v>2262</v>
      </c>
      <c r="D46" s="2615"/>
      <c r="E46" s="2606"/>
      <c r="F46" s="2606"/>
      <c r="G46" s="2606"/>
      <c r="H46" s="2606"/>
      <c r="I46" s="2606"/>
      <c r="J46" s="2606"/>
      <c r="K46" s="2614"/>
      <c r="L46" s="2614"/>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c r="AS46" s="2612"/>
      <c r="AT46" s="2612"/>
      <c r="AU46" s="2612"/>
      <c r="AV46" s="2612"/>
      <c r="AW46" s="2612"/>
      <c r="AX46" s="2612"/>
      <c r="AY46" s="2612"/>
      <c r="AZ46" s="2612"/>
    </row>
    <row r="47" spans="1:52" ht="15" thickBot="1">
      <c r="A47" s="222" t="s">
        <v>254</v>
      </c>
      <c r="B47" s="223">
        <v>0</v>
      </c>
      <c r="C47" s="2626" t="s">
        <v>2269</v>
      </c>
      <c r="D47" s="2615"/>
      <c r="E47" s="2606"/>
      <c r="F47" s="2606"/>
      <c r="G47" s="2606"/>
      <c r="H47" s="2606"/>
      <c r="I47" s="2606"/>
      <c r="J47" s="2606"/>
      <c r="K47" s="2614"/>
      <c r="L47" s="2614"/>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c r="AS47" s="2612"/>
      <c r="AT47" s="2612"/>
      <c r="AU47" s="2612"/>
      <c r="AV47" s="2612"/>
      <c r="AW47" s="2612"/>
      <c r="AX47" s="2612"/>
      <c r="AY47" s="2612"/>
      <c r="AZ47" s="2612"/>
    </row>
    <row r="48" spans="1:52" ht="14.25">
      <c r="A48" s="224" t="s">
        <v>255</v>
      </c>
      <c r="B48" s="225">
        <v>0.03</v>
      </c>
      <c r="C48" s="2631" t="s">
        <v>2261</v>
      </c>
      <c r="D48" s="2615"/>
      <c r="E48" s="2606"/>
      <c r="F48" s="2606"/>
      <c r="G48" s="2606"/>
      <c r="H48" s="2606"/>
      <c r="I48" s="2606"/>
      <c r="J48" s="2606"/>
      <c r="K48" s="2614"/>
      <c r="L48" s="2614"/>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c r="AS48" s="2612"/>
      <c r="AT48" s="2612"/>
      <c r="AU48" s="2612"/>
      <c r="AV48" s="2612"/>
      <c r="AW48" s="2612"/>
      <c r="AX48" s="2612"/>
      <c r="AY48" s="2612"/>
      <c r="AZ48" s="2612"/>
    </row>
    <row r="49" spans="1:52" ht="15" thickBot="1">
      <c r="A49" s="216" t="s">
        <v>256</v>
      </c>
      <c r="B49" s="219">
        <v>5.0000000000000001E-4</v>
      </c>
      <c r="C49" s="2631" t="s">
        <v>2263</v>
      </c>
      <c r="D49" s="2615"/>
      <c r="E49" s="2606"/>
      <c r="F49" s="2606"/>
      <c r="G49" s="2606"/>
      <c r="H49" s="2606"/>
      <c r="I49" s="2606"/>
      <c r="J49" s="2606"/>
      <c r="K49" s="2614"/>
      <c r="L49" s="2614"/>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c r="AS49" s="2612"/>
      <c r="AT49" s="2612"/>
      <c r="AU49" s="2612"/>
      <c r="AV49" s="2612"/>
      <c r="AW49" s="2612"/>
      <c r="AX49" s="2612"/>
      <c r="AY49" s="2612"/>
      <c r="AZ49" s="2612"/>
    </row>
    <row r="50" spans="1:52" ht="14.25">
      <c r="A50" s="226" t="s">
        <v>257</v>
      </c>
      <c r="B50" s="227">
        <v>1.2E-2</v>
      </c>
      <c r="C50" s="2620"/>
      <c r="D50" s="2615"/>
      <c r="E50" s="2606"/>
      <c r="F50" s="2606"/>
      <c r="G50" s="2606"/>
      <c r="H50" s="2606"/>
      <c r="I50" s="2606"/>
      <c r="J50" s="2606"/>
      <c r="K50" s="2614"/>
      <c r="L50" s="2614"/>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c r="AS50" s="2612"/>
      <c r="AT50" s="2612"/>
      <c r="AU50" s="2612"/>
      <c r="AV50" s="2612"/>
      <c r="AW50" s="2612"/>
      <c r="AX50" s="2612"/>
      <c r="AY50" s="2612"/>
      <c r="AZ50" s="2612"/>
    </row>
    <row r="51" spans="1:52" ht="15" thickBot="1">
      <c r="A51" s="211" t="s">
        <v>258</v>
      </c>
      <c r="B51" s="228">
        <v>0.12</v>
      </c>
      <c r="C51" s="2620"/>
      <c r="D51" s="2615"/>
      <c r="E51" s="2606"/>
      <c r="F51" s="2606"/>
      <c r="G51" s="2606"/>
      <c r="H51" s="2606"/>
      <c r="I51" s="2606"/>
      <c r="J51" s="2606"/>
      <c r="K51" s="2614"/>
      <c r="L51" s="2614"/>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c r="AS51" s="2612"/>
      <c r="AT51" s="2612"/>
      <c r="AU51" s="2612"/>
      <c r="AV51" s="2612"/>
      <c r="AW51" s="2612"/>
      <c r="AX51" s="2612"/>
      <c r="AY51" s="2612"/>
      <c r="AZ51" s="2612"/>
    </row>
    <row r="52" spans="1:52" ht="14.25">
      <c r="A52" s="226" t="s">
        <v>259</v>
      </c>
      <c r="B52" s="229">
        <f>SUMIF(A54:A63,B53,B54:B63)</f>
        <v>1.5</v>
      </c>
      <c r="C52" s="2620"/>
      <c r="D52" s="2615"/>
      <c r="E52" s="2606"/>
      <c r="F52" s="2606"/>
      <c r="G52" s="2606"/>
      <c r="H52" s="2606"/>
      <c r="I52" s="2606"/>
      <c r="J52" s="2606"/>
      <c r="K52" s="2614"/>
      <c r="L52" s="2614"/>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c r="AS52" s="2612"/>
      <c r="AT52" s="2612"/>
      <c r="AU52" s="2612"/>
      <c r="AV52" s="2612"/>
      <c r="AW52" s="2612"/>
      <c r="AX52" s="2612"/>
      <c r="AY52" s="2612"/>
      <c r="AZ52" s="2612"/>
    </row>
    <row r="53" spans="1:52" ht="27">
      <c r="A53" s="208" t="s">
        <v>260</v>
      </c>
      <c r="B53" s="230" t="s">
        <v>1153</v>
      </c>
      <c r="C53" s="2622" t="s">
        <v>2164</v>
      </c>
      <c r="D53" s="2632" t="s">
        <v>2266</v>
      </c>
      <c r="E53" s="2606"/>
      <c r="F53" s="2606"/>
      <c r="G53" s="2606"/>
      <c r="H53" s="2606"/>
      <c r="I53" s="2606"/>
      <c r="J53" s="2606"/>
      <c r="K53" s="2614"/>
      <c r="L53" s="2614"/>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c r="AS53" s="2612"/>
      <c r="AT53" s="2612"/>
      <c r="AU53" s="2612"/>
      <c r="AV53" s="2612"/>
      <c r="AW53" s="2612"/>
      <c r="AX53" s="2612"/>
      <c r="AY53" s="2612"/>
      <c r="AZ53" s="2612"/>
    </row>
    <row r="54" spans="1:52" ht="14.25">
      <c r="A54" s="2338" t="s">
        <v>2165</v>
      </c>
      <c r="B54" s="170"/>
      <c r="C54" s="2619">
        <v>30</v>
      </c>
      <c r="D54" s="2623"/>
      <c r="E54" s="2606"/>
      <c r="F54" s="2606"/>
      <c r="G54" s="2606"/>
      <c r="H54" s="2606"/>
      <c r="I54" s="2606"/>
      <c r="J54" s="2606"/>
      <c r="K54" s="2614"/>
      <c r="L54" s="2614"/>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c r="AS54" s="2612"/>
      <c r="AT54" s="2612"/>
      <c r="AU54" s="2612"/>
      <c r="AV54" s="2612"/>
      <c r="AW54" s="2612"/>
      <c r="AX54" s="2612"/>
      <c r="AY54" s="2612"/>
      <c r="AZ54" s="2612"/>
    </row>
    <row r="55" spans="1:52" ht="14.25">
      <c r="A55" s="2338" t="s">
        <v>2166</v>
      </c>
      <c r="B55" s="170"/>
      <c r="C55" s="2619">
        <v>24</v>
      </c>
      <c r="D55" s="2623"/>
      <c r="E55" s="2606"/>
      <c r="F55" s="2606"/>
      <c r="G55" s="2606"/>
      <c r="H55" s="2606"/>
      <c r="I55" s="2606"/>
      <c r="J55" s="2606"/>
      <c r="K55" s="2614"/>
      <c r="L55" s="2614"/>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c r="AS55" s="2612"/>
      <c r="AT55" s="2612"/>
      <c r="AU55" s="2612"/>
      <c r="AV55" s="2612"/>
      <c r="AW55" s="2612"/>
      <c r="AX55" s="2612"/>
      <c r="AY55" s="2612"/>
      <c r="AZ55" s="2612"/>
    </row>
    <row r="56" spans="1:52" ht="14.25">
      <c r="A56" s="2338" t="s">
        <v>2167</v>
      </c>
      <c r="B56" s="170"/>
      <c r="C56" s="2619">
        <v>18</v>
      </c>
      <c r="D56" s="2623"/>
      <c r="E56" s="2606"/>
      <c r="F56" s="2606"/>
      <c r="G56" s="2606"/>
      <c r="H56" s="2606"/>
      <c r="I56" s="2606"/>
      <c r="J56" s="2606"/>
      <c r="K56" s="2614"/>
      <c r="L56" s="2614"/>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c r="AS56" s="2612"/>
      <c r="AT56" s="2612"/>
      <c r="AU56" s="2612"/>
      <c r="AV56" s="2612"/>
      <c r="AW56" s="2612"/>
      <c r="AX56" s="2612"/>
      <c r="AY56" s="2612"/>
      <c r="AZ56" s="2612"/>
    </row>
    <row r="57" spans="1:52" ht="14.25">
      <c r="A57" s="2338" t="s">
        <v>2168</v>
      </c>
      <c r="B57" s="170"/>
      <c r="C57" s="2619">
        <v>12</v>
      </c>
      <c r="D57" s="2623"/>
      <c r="E57" s="2606"/>
      <c r="F57" s="2606"/>
      <c r="G57" s="2606"/>
      <c r="H57" s="2606"/>
      <c r="I57" s="2606"/>
      <c r="J57" s="2606"/>
      <c r="K57" s="2614"/>
      <c r="L57" s="2614"/>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c r="AS57" s="2612"/>
      <c r="AT57" s="2612"/>
      <c r="AU57" s="2612"/>
      <c r="AV57" s="2612"/>
      <c r="AW57" s="2612"/>
      <c r="AX57" s="2612"/>
      <c r="AY57" s="2612"/>
      <c r="AZ57" s="2612"/>
    </row>
    <row r="58" spans="1:52" ht="14.25">
      <c r="A58" s="2338" t="s">
        <v>2169</v>
      </c>
      <c r="B58" s="170"/>
      <c r="C58" s="2619">
        <v>3</v>
      </c>
      <c r="D58" s="2623"/>
      <c r="E58" s="2606"/>
      <c r="F58" s="2606"/>
      <c r="G58" s="2606"/>
      <c r="H58" s="2606"/>
      <c r="I58" s="2606"/>
      <c r="J58" s="2606"/>
      <c r="K58" s="2614"/>
      <c r="L58" s="2614"/>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c r="AS58" s="2612"/>
      <c r="AT58" s="2612"/>
      <c r="AU58" s="2612"/>
      <c r="AV58" s="2612"/>
      <c r="AW58" s="2612"/>
      <c r="AX58" s="2612"/>
      <c r="AY58" s="2612"/>
      <c r="AZ58" s="2612"/>
    </row>
    <row r="59" spans="1:52" ht="14.25">
      <c r="A59" s="2338" t="s">
        <v>2170</v>
      </c>
      <c r="B59" s="170">
        <f>C59</f>
        <v>1.5</v>
      </c>
      <c r="C59" s="2619">
        <v>1.5</v>
      </c>
      <c r="D59" s="2623"/>
      <c r="E59" s="2606"/>
      <c r="F59" s="2606"/>
      <c r="G59" s="2606"/>
      <c r="H59" s="2606"/>
      <c r="I59" s="2606"/>
      <c r="J59" s="2606"/>
      <c r="K59" s="2614"/>
      <c r="L59" s="2614"/>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c r="AS59" s="2612"/>
      <c r="AT59" s="2612"/>
      <c r="AU59" s="2612"/>
      <c r="AV59" s="2612"/>
      <c r="AW59" s="2612"/>
      <c r="AX59" s="2612"/>
      <c r="AY59" s="2612"/>
      <c r="AZ59" s="2612"/>
    </row>
    <row r="60" spans="1:52" ht="14.25">
      <c r="A60" s="2338" t="s">
        <v>2171</v>
      </c>
      <c r="B60" s="170"/>
      <c r="C60" s="2606"/>
      <c r="D60" s="2615"/>
      <c r="E60" s="2606"/>
      <c r="F60" s="2606"/>
      <c r="G60" s="2606"/>
      <c r="H60" s="2606"/>
      <c r="I60" s="2606"/>
      <c r="J60" s="2606"/>
      <c r="K60" s="2614"/>
      <c r="L60" s="2614"/>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c r="AS60" s="2612"/>
      <c r="AT60" s="2612"/>
      <c r="AU60" s="2612"/>
      <c r="AV60" s="2612"/>
      <c r="AW60" s="2612"/>
      <c r="AX60" s="2612"/>
      <c r="AY60" s="2612"/>
      <c r="AZ60" s="2612"/>
    </row>
    <row r="61" spans="1:52" ht="14.25">
      <c r="A61" s="2338" t="s">
        <v>2172</v>
      </c>
      <c r="B61" s="170"/>
      <c r="C61" s="2606"/>
      <c r="D61" s="2615"/>
      <c r="E61" s="2606"/>
      <c r="F61" s="2606"/>
      <c r="G61" s="2606"/>
      <c r="H61" s="2606"/>
      <c r="I61" s="2606"/>
      <c r="J61" s="2606"/>
      <c r="K61" s="2614"/>
      <c r="L61" s="2614"/>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row>
    <row r="62" spans="1:52" ht="14.25">
      <c r="A62" s="2338" t="s">
        <v>2173</v>
      </c>
      <c r="B62" s="170"/>
      <c r="C62" s="2606"/>
      <c r="D62" s="2615"/>
      <c r="E62" s="2606"/>
      <c r="F62" s="2606"/>
      <c r="G62" s="2606"/>
      <c r="H62" s="2606"/>
      <c r="I62" s="2606"/>
      <c r="J62" s="2606"/>
      <c r="K62" s="2614"/>
      <c r="L62" s="2614"/>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c r="AS62" s="2612"/>
      <c r="AT62" s="2612"/>
      <c r="AU62" s="2612"/>
      <c r="AV62" s="2612"/>
      <c r="AW62" s="2612"/>
      <c r="AX62" s="2612"/>
      <c r="AY62" s="2612"/>
      <c r="AZ62" s="2612"/>
    </row>
    <row r="63" spans="1:52" ht="15" thickBot="1">
      <c r="A63" s="2339" t="s">
        <v>2174</v>
      </c>
      <c r="B63" s="231"/>
      <c r="C63" s="2606"/>
      <c r="D63" s="2615"/>
      <c r="E63" s="2606"/>
      <c r="F63" s="2606"/>
      <c r="G63" s="2606"/>
      <c r="H63" s="2606"/>
      <c r="I63" s="2606"/>
      <c r="J63" s="2606"/>
      <c r="K63" s="2614"/>
      <c r="L63" s="2614"/>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c r="AS63" s="2612"/>
      <c r="AT63" s="2612"/>
      <c r="AU63" s="2612"/>
      <c r="AV63" s="2612"/>
      <c r="AW63" s="2612"/>
      <c r="AX63" s="2612"/>
      <c r="AY63" s="2612"/>
      <c r="AZ63" s="2612"/>
    </row>
    <row r="64" spans="1:52" s="235" customFormat="1">
      <c r="A64" s="232"/>
      <c r="D64" s="1638"/>
      <c r="K64" s="53"/>
      <c r="L64" s="53"/>
    </row>
    <row r="65" spans="1:12" s="235" customFormat="1">
      <c r="A65" s="232"/>
      <c r="D65" s="1638"/>
      <c r="K65" s="53"/>
      <c r="L65" s="53"/>
    </row>
    <row r="66" spans="1:12" s="235" customFormat="1">
      <c r="A66" s="232"/>
      <c r="D66" s="1638"/>
      <c r="K66" s="53"/>
      <c r="L66" s="53"/>
    </row>
    <row r="67" spans="1:12" s="235" customFormat="1">
      <c r="A67" s="232"/>
      <c r="D67" s="1638"/>
      <c r="K67" s="53"/>
      <c r="L67" s="53"/>
    </row>
    <row r="68" spans="1:12" s="235" customFormat="1">
      <c r="A68" s="232"/>
      <c r="D68" s="1638"/>
      <c r="K68" s="53"/>
      <c r="L68" s="53"/>
    </row>
    <row r="69" spans="1:12" s="235" customFormat="1">
      <c r="A69" s="232"/>
      <c r="D69" s="1638"/>
      <c r="K69" s="53"/>
      <c r="L69" s="53"/>
    </row>
    <row r="70" spans="1:12" s="235" customFormat="1">
      <c r="A70" s="232"/>
      <c r="D70" s="1638"/>
      <c r="K70" s="53"/>
      <c r="L70" s="53"/>
    </row>
    <row r="71" spans="1:12" s="235" customFormat="1">
      <c r="A71" s="232"/>
      <c r="D71" s="1638"/>
      <c r="K71" s="53"/>
      <c r="L71" s="53"/>
    </row>
    <row r="72" spans="1:12" s="235" customFormat="1">
      <c r="A72" s="232"/>
      <c r="D72" s="1638"/>
      <c r="K72" s="53"/>
      <c r="L72" s="53"/>
    </row>
    <row r="73" spans="1:12" s="235" customFormat="1">
      <c r="A73" s="232"/>
      <c r="D73" s="1638"/>
      <c r="K73" s="53"/>
      <c r="L73" s="53"/>
    </row>
    <row r="74" spans="1:12" s="235" customFormat="1">
      <c r="A74" s="232"/>
      <c r="D74" s="1638"/>
      <c r="K74" s="53"/>
      <c r="L74" s="53"/>
    </row>
    <row r="75" spans="1:12" s="235" customFormat="1">
      <c r="A75" s="232"/>
      <c r="D75" s="1638"/>
      <c r="K75" s="53"/>
      <c r="L75" s="53"/>
    </row>
    <row r="76" spans="1:12" s="235" customFormat="1">
      <c r="A76" s="232"/>
      <c r="D76" s="1638"/>
      <c r="K76" s="53"/>
      <c r="L76" s="53"/>
    </row>
    <row r="77" spans="1:12" s="235" customFormat="1">
      <c r="A77" s="232"/>
      <c r="D77" s="1638"/>
      <c r="K77" s="53"/>
      <c r="L77" s="53"/>
    </row>
    <row r="78" spans="1:12" s="235" customFormat="1">
      <c r="A78" s="232"/>
      <c r="D78" s="1638"/>
      <c r="K78" s="53"/>
      <c r="L78" s="53"/>
    </row>
    <row r="79" spans="1:12" s="235" customFormat="1">
      <c r="A79" s="232"/>
      <c r="D79" s="1638"/>
      <c r="K79" s="53"/>
      <c r="L79" s="53"/>
    </row>
    <row r="80" spans="1:12" s="235" customFormat="1">
      <c r="A80" s="232"/>
      <c r="D80" s="1638"/>
      <c r="K80" s="53"/>
      <c r="L80" s="53"/>
    </row>
    <row r="81" spans="1:12" s="235" customFormat="1">
      <c r="A81" s="232"/>
      <c r="D81" s="1638"/>
      <c r="K81" s="53"/>
      <c r="L81" s="53"/>
    </row>
    <row r="82" spans="1:12" s="235" customFormat="1">
      <c r="A82" s="232"/>
      <c r="D82" s="1638"/>
      <c r="K82" s="53"/>
      <c r="L82" s="53"/>
    </row>
    <row r="83" spans="1:12" s="235" customFormat="1">
      <c r="A83" s="232"/>
      <c r="D83" s="1638"/>
      <c r="K83" s="53"/>
      <c r="L83" s="53"/>
    </row>
    <row r="84" spans="1:12" s="235" customFormat="1">
      <c r="A84" s="232"/>
      <c r="D84" s="1638"/>
      <c r="K84" s="53"/>
      <c r="L84" s="53"/>
    </row>
    <row r="85" spans="1:12" s="235" customFormat="1">
      <c r="A85" s="232"/>
      <c r="D85" s="1638"/>
      <c r="K85" s="53"/>
      <c r="L85" s="53"/>
    </row>
    <row r="86" spans="1:12" s="235" customFormat="1">
      <c r="A86" s="232"/>
      <c r="D86" s="1638"/>
      <c r="K86" s="53"/>
      <c r="L86" s="53"/>
    </row>
    <row r="87" spans="1:12" s="235" customFormat="1">
      <c r="A87" s="232"/>
      <c r="D87" s="1638"/>
      <c r="K87" s="53"/>
      <c r="L87" s="53"/>
    </row>
    <row r="88" spans="1:12" s="235" customFormat="1">
      <c r="A88" s="232"/>
      <c r="D88" s="1638"/>
      <c r="K88" s="53"/>
      <c r="L88" s="53"/>
    </row>
    <row r="89" spans="1:12" s="235" customFormat="1">
      <c r="A89" s="232"/>
      <c r="D89" s="1638"/>
      <c r="K89" s="53"/>
      <c r="L89" s="53"/>
    </row>
    <row r="90" spans="1:12" s="235" customFormat="1">
      <c r="A90" s="232"/>
      <c r="D90" s="1638"/>
      <c r="K90" s="53"/>
      <c r="L90" s="53"/>
    </row>
    <row r="91" spans="1:12" s="235" customFormat="1">
      <c r="A91" s="232"/>
      <c r="D91" s="1638"/>
      <c r="K91" s="53"/>
      <c r="L91" s="53"/>
    </row>
    <row r="92" spans="1:12" s="235" customFormat="1">
      <c r="A92" s="232"/>
      <c r="D92" s="1638"/>
      <c r="K92" s="53"/>
      <c r="L92" s="53"/>
    </row>
    <row r="93" spans="1:12" s="235" customFormat="1">
      <c r="A93" s="232"/>
      <c r="D93" s="1638"/>
      <c r="K93" s="53"/>
      <c r="L93" s="53"/>
    </row>
    <row r="94" spans="1:12" s="235" customFormat="1">
      <c r="A94" s="232"/>
      <c r="D94" s="1638"/>
      <c r="K94" s="53"/>
      <c r="L94" s="53"/>
    </row>
    <row r="95" spans="1:12" s="235" customFormat="1">
      <c r="A95" s="232"/>
      <c r="D95" s="1638"/>
      <c r="K95" s="53"/>
      <c r="L95" s="53"/>
    </row>
    <row r="96" spans="1:12" s="235" customFormat="1">
      <c r="A96" s="232"/>
      <c r="D96" s="1638"/>
      <c r="K96" s="53"/>
      <c r="L96" s="53"/>
    </row>
    <row r="97" spans="1:12" s="235" customFormat="1">
      <c r="A97" s="232"/>
      <c r="D97" s="1638"/>
      <c r="K97" s="53"/>
      <c r="L97" s="53"/>
    </row>
    <row r="98" spans="1:12" s="235" customFormat="1">
      <c r="A98" s="232"/>
      <c r="D98" s="1638"/>
      <c r="K98" s="53"/>
      <c r="L98" s="53"/>
    </row>
    <row r="99" spans="1:12" s="235" customFormat="1">
      <c r="A99" s="232"/>
      <c r="D99" s="1638"/>
      <c r="K99" s="53"/>
      <c r="L99" s="53"/>
    </row>
    <row r="100" spans="1:12" s="235" customFormat="1">
      <c r="A100" s="232"/>
      <c r="D100" s="1638"/>
      <c r="K100" s="53"/>
      <c r="L100" s="53"/>
    </row>
    <row r="101" spans="1:12" s="235" customFormat="1">
      <c r="A101" s="232"/>
      <c r="D101" s="1638"/>
      <c r="K101" s="53"/>
      <c r="L101" s="53"/>
    </row>
    <row r="102" spans="1:12" s="235" customFormat="1">
      <c r="A102" s="232"/>
      <c r="D102" s="1638"/>
      <c r="K102" s="53"/>
      <c r="L102" s="53"/>
    </row>
    <row r="103" spans="1:12" s="235" customFormat="1">
      <c r="A103" s="232"/>
      <c r="D103" s="1638"/>
      <c r="K103" s="53"/>
      <c r="L103" s="53"/>
    </row>
    <row r="104" spans="1:12" s="235" customFormat="1">
      <c r="A104" s="232"/>
      <c r="D104" s="1638"/>
      <c r="K104" s="53"/>
      <c r="L104" s="53"/>
    </row>
    <row r="105" spans="1:12" s="235" customFormat="1">
      <c r="A105" s="232"/>
      <c r="D105" s="1638"/>
      <c r="K105" s="53"/>
      <c r="L105" s="53"/>
    </row>
    <row r="106" spans="1:12" s="235" customFormat="1">
      <c r="A106" s="232"/>
      <c r="D106" s="1638"/>
      <c r="K106" s="53"/>
      <c r="L106" s="53"/>
    </row>
    <row r="107" spans="1:12" s="235" customFormat="1">
      <c r="A107" s="232"/>
      <c r="D107" s="1638"/>
      <c r="K107" s="53"/>
      <c r="L107" s="53"/>
    </row>
    <row r="108" spans="1:12" s="235" customFormat="1">
      <c r="A108" s="232"/>
      <c r="D108" s="1638"/>
      <c r="K108" s="53"/>
      <c r="L108" s="53"/>
    </row>
    <row r="109" spans="1:12" s="235" customFormat="1">
      <c r="A109" s="232"/>
      <c r="D109" s="1638"/>
      <c r="K109" s="53"/>
      <c r="L109" s="53"/>
    </row>
    <row r="110" spans="1:12" s="235" customFormat="1">
      <c r="A110" s="232"/>
      <c r="D110" s="1638"/>
      <c r="K110" s="53"/>
      <c r="L110" s="53"/>
    </row>
    <row r="111" spans="1:12" s="235" customFormat="1">
      <c r="A111" s="232"/>
      <c r="D111" s="1638"/>
      <c r="K111" s="53"/>
      <c r="L111" s="53"/>
    </row>
    <row r="112" spans="1:12" s="235" customFormat="1">
      <c r="A112" s="232"/>
      <c r="D112" s="1638"/>
      <c r="K112" s="53"/>
      <c r="L112" s="53"/>
    </row>
    <row r="113" spans="1:12" s="235" customFormat="1">
      <c r="A113" s="232"/>
      <c r="D113" s="1638"/>
      <c r="K113" s="53"/>
      <c r="L113" s="53"/>
    </row>
    <row r="114" spans="1:12" s="235" customFormat="1">
      <c r="A114" s="232"/>
      <c r="D114" s="1638"/>
      <c r="K114" s="53"/>
      <c r="L114" s="53"/>
    </row>
    <row r="115" spans="1:12" s="235" customFormat="1">
      <c r="A115" s="232"/>
      <c r="D115" s="1638"/>
      <c r="K115" s="53"/>
      <c r="L115" s="53"/>
    </row>
    <row r="116" spans="1:12" s="235" customFormat="1">
      <c r="A116" s="232"/>
      <c r="D116" s="1638"/>
      <c r="K116" s="53"/>
      <c r="L116" s="53"/>
    </row>
    <row r="117" spans="1:12" s="235" customFormat="1">
      <c r="A117" s="232"/>
      <c r="D117" s="1638"/>
      <c r="K117" s="53"/>
      <c r="L117" s="53"/>
    </row>
    <row r="118" spans="1:12" s="235" customFormat="1">
      <c r="A118" s="232"/>
      <c r="D118" s="1638"/>
      <c r="K118" s="53"/>
      <c r="L118" s="53"/>
    </row>
    <row r="119" spans="1:12" s="235" customFormat="1">
      <c r="A119" s="232"/>
      <c r="D119" s="1638"/>
      <c r="K119" s="53"/>
      <c r="L119" s="53"/>
    </row>
    <row r="120" spans="1:12" s="235" customFormat="1">
      <c r="A120" s="232"/>
      <c r="D120" s="1638"/>
      <c r="K120" s="53"/>
      <c r="L120" s="53"/>
    </row>
    <row r="121" spans="1:12" s="235" customFormat="1">
      <c r="A121" s="232"/>
      <c r="D121" s="1638"/>
      <c r="K121" s="53"/>
      <c r="L121" s="53"/>
    </row>
    <row r="122" spans="1:12" s="235" customFormat="1">
      <c r="A122" s="232"/>
      <c r="D122" s="1638"/>
      <c r="K122" s="53"/>
      <c r="L122" s="53"/>
    </row>
    <row r="123" spans="1:12" s="235" customFormat="1">
      <c r="A123" s="232"/>
      <c r="D123" s="1638"/>
      <c r="K123" s="53"/>
      <c r="L123" s="53"/>
    </row>
    <row r="124" spans="1:12" s="235" customFormat="1">
      <c r="A124" s="232"/>
      <c r="D124" s="1638"/>
      <c r="K124" s="53"/>
      <c r="L124" s="53"/>
    </row>
    <row r="125" spans="1:12" s="235" customFormat="1">
      <c r="A125" s="232"/>
      <c r="D125" s="1638"/>
      <c r="K125" s="53"/>
      <c r="L125" s="53"/>
    </row>
    <row r="126" spans="1:12" s="235" customFormat="1">
      <c r="A126" s="232"/>
      <c r="D126" s="1638"/>
      <c r="K126" s="53"/>
      <c r="L126" s="53"/>
    </row>
    <row r="127" spans="1:12" s="235" customFormat="1">
      <c r="A127" s="232"/>
      <c r="D127" s="1638"/>
      <c r="K127" s="53"/>
      <c r="L127" s="53"/>
    </row>
    <row r="128" spans="1:12" s="235" customFormat="1">
      <c r="A128" s="232"/>
      <c r="D128" s="1638"/>
      <c r="K128" s="53"/>
      <c r="L128" s="53"/>
    </row>
    <row r="129" spans="1:12" s="235" customFormat="1">
      <c r="A129" s="232"/>
      <c r="D129" s="1638"/>
      <c r="K129" s="53"/>
      <c r="L129" s="53"/>
    </row>
    <row r="130" spans="1:12" s="235" customFormat="1">
      <c r="A130" s="232"/>
      <c r="D130" s="1638"/>
      <c r="K130" s="53"/>
      <c r="L130" s="53"/>
    </row>
    <row r="131" spans="1:12" s="235" customFormat="1">
      <c r="A131" s="232"/>
      <c r="D131" s="1638"/>
      <c r="K131" s="53"/>
      <c r="L131" s="53"/>
    </row>
    <row r="132" spans="1:12" s="235" customFormat="1">
      <c r="A132" s="232"/>
      <c r="D132" s="1638"/>
      <c r="K132" s="53"/>
      <c r="L132" s="53"/>
    </row>
    <row r="133" spans="1:12" s="235" customFormat="1">
      <c r="A133" s="232"/>
      <c r="D133" s="1638"/>
      <c r="K133" s="53"/>
      <c r="L133" s="53"/>
    </row>
    <row r="134" spans="1:12" s="235" customFormat="1">
      <c r="A134" s="232"/>
      <c r="D134" s="1638"/>
      <c r="K134" s="53"/>
      <c r="L134" s="53"/>
    </row>
    <row r="135" spans="1:12" s="235" customFormat="1">
      <c r="A135" s="232"/>
      <c r="D135" s="1638"/>
      <c r="K135" s="53"/>
      <c r="L135" s="53"/>
    </row>
    <row r="136" spans="1:12" s="235" customFormat="1">
      <c r="A136" s="232"/>
      <c r="D136" s="1638"/>
      <c r="K136" s="53"/>
      <c r="L136" s="53"/>
    </row>
    <row r="137" spans="1:12" s="235" customFormat="1">
      <c r="A137" s="232"/>
      <c r="D137" s="1638"/>
      <c r="K137" s="53"/>
      <c r="L137" s="53"/>
    </row>
    <row r="138" spans="1:12" s="235" customFormat="1">
      <c r="A138" s="232"/>
      <c r="D138" s="1638"/>
      <c r="K138" s="53"/>
      <c r="L138" s="53"/>
    </row>
    <row r="139" spans="1:12" s="235" customFormat="1">
      <c r="A139" s="232"/>
      <c r="D139" s="1638"/>
      <c r="K139" s="53"/>
      <c r="L139" s="53"/>
    </row>
    <row r="140" spans="1:12" s="235" customFormat="1">
      <c r="A140" s="232"/>
      <c r="D140" s="1638"/>
      <c r="K140" s="53"/>
      <c r="L140" s="53"/>
    </row>
    <row r="141" spans="1:12" s="235" customFormat="1">
      <c r="A141" s="232"/>
      <c r="D141" s="1638"/>
      <c r="K141" s="53"/>
      <c r="L141" s="53"/>
    </row>
    <row r="142" spans="1:12" s="235" customFormat="1">
      <c r="A142" s="232"/>
      <c r="D142" s="1638"/>
      <c r="K142" s="53"/>
      <c r="L142" s="53"/>
    </row>
    <row r="143" spans="1:12" s="235" customFormat="1">
      <c r="A143" s="232"/>
      <c r="D143" s="1638"/>
      <c r="K143" s="53"/>
      <c r="L143" s="53"/>
    </row>
    <row r="144" spans="1:12" s="235" customFormat="1">
      <c r="A144" s="232"/>
      <c r="D144" s="1638"/>
      <c r="K144" s="53"/>
      <c r="L144" s="53"/>
    </row>
    <row r="145" spans="1:12" s="235" customFormat="1">
      <c r="A145" s="232"/>
      <c r="D145" s="1638"/>
      <c r="K145" s="53"/>
      <c r="L145" s="53"/>
    </row>
    <row r="146" spans="1:12" s="235" customFormat="1">
      <c r="A146" s="232"/>
      <c r="D146" s="1638"/>
      <c r="K146" s="53"/>
      <c r="L146" s="53"/>
    </row>
    <row r="147" spans="1:12" s="235" customFormat="1">
      <c r="A147" s="232"/>
      <c r="D147" s="1638"/>
      <c r="K147" s="53"/>
      <c r="L147" s="53"/>
    </row>
    <row r="148" spans="1:12" s="235" customFormat="1">
      <c r="A148" s="232"/>
      <c r="D148" s="1638"/>
      <c r="K148" s="53"/>
      <c r="L148" s="53"/>
    </row>
    <row r="149" spans="1:12" s="235" customFormat="1">
      <c r="A149" s="232"/>
      <c r="D149" s="1638"/>
      <c r="K149" s="53"/>
      <c r="L149" s="53"/>
    </row>
    <row r="150" spans="1:12" s="235" customFormat="1">
      <c r="A150" s="232"/>
      <c r="D150" s="1638"/>
      <c r="K150" s="53"/>
      <c r="L150" s="53"/>
    </row>
    <row r="151" spans="1:12" s="235" customFormat="1">
      <c r="A151" s="232"/>
      <c r="D151" s="1638"/>
      <c r="K151" s="53"/>
      <c r="L151" s="53"/>
    </row>
    <row r="152" spans="1:12" s="235" customFormat="1">
      <c r="A152" s="232"/>
      <c r="D152" s="1638"/>
      <c r="K152" s="53"/>
      <c r="L152" s="53"/>
    </row>
    <row r="153" spans="1:12" s="235" customFormat="1">
      <c r="A153" s="232"/>
      <c r="D153" s="1638"/>
      <c r="K153" s="53"/>
      <c r="L153" s="53"/>
    </row>
    <row r="154" spans="1:12" s="235" customFormat="1">
      <c r="A154" s="232"/>
      <c r="D154" s="1638"/>
      <c r="K154" s="53"/>
      <c r="L154" s="53"/>
    </row>
    <row r="155" spans="1:12" s="235" customFormat="1">
      <c r="A155" s="232"/>
      <c r="D155" s="1638"/>
      <c r="K155" s="53"/>
      <c r="L155" s="53"/>
    </row>
    <row r="156" spans="1:12" s="235" customFormat="1">
      <c r="A156" s="232"/>
      <c r="D156" s="1638"/>
      <c r="K156" s="53"/>
      <c r="L156" s="53"/>
    </row>
    <row r="157" spans="1:12" s="235" customFormat="1">
      <c r="A157" s="232"/>
      <c r="D157" s="1638"/>
      <c r="K157" s="53"/>
      <c r="L157" s="53"/>
    </row>
    <row r="158" spans="1:12" s="235" customFormat="1">
      <c r="A158" s="232"/>
      <c r="D158" s="1638"/>
      <c r="K158" s="53"/>
      <c r="L158" s="53"/>
    </row>
    <row r="159" spans="1:12" s="235" customFormat="1">
      <c r="A159" s="232"/>
      <c r="D159" s="1638"/>
      <c r="K159" s="53"/>
      <c r="L159" s="53"/>
    </row>
    <row r="160" spans="1:12" s="235" customFormat="1">
      <c r="A160" s="232"/>
      <c r="D160" s="1638"/>
      <c r="K160" s="53"/>
      <c r="L160" s="53"/>
    </row>
    <row r="161" spans="1:12" s="235" customFormat="1">
      <c r="A161" s="232"/>
      <c r="D161" s="1638"/>
      <c r="K161" s="53"/>
      <c r="L161" s="53"/>
    </row>
    <row r="162" spans="1:12" s="235" customFormat="1">
      <c r="A162" s="232"/>
      <c r="D162" s="1638"/>
      <c r="K162" s="53"/>
      <c r="L162" s="53"/>
    </row>
    <row r="163" spans="1:12" s="235" customFormat="1">
      <c r="A163" s="232"/>
      <c r="D163" s="1638"/>
      <c r="K163" s="53"/>
      <c r="L163" s="53"/>
    </row>
    <row r="164" spans="1:12" s="235" customFormat="1">
      <c r="A164" s="232"/>
      <c r="D164" s="1638"/>
      <c r="K164" s="53"/>
      <c r="L164" s="53"/>
    </row>
    <row r="165" spans="1:12" s="235" customFormat="1">
      <c r="A165" s="232"/>
      <c r="D165" s="1638"/>
      <c r="K165" s="53"/>
      <c r="L165" s="53"/>
    </row>
    <row r="166" spans="1:12" s="235" customFormat="1">
      <c r="A166" s="232"/>
      <c r="D166" s="1638"/>
      <c r="K166" s="53"/>
      <c r="L166" s="53"/>
    </row>
    <row r="167" spans="1:12" s="235" customFormat="1">
      <c r="A167" s="232"/>
      <c r="D167" s="1638"/>
      <c r="K167" s="53"/>
      <c r="L167" s="53"/>
    </row>
    <row r="168" spans="1:12" s="235" customFormat="1">
      <c r="A168" s="232"/>
      <c r="D168" s="1638"/>
      <c r="K168" s="53"/>
      <c r="L168" s="53"/>
    </row>
    <row r="169" spans="1:12" s="235" customFormat="1">
      <c r="A169" s="232"/>
      <c r="D169" s="1638"/>
      <c r="K169" s="53"/>
      <c r="L169" s="53"/>
    </row>
    <row r="170" spans="1:12" s="235" customFormat="1">
      <c r="A170" s="232"/>
      <c r="D170" s="1638"/>
      <c r="K170" s="53"/>
      <c r="L170" s="53"/>
    </row>
    <row r="171" spans="1:12" s="235" customFormat="1">
      <c r="A171" s="232"/>
      <c r="D171" s="1638"/>
      <c r="K171" s="53"/>
      <c r="L171" s="53"/>
    </row>
    <row r="172" spans="1:12" s="235" customFormat="1">
      <c r="A172" s="232"/>
      <c r="D172" s="1638"/>
      <c r="K172" s="53"/>
      <c r="L172" s="53"/>
    </row>
    <row r="173" spans="1:12" s="235" customFormat="1">
      <c r="A173" s="232"/>
      <c r="D173" s="1638"/>
      <c r="K173" s="53"/>
      <c r="L173" s="53"/>
    </row>
    <row r="174" spans="1:12" s="235" customFormat="1">
      <c r="A174" s="232"/>
      <c r="D174" s="1638"/>
      <c r="K174" s="53"/>
      <c r="L174" s="53"/>
    </row>
    <row r="175" spans="1:12" s="235" customFormat="1">
      <c r="A175" s="232"/>
      <c r="D175" s="1638"/>
      <c r="K175" s="53"/>
      <c r="L175" s="53"/>
    </row>
    <row r="176" spans="1:12" s="235" customFormat="1">
      <c r="A176" s="232"/>
      <c r="D176" s="1638"/>
      <c r="K176" s="53"/>
      <c r="L176" s="53"/>
    </row>
    <row r="177" spans="1:12" s="235" customFormat="1">
      <c r="A177" s="232"/>
      <c r="D177" s="1638"/>
      <c r="K177" s="53"/>
      <c r="L177" s="53"/>
    </row>
    <row r="178" spans="1:12" s="235" customFormat="1">
      <c r="A178" s="232"/>
      <c r="D178" s="1638"/>
      <c r="K178" s="53"/>
      <c r="L178" s="53"/>
    </row>
    <row r="179" spans="1:12" s="235" customFormat="1">
      <c r="A179" s="232"/>
      <c r="D179" s="1638"/>
      <c r="K179" s="53"/>
      <c r="L179" s="53"/>
    </row>
    <row r="180" spans="1:12" s="235" customFormat="1">
      <c r="A180" s="232"/>
      <c r="D180" s="1638"/>
      <c r="K180" s="53"/>
      <c r="L180" s="53"/>
    </row>
    <row r="181" spans="1:12" s="235" customFormat="1">
      <c r="A181" s="232"/>
      <c r="D181" s="1638"/>
      <c r="K181" s="53"/>
      <c r="L181" s="53"/>
    </row>
    <row r="182" spans="1:12" s="235" customFormat="1">
      <c r="A182" s="232"/>
      <c r="D182" s="1638"/>
      <c r="K182" s="53"/>
      <c r="L182" s="53"/>
    </row>
    <row r="183" spans="1:12" s="235" customFormat="1">
      <c r="A183" s="232"/>
      <c r="D183" s="1638"/>
      <c r="K183" s="53"/>
      <c r="L183" s="53"/>
    </row>
    <row r="184" spans="1:12" s="235" customFormat="1">
      <c r="A184" s="232"/>
      <c r="D184" s="1638"/>
      <c r="K184" s="53"/>
      <c r="L184" s="53"/>
    </row>
    <row r="185" spans="1:12" s="235" customFormat="1">
      <c r="A185" s="232"/>
      <c r="D185" s="1638"/>
      <c r="K185" s="53"/>
      <c r="L185" s="53"/>
    </row>
    <row r="186" spans="1:12" s="235" customFormat="1">
      <c r="A186" s="232"/>
      <c r="D186" s="1638"/>
      <c r="K186" s="53"/>
      <c r="L186" s="53"/>
    </row>
    <row r="187" spans="1:12" s="235" customFormat="1">
      <c r="A187" s="232"/>
      <c r="D187" s="1638"/>
      <c r="K187" s="53"/>
      <c r="L187" s="53"/>
    </row>
    <row r="188" spans="1:12" s="235" customFormat="1">
      <c r="A188" s="232"/>
      <c r="D188" s="1638"/>
      <c r="K188" s="53"/>
      <c r="L188" s="53"/>
    </row>
    <row r="189" spans="1:12" s="235" customFormat="1">
      <c r="A189" s="232"/>
      <c r="D189" s="1638"/>
      <c r="K189" s="53"/>
      <c r="L189" s="53"/>
    </row>
    <row r="190" spans="1:12" s="235" customFormat="1">
      <c r="A190" s="232"/>
      <c r="D190" s="1638"/>
      <c r="K190" s="53"/>
      <c r="L190" s="53"/>
    </row>
    <row r="191" spans="1:12" s="235" customFormat="1">
      <c r="A191" s="232"/>
      <c r="D191" s="1638"/>
      <c r="K191" s="53"/>
      <c r="L191" s="53"/>
    </row>
    <row r="192" spans="1:12" s="235" customFormat="1">
      <c r="A192" s="232"/>
      <c r="D192" s="1638"/>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1" sqref="L11"/>
    </sheetView>
  </sheetViews>
  <sheetFormatPr defaultColWidth="9" defaultRowHeight="13.5"/>
  <cols>
    <col min="1" max="1" width="9.5" style="2641" customWidth="1"/>
    <col min="2" max="2" width="23.5" style="2660" customWidth="1"/>
    <col min="3" max="3" width="32.25" style="2660" customWidth="1"/>
    <col min="4" max="4" width="2.625" style="2660" customWidth="1"/>
    <col min="5" max="5" width="5.875" style="2660" customWidth="1"/>
    <col min="6" max="6" width="23.625" style="2660" customWidth="1"/>
    <col min="7" max="7" width="33.375" style="2660" customWidth="1"/>
    <col min="8" max="8" width="11.875" style="2660" customWidth="1"/>
    <col min="9" max="9" width="16.75" style="2660" customWidth="1"/>
    <col min="10" max="10" width="2.625" style="2660" customWidth="1"/>
    <col min="11" max="11" width="11.875" style="2660" customWidth="1"/>
    <col min="12" max="12" width="16.75" style="2660" customWidth="1"/>
    <col min="13" max="13" width="2.625" style="2660" customWidth="1"/>
    <col min="14" max="14" width="11.875" style="2660" customWidth="1"/>
    <col min="15" max="15" width="16.75" style="2660" customWidth="1"/>
    <col min="16" max="16" width="2.625" style="2660" customWidth="1"/>
    <col min="17" max="17" width="11.875" style="2660" customWidth="1"/>
    <col min="18" max="18" width="16.75" style="2641" customWidth="1"/>
    <col min="19" max="16384" width="9" style="2641"/>
  </cols>
  <sheetData>
    <row r="1" spans="1:18" s="2635" customFormat="1" ht="19.5" thickBot="1">
      <c r="A1" s="3557" t="s">
        <v>1198</v>
      </c>
      <c r="B1" s="3558"/>
      <c r="C1" s="3558"/>
      <c r="D1" s="3558"/>
      <c r="E1" s="3558"/>
      <c r="F1" s="3558"/>
      <c r="G1" s="3558"/>
      <c r="H1" s="2633"/>
      <c r="I1" s="2633"/>
      <c r="J1" s="2633"/>
      <c r="K1" s="2633"/>
      <c r="L1" s="2633"/>
      <c r="M1" s="2633"/>
      <c r="N1" s="2633"/>
      <c r="O1" s="2633"/>
      <c r="P1" s="2633"/>
      <c r="Q1" s="2634"/>
    </row>
    <row r="2" spans="1:18" ht="14.25" thickBot="1">
      <c r="A2" s="2636"/>
      <c r="B2" s="2637"/>
      <c r="C2" s="2638" t="s">
        <v>1199</v>
      </c>
      <c r="D2" s="2639"/>
      <c r="E2" s="2636"/>
      <c r="F2" s="2640"/>
      <c r="G2" s="2638" t="s">
        <v>1200</v>
      </c>
      <c r="H2" s="2641"/>
      <c r="I2" s="2641"/>
      <c r="J2" s="2641"/>
      <c r="K2" s="2641"/>
      <c r="L2" s="2641"/>
      <c r="M2" s="2641"/>
      <c r="N2" s="2641"/>
      <c r="O2" s="2641"/>
      <c r="P2" s="2641"/>
      <c r="Q2" s="2641"/>
    </row>
    <row r="3" spans="1:18" ht="28.5">
      <c r="A3" s="2642" t="s">
        <v>1201</v>
      </c>
      <c r="B3" s="2643" t="s">
        <v>1188</v>
      </c>
      <c r="C3" s="3387"/>
      <c r="D3" s="2644"/>
      <c r="E3" s="2645" t="s">
        <v>1201</v>
      </c>
      <c r="F3" s="2646" t="s">
        <v>1189</v>
      </c>
      <c r="G3" s="2647" t="s">
        <v>2179</v>
      </c>
      <c r="H3" s="2641"/>
      <c r="I3" s="2641"/>
      <c r="J3" s="2641"/>
      <c r="K3" s="2641"/>
      <c r="L3" s="2641"/>
      <c r="M3" s="2641"/>
      <c r="N3" s="2641"/>
      <c r="O3" s="2641"/>
      <c r="P3" s="2641"/>
      <c r="Q3" s="2641"/>
    </row>
    <row r="4" spans="1:18" ht="40.5">
      <c r="A4" s="2645"/>
      <c r="B4" s="2648" t="s">
        <v>1202</v>
      </c>
      <c r="C4" s="3388"/>
      <c r="D4" s="2644"/>
      <c r="E4" s="2649"/>
      <c r="F4" s="2650" t="s">
        <v>1203</v>
      </c>
      <c r="G4" s="2651" t="s">
        <v>2176</v>
      </c>
      <c r="H4" s="2641"/>
      <c r="I4" s="2641"/>
      <c r="J4" s="2641"/>
      <c r="K4" s="2641"/>
      <c r="L4" s="2641"/>
      <c r="M4" s="2641"/>
      <c r="N4" s="2641"/>
      <c r="O4" s="2641"/>
      <c r="P4" s="2641"/>
      <c r="Q4" s="2641"/>
    </row>
    <row r="5" spans="1:18" ht="27">
      <c r="A5" s="2645"/>
      <c r="B5" s="2648" t="s">
        <v>1204</v>
      </c>
      <c r="C5" s="3388"/>
      <c r="D5" s="2644"/>
      <c r="E5" s="2649"/>
      <c r="F5" s="2648" t="s">
        <v>1827</v>
      </c>
      <c r="G5" s="2651" t="s">
        <v>2177</v>
      </c>
      <c r="H5" s="2641"/>
      <c r="I5" s="2641"/>
      <c r="J5" s="2641"/>
      <c r="K5" s="2641"/>
      <c r="L5" s="2641"/>
      <c r="M5" s="2641"/>
      <c r="N5" s="2641"/>
      <c r="O5" s="2641"/>
      <c r="P5" s="2641"/>
      <c r="Q5" s="2641"/>
    </row>
    <row r="6" spans="1:18">
      <c r="A6" s="2645"/>
      <c r="B6" s="2648" t="s">
        <v>1190</v>
      </c>
      <c r="C6" s="3388"/>
      <c r="D6" s="2644"/>
      <c r="E6" s="2649"/>
      <c r="F6" s="2648" t="s">
        <v>1828</v>
      </c>
      <c r="G6" s="2651" t="s">
        <v>2175</v>
      </c>
      <c r="H6" s="2641"/>
      <c r="I6" s="2641"/>
      <c r="J6" s="2641"/>
      <c r="K6" s="2641"/>
      <c r="L6" s="2641"/>
      <c r="M6" s="2641"/>
      <c r="N6" s="2641"/>
      <c r="O6" s="2641"/>
      <c r="P6" s="2641"/>
      <c r="Q6" s="2641"/>
    </row>
    <row r="7" spans="1:18" ht="27.75" thickBot="1">
      <c r="A7" s="2645"/>
      <c r="B7" s="2648" t="s">
        <v>1827</v>
      </c>
      <c r="C7" s="3389"/>
      <c r="D7" s="2652"/>
      <c r="E7" s="2653"/>
      <c r="F7" s="2654" t="s">
        <v>1205</v>
      </c>
      <c r="G7" s="2655" t="s">
        <v>2178</v>
      </c>
      <c r="H7" s="2641"/>
      <c r="I7" s="2641"/>
      <c r="J7" s="2641"/>
      <c r="K7" s="2641"/>
      <c r="L7" s="2641"/>
      <c r="M7" s="2641"/>
      <c r="N7" s="2641"/>
      <c r="O7" s="2641"/>
      <c r="P7" s="2641"/>
      <c r="Q7" s="2641"/>
    </row>
    <row r="8" spans="1:18">
      <c r="A8" s="2645"/>
      <c r="B8" s="2648" t="s">
        <v>1828</v>
      </c>
      <c r="C8" s="3389" t="s">
        <v>3345</v>
      </c>
      <c r="D8" s="2652"/>
      <c r="E8" s="2652"/>
      <c r="F8" s="2656"/>
      <c r="G8" s="2656"/>
      <c r="H8" s="2641"/>
      <c r="I8" s="2641"/>
      <c r="J8" s="2641"/>
      <c r="K8" s="2641"/>
      <c r="L8" s="2641"/>
      <c r="M8" s="2641"/>
      <c r="N8" s="2641"/>
      <c r="O8" s="2641"/>
      <c r="P8" s="2641"/>
      <c r="Q8" s="2641"/>
    </row>
    <row r="9" spans="1:18">
      <c r="A9" s="2645"/>
      <c r="B9" s="2648" t="s">
        <v>1191</v>
      </c>
      <c r="C9" s="3389"/>
      <c r="D9" s="2644"/>
      <c r="E9" s="2652"/>
      <c r="F9" s="2656"/>
      <c r="G9" s="2656"/>
      <c r="H9" s="2641"/>
      <c r="I9" s="2641"/>
      <c r="J9" s="2641"/>
      <c r="K9" s="2641"/>
      <c r="L9" s="2641"/>
      <c r="M9" s="2641"/>
      <c r="N9" s="2641"/>
      <c r="O9" s="2641"/>
      <c r="P9" s="2641"/>
      <c r="Q9" s="2641"/>
    </row>
    <row r="10" spans="1:18" ht="15" thickBot="1">
      <c r="A10" s="2657"/>
      <c r="B10" s="2658" t="s">
        <v>1206</v>
      </c>
      <c r="C10" s="2659"/>
      <c r="D10" s="2644"/>
      <c r="E10" s="2644"/>
      <c r="F10" s="2656"/>
      <c r="G10" s="2656"/>
      <c r="J10" s="2661"/>
      <c r="M10" s="2661"/>
      <c r="P10" s="2661"/>
      <c r="R10" s="2660"/>
    </row>
    <row r="11" spans="1:18">
      <c r="A11" s="2662"/>
      <c r="B11" s="2652"/>
      <c r="C11" s="2644"/>
      <c r="D11" s="2644"/>
      <c r="E11" s="2644"/>
      <c r="F11" s="2652"/>
      <c r="G11" s="2652"/>
      <c r="J11" s="2661"/>
      <c r="M11" s="2661"/>
      <c r="P11" s="2661"/>
      <c r="R11" s="2660"/>
    </row>
    <row r="12" spans="1:18" s="2635" customFormat="1" ht="18.75">
      <c r="A12" s="2662"/>
      <c r="B12" s="2652"/>
      <c r="C12" s="2644"/>
      <c r="D12" s="2663"/>
      <c r="E12" s="2644"/>
      <c r="F12" s="2652"/>
      <c r="G12" s="2652"/>
      <c r="H12" s="2664"/>
      <c r="I12" s="2664"/>
      <c r="J12" s="2664"/>
      <c r="K12" s="2664"/>
      <c r="L12" s="2665"/>
      <c r="M12" s="2664"/>
      <c r="N12" s="2666"/>
      <c r="O12" s="2666"/>
      <c r="P12" s="2666"/>
      <c r="Q12" s="2666"/>
    </row>
    <row r="13" spans="1:18" ht="19.5" thickBot="1">
      <c r="A13" s="2667" t="s">
        <v>1207</v>
      </c>
      <c r="B13" s="2663"/>
      <c r="C13" s="2663"/>
      <c r="D13" s="2639"/>
      <c r="E13" s="2663"/>
      <c r="F13" s="2663"/>
      <c r="G13" s="2663"/>
    </row>
    <row r="14" spans="1:18" ht="14.25" thickBot="1">
      <c r="A14" s="2668"/>
      <c r="B14" s="2668"/>
      <c r="C14" s="2669" t="s">
        <v>1199</v>
      </c>
      <c r="D14" s="2644"/>
      <c r="E14" s="2670"/>
      <c r="F14" s="2670"/>
      <c r="G14" s="2638" t="s">
        <v>1200</v>
      </c>
    </row>
    <row r="15" spans="1:18" ht="27">
      <c r="A15" s="2671" t="s">
        <v>1192</v>
      </c>
      <c r="B15" s="2672" t="s">
        <v>1188</v>
      </c>
      <c r="C15" s="2673">
        <f>C3</f>
        <v>0</v>
      </c>
      <c r="D15" s="2644"/>
      <c r="E15" s="2674" t="s">
        <v>1193</v>
      </c>
      <c r="F15" s="2672" t="s">
        <v>1208</v>
      </c>
      <c r="G15" s="2675" t="str">
        <f>G3</f>
        <v>估价对象位于XX开发区，园区建设成熟度XX，产业集聚程度XX</v>
      </c>
    </row>
    <row r="16" spans="1:18" ht="40.5">
      <c r="A16" s="2676"/>
      <c r="B16" s="2677" t="s">
        <v>1202</v>
      </c>
      <c r="C16" s="2678">
        <f>C4</f>
        <v>0</v>
      </c>
      <c r="D16" s="2644"/>
      <c r="E16" s="2679"/>
      <c r="F16" s="2680" t="s">
        <v>1203</v>
      </c>
      <c r="G16" s="2681" t="str">
        <f>G4</f>
        <v>估价对象周边道路状况、公共交通通达情况、停车便捷程度，综合评价交通便捷度较好</v>
      </c>
    </row>
    <row r="17" spans="1:7" ht="14.25">
      <c r="A17" s="2676"/>
      <c r="B17" s="2677" t="s">
        <v>1204</v>
      </c>
      <c r="C17" s="2678">
        <f>C5</f>
        <v>0</v>
      </c>
      <c r="D17" s="2652"/>
      <c r="E17" s="2679"/>
      <c r="F17" s="2680" t="s">
        <v>1209</v>
      </c>
      <c r="G17" s="2682"/>
    </row>
    <row r="18" spans="1:7" ht="27">
      <c r="A18" s="2676"/>
      <c r="B18" s="2680" t="s">
        <v>1190</v>
      </c>
      <c r="C18" s="2681">
        <f>C6</f>
        <v>0</v>
      </c>
      <c r="D18" s="2652"/>
      <c r="E18" s="2679"/>
      <c r="F18" s="2680" t="s">
        <v>1205</v>
      </c>
      <c r="G18" s="2681" t="str">
        <f>G7</f>
        <v>该园区内是否有污染型企业，绿化情况，卫生条件，整体环境状况判断</v>
      </c>
    </row>
    <row r="19" spans="1:7" ht="27">
      <c r="A19" s="2676"/>
      <c r="B19" s="2680" t="s">
        <v>1194</v>
      </c>
      <c r="C19" s="2682"/>
      <c r="D19" s="2644"/>
      <c r="E19" s="2679"/>
      <c r="F19" s="2648" t="s">
        <v>1827</v>
      </c>
      <c r="G19" s="2681" t="str">
        <f>G5</f>
        <v>估价对象所在区域公共配套设施齐备情况</v>
      </c>
    </row>
    <row r="20" spans="1:7">
      <c r="A20" s="2676"/>
      <c r="B20" s="2680" t="s">
        <v>1195</v>
      </c>
      <c r="C20" s="2678">
        <f>C9</f>
        <v>0</v>
      </c>
      <c r="D20" s="2652"/>
      <c r="E20" s="2679"/>
      <c r="F20" s="2648" t="s">
        <v>1828</v>
      </c>
      <c r="G20" s="2681" t="str">
        <f>G6</f>
        <v>估价对象所在区域基础设施水平</v>
      </c>
    </row>
    <row r="21" spans="1:7" ht="14.25">
      <c r="A21" s="2676"/>
      <c r="B21" s="2648" t="s">
        <v>1827</v>
      </c>
      <c r="C21" s="2681">
        <f>C7</f>
        <v>0</v>
      </c>
      <c r="D21" s="2644"/>
      <c r="E21" s="2679"/>
      <c r="F21" s="2680" t="s">
        <v>1196</v>
      </c>
      <c r="G21" s="2683"/>
    </row>
    <row r="22" spans="1:7" ht="14.25">
      <c r="A22" s="2676"/>
      <c r="B22" s="2648" t="s">
        <v>1828</v>
      </c>
      <c r="C22" s="2681" t="str">
        <f>C8</f>
        <v>七通</v>
      </c>
      <c r="D22" s="2644"/>
      <c r="E22" s="2679"/>
      <c r="F22" s="2680" t="s">
        <v>1206</v>
      </c>
      <c r="G22" s="2682"/>
    </row>
    <row r="23" spans="1:7" ht="15" thickBot="1">
      <c r="A23" s="2676"/>
      <c r="B23" s="2680" t="s">
        <v>1196</v>
      </c>
      <c r="C23" s="2683"/>
      <c r="E23" s="2684"/>
      <c r="F23" s="2685" t="s">
        <v>1210</v>
      </c>
      <c r="G23" s="2686"/>
    </row>
    <row r="24" spans="1:7" ht="14.25" thickBot="1">
      <c r="A24" s="2687"/>
      <c r="B24" s="2685" t="s">
        <v>1197</v>
      </c>
      <c r="C24" s="2688">
        <f>C10</f>
        <v>0</v>
      </c>
      <c r="E24" s="2652"/>
      <c r="F24" s="2652"/>
      <c r="G24" s="2652"/>
    </row>
    <row r="25" spans="1:7">
      <c r="E25" s="2641"/>
      <c r="F25" s="2641"/>
      <c r="G25" s="2641"/>
    </row>
    <row r="26" spans="1:7">
      <c r="E26" s="2641"/>
      <c r="F26" s="2641"/>
      <c r="G26" s="2641"/>
    </row>
    <row r="27" spans="1:7">
      <c r="E27" s="2641"/>
      <c r="F27" s="2641"/>
      <c r="G27" s="2641"/>
    </row>
    <row r="28" spans="1:7">
      <c r="E28" s="2641"/>
      <c r="F28" s="2641"/>
      <c r="G28" s="2641"/>
    </row>
    <row r="29" spans="1:7">
      <c r="E29" s="2641"/>
      <c r="F29" s="2641"/>
      <c r="G29" s="2641"/>
    </row>
    <row r="30" spans="1:7">
      <c r="E30" s="2641"/>
      <c r="F30" s="2641"/>
      <c r="G30" s="2641"/>
    </row>
    <row r="31" spans="1:7">
      <c r="E31" s="2641"/>
      <c r="F31" s="2641"/>
      <c r="G31" s="2641"/>
    </row>
    <row r="32" spans="1:7">
      <c r="E32" s="2641"/>
      <c r="F32" s="2641"/>
      <c r="G32" s="2641"/>
    </row>
    <row r="33" spans="5:7">
      <c r="E33" s="2641"/>
      <c r="F33" s="2641"/>
      <c r="G33" s="2641"/>
    </row>
    <row r="34" spans="5:7">
      <c r="E34" s="2641"/>
      <c r="F34" s="2641"/>
      <c r="G34" s="2641"/>
    </row>
    <row r="35" spans="5:7">
      <c r="E35" s="2641"/>
      <c r="F35" s="2641"/>
      <c r="G35" s="2641"/>
    </row>
    <row r="36" spans="5:7">
      <c r="E36" s="2641"/>
      <c r="F36" s="2641"/>
      <c r="G36" s="2641"/>
    </row>
    <row r="37" spans="5:7">
      <c r="E37" s="2641"/>
      <c r="F37" s="2641"/>
      <c r="G37" s="264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H7" sqref="H7"/>
    </sheetView>
  </sheetViews>
  <sheetFormatPr defaultColWidth="14.625" defaultRowHeight="13.5"/>
  <cols>
    <col min="1" max="1" width="24.375" style="2690" customWidth="1"/>
    <col min="2" max="16384" width="14.625" style="2690"/>
  </cols>
  <sheetData>
    <row r="1" spans="1:10" ht="16.5">
      <c r="A1" s="2689" t="s">
        <v>2116</v>
      </c>
      <c r="B1" s="2689">
        <f>SUM(B14:B23)</f>
        <v>57989.509999999995</v>
      </c>
      <c r="C1" s="2697"/>
      <c r="D1" s="2697"/>
      <c r="E1" s="2697"/>
      <c r="F1" s="2697"/>
      <c r="G1" s="2698"/>
      <c r="H1" s="2698"/>
      <c r="I1" s="2698"/>
      <c r="J1" s="2698"/>
    </row>
    <row r="2" spans="1:10" ht="16.5">
      <c r="A2" s="2689" t="s">
        <v>2117</v>
      </c>
      <c r="B2" s="2689">
        <f>SUM(C14:C23)</f>
        <v>19518.45</v>
      </c>
      <c r="C2" s="2697"/>
      <c r="D2" s="2697"/>
      <c r="E2" s="2697"/>
      <c r="F2" s="2697"/>
      <c r="G2" s="2698"/>
      <c r="H2" s="2698"/>
      <c r="I2" s="2698"/>
      <c r="J2" s="2698"/>
    </row>
    <row r="3" spans="1:10" ht="16.5">
      <c r="A3" s="2689" t="s">
        <v>2118</v>
      </c>
      <c r="B3" s="2691">
        <f>项目基本情况!D3</f>
        <v>45617</v>
      </c>
      <c r="C3" s="2697"/>
      <c r="D3" s="2697"/>
      <c r="E3" s="2697"/>
      <c r="F3" s="2697"/>
      <c r="G3" s="2698"/>
      <c r="H3" s="2698"/>
      <c r="I3" s="2698"/>
      <c r="J3" s="2698"/>
    </row>
    <row r="4" spans="1:10" ht="33">
      <c r="A4" s="2689" t="s">
        <v>2119</v>
      </c>
      <c r="B4" s="2689" t="s">
        <v>2120</v>
      </c>
      <c r="C4" s="2689" t="s">
        <v>2121</v>
      </c>
      <c r="D4" s="2689" t="s">
        <v>2122</v>
      </c>
      <c r="E4" s="2697"/>
      <c r="F4" s="2697"/>
      <c r="G4" s="2698"/>
      <c r="H4" s="2698"/>
      <c r="I4" s="2698"/>
      <c r="J4" s="2698"/>
    </row>
    <row r="5" spans="1:10" ht="16.5">
      <c r="A5" s="2689" t="s">
        <v>2123</v>
      </c>
      <c r="B5" s="2689">
        <f ca="1">SUM(D14:D23)</f>
        <v>52185</v>
      </c>
      <c r="C5" s="2689">
        <f ca="1">ROUND(B5*10000/$B$1,0)</f>
        <v>8999</v>
      </c>
      <c r="D5" s="2689">
        <f ca="1">ROUND(B5*10000/$B$2,0)</f>
        <v>26736</v>
      </c>
      <c r="E5" s="2697"/>
      <c r="F5" s="2697"/>
      <c r="G5" s="2698"/>
      <c r="H5" s="2698"/>
      <c r="I5" s="2698"/>
      <c r="J5" s="2698"/>
    </row>
    <row r="6" spans="1:10" ht="16.5">
      <c r="A6" s="2689" t="s">
        <v>2124</v>
      </c>
      <c r="B6" s="2689">
        <f ca="1">SUM(G14:G23)</f>
        <v>51845</v>
      </c>
      <c r="C6" s="2689">
        <f ca="1">ROUND(B6*10000/$B$1,0)</f>
        <v>8940</v>
      </c>
      <c r="D6" s="2689">
        <f ca="1">ROUND(B6*10000/$B$2,0)</f>
        <v>26562</v>
      </c>
      <c r="E6" s="2697"/>
      <c r="F6" s="2697"/>
      <c r="G6" s="2698"/>
      <c r="H6" s="2698"/>
      <c r="I6" s="2698"/>
      <c r="J6" s="2698"/>
    </row>
    <row r="7" spans="1:10" ht="16.5">
      <c r="A7" s="2689" t="s">
        <v>2125</v>
      </c>
      <c r="B7" s="2689">
        <f>SUM(H14:H23)</f>
        <v>0</v>
      </c>
      <c r="C7" s="2689">
        <f>ROUND(B7*10000/$B$1,0)</f>
        <v>0</v>
      </c>
      <c r="D7" s="2689">
        <f>ROUND(B7*10000/$B$2,0)</f>
        <v>0</v>
      </c>
      <c r="E7" s="2697"/>
      <c r="F7" s="2697"/>
      <c r="G7" s="2698"/>
      <c r="H7" s="2698"/>
      <c r="I7" s="2698"/>
      <c r="J7" s="2698"/>
    </row>
    <row r="8" spans="1:10" ht="16.5">
      <c r="A8" s="2689" t="s">
        <v>2126</v>
      </c>
      <c r="B8" s="2689">
        <f ca="1">SUM(I14:I23)</f>
        <v>49085</v>
      </c>
      <c r="C8" s="2689">
        <f ca="1">ROUND(B8*10000/$B$1,0)</f>
        <v>8464</v>
      </c>
      <c r="D8" s="2689">
        <f ca="1">ROUND(B8*10000/$B$2,0)</f>
        <v>25148</v>
      </c>
      <c r="E8" s="2697"/>
      <c r="F8" s="2697"/>
      <c r="G8" s="2698"/>
      <c r="H8" s="2698"/>
      <c r="I8" s="2698"/>
      <c r="J8" s="2698"/>
    </row>
    <row r="9" spans="1:10" ht="16.5">
      <c r="A9" s="2689" t="s">
        <v>2127</v>
      </c>
      <c r="B9" s="2322"/>
      <c r="C9" s="2697"/>
      <c r="D9" s="2697"/>
      <c r="E9" s="2697"/>
      <c r="F9" s="2697"/>
      <c r="G9" s="2698"/>
      <c r="H9" s="2698"/>
      <c r="I9" s="2698"/>
      <c r="J9" s="2698"/>
    </row>
    <row r="10" spans="1:10" ht="16.5">
      <c r="A10" s="2689" t="s">
        <v>2128</v>
      </c>
      <c r="B10" s="2322"/>
      <c r="C10" s="2697"/>
      <c r="D10" s="2697">
        <f ca="1">D14-D12</f>
        <v>22</v>
      </c>
      <c r="E10" s="2697"/>
      <c r="F10" s="2697"/>
      <c r="G10" s="2698"/>
      <c r="H10" s="2698"/>
      <c r="I10" s="2698"/>
      <c r="J10" s="2698"/>
    </row>
    <row r="11" spans="1:10" ht="16.5">
      <c r="A11" s="2689" t="s">
        <v>2145</v>
      </c>
      <c r="B11" s="2322"/>
      <c r="C11" s="2697"/>
      <c r="D11" s="2697"/>
      <c r="E11" s="2697"/>
      <c r="F11" s="2697"/>
      <c r="G11" s="2698"/>
      <c r="H11" s="2698"/>
      <c r="I11" s="2698"/>
      <c r="J11" s="2698"/>
    </row>
    <row r="12" spans="1:10" ht="16.5">
      <c r="A12" s="2697"/>
      <c r="B12" s="2697">
        <v>57989.509999999995</v>
      </c>
      <c r="C12" s="2697">
        <v>19518.45</v>
      </c>
      <c r="D12" s="2697">
        <v>52163</v>
      </c>
      <c r="E12" s="2697">
        <v>8995</v>
      </c>
      <c r="F12" s="2697">
        <v>26725</v>
      </c>
      <c r="G12" s="2698">
        <v>50298</v>
      </c>
      <c r="H12" s="2698"/>
      <c r="I12" s="2698">
        <v>47540</v>
      </c>
      <c r="J12" s="2698"/>
    </row>
    <row r="13" spans="1:10" ht="33">
      <c r="A13" s="2692" t="s">
        <v>2144</v>
      </c>
      <c r="B13" s="2693" t="s">
        <v>2116</v>
      </c>
      <c r="C13" s="2693" t="s">
        <v>2117</v>
      </c>
      <c r="D13" s="2693" t="s">
        <v>2129</v>
      </c>
      <c r="E13" s="2689" t="s">
        <v>2143</v>
      </c>
      <c r="F13" s="2689" t="s">
        <v>2122</v>
      </c>
      <c r="G13" s="2693" t="s">
        <v>2130</v>
      </c>
      <c r="H13" s="2693" t="s">
        <v>2131</v>
      </c>
      <c r="I13" s="2693" t="s">
        <v>2132</v>
      </c>
      <c r="J13" s="2698"/>
    </row>
    <row r="14" spans="1:10" ht="16.5">
      <c r="A14" s="2694" t="s">
        <v>2142</v>
      </c>
      <c r="B14" s="2695">
        <f>'数据-汇总表'!E3</f>
        <v>57989.509999999995</v>
      </c>
      <c r="C14" s="2695">
        <f>'数据-汇总表'!D3</f>
        <v>19518.45</v>
      </c>
      <c r="D14" s="2695">
        <f ca="1">结果表!C42</f>
        <v>52185</v>
      </c>
      <c r="E14" s="2695">
        <f ca="1">ROUND(D14*10000/B14,0)</f>
        <v>8999</v>
      </c>
      <c r="F14" s="2695">
        <f ca="1">ROUND(D14*10000/C14,0)</f>
        <v>26736</v>
      </c>
      <c r="G14" s="2695">
        <f ca="1">结果表!C44</f>
        <v>51845</v>
      </c>
      <c r="H14" s="2695"/>
      <c r="I14" s="2695">
        <f ca="1">结果表!O79</f>
        <v>49085</v>
      </c>
      <c r="J14" s="2698"/>
    </row>
    <row r="15" spans="1:10" ht="16.5">
      <c r="A15" s="2694" t="s">
        <v>2133</v>
      </c>
      <c r="B15" s="2696"/>
      <c r="C15" s="2696"/>
      <c r="D15" s="2696"/>
      <c r="E15" s="2695" t="e">
        <f t="shared" ref="E15:E23" si="0">ROUND(D15*10000/B15,0)</f>
        <v>#DIV/0!</v>
      </c>
      <c r="F15" s="2695" t="e">
        <f t="shared" ref="F15:F23" si="1">ROUND(D15*10000/C15,0)</f>
        <v>#DIV/0!</v>
      </c>
      <c r="G15" s="2322"/>
      <c r="H15" s="2322"/>
      <c r="I15" s="2696"/>
      <c r="J15" s="2698"/>
    </row>
    <row r="16" spans="1:10" ht="16.5">
      <c r="A16" s="2694" t="s">
        <v>2134</v>
      </c>
      <c r="B16" s="2696"/>
      <c r="C16" s="2696"/>
      <c r="D16" s="2696"/>
      <c r="E16" s="2695" t="e">
        <f t="shared" si="0"/>
        <v>#DIV/0!</v>
      </c>
      <c r="F16" s="2695" t="e">
        <f t="shared" si="1"/>
        <v>#DIV/0!</v>
      </c>
      <c r="G16" s="2322"/>
      <c r="H16" s="2322"/>
      <c r="I16" s="2696"/>
      <c r="J16" s="2698"/>
    </row>
    <row r="17" spans="1:10" ht="16.5">
      <c r="A17" s="2694" t="s">
        <v>2135</v>
      </c>
      <c r="B17" s="2696"/>
      <c r="C17" s="2696"/>
      <c r="D17" s="2696"/>
      <c r="E17" s="2695" t="e">
        <f t="shared" si="0"/>
        <v>#DIV/0!</v>
      </c>
      <c r="F17" s="2695" t="e">
        <f t="shared" si="1"/>
        <v>#DIV/0!</v>
      </c>
      <c r="G17" s="2322"/>
      <c r="H17" s="2322"/>
      <c r="I17" s="2696"/>
      <c r="J17" s="2698"/>
    </row>
    <row r="18" spans="1:10" ht="16.5">
      <c r="A18" s="2694" t="s">
        <v>2136</v>
      </c>
      <c r="B18" s="2696"/>
      <c r="C18" s="2696"/>
      <c r="D18" s="2696"/>
      <c r="E18" s="2695" t="e">
        <f t="shared" si="0"/>
        <v>#DIV/0!</v>
      </c>
      <c r="F18" s="2695" t="e">
        <f t="shared" si="1"/>
        <v>#DIV/0!</v>
      </c>
      <c r="G18" s="2696"/>
      <c r="H18" s="2696"/>
      <c r="I18" s="2696"/>
      <c r="J18" s="2698"/>
    </row>
    <row r="19" spans="1:10" ht="16.5">
      <c r="A19" s="2694" t="s">
        <v>2137</v>
      </c>
      <c r="B19" s="2696"/>
      <c r="C19" s="2696"/>
      <c r="D19" s="2696"/>
      <c r="E19" s="2695" t="e">
        <f t="shared" si="0"/>
        <v>#DIV/0!</v>
      </c>
      <c r="F19" s="2695" t="e">
        <f t="shared" si="1"/>
        <v>#DIV/0!</v>
      </c>
      <c r="G19" s="2696"/>
      <c r="H19" s="2696"/>
      <c r="I19" s="2696"/>
      <c r="J19" s="2698"/>
    </row>
    <row r="20" spans="1:10" ht="16.5">
      <c r="A20" s="2694" t="s">
        <v>2138</v>
      </c>
      <c r="B20" s="2696"/>
      <c r="C20" s="2696"/>
      <c r="D20" s="2696"/>
      <c r="E20" s="2695" t="e">
        <f t="shared" si="0"/>
        <v>#DIV/0!</v>
      </c>
      <c r="F20" s="2695" t="e">
        <f t="shared" si="1"/>
        <v>#DIV/0!</v>
      </c>
      <c r="G20" s="2696"/>
      <c r="H20" s="2696"/>
      <c r="I20" s="2696"/>
      <c r="J20" s="2698"/>
    </row>
    <row r="21" spans="1:10" ht="16.5">
      <c r="A21" s="2694" t="s">
        <v>2139</v>
      </c>
      <c r="B21" s="2696"/>
      <c r="C21" s="2696"/>
      <c r="D21" s="2696"/>
      <c r="E21" s="2695" t="e">
        <f t="shared" si="0"/>
        <v>#DIV/0!</v>
      </c>
      <c r="F21" s="2695" t="e">
        <f t="shared" si="1"/>
        <v>#DIV/0!</v>
      </c>
      <c r="G21" s="2696"/>
      <c r="H21" s="2696"/>
      <c r="I21" s="2696"/>
      <c r="J21" s="2698"/>
    </row>
    <row r="22" spans="1:10" ht="16.5">
      <c r="A22" s="2694" t="s">
        <v>2140</v>
      </c>
      <c r="B22" s="2696"/>
      <c r="C22" s="2696"/>
      <c r="D22" s="2696"/>
      <c r="E22" s="2695" t="e">
        <f t="shared" si="0"/>
        <v>#DIV/0!</v>
      </c>
      <c r="F22" s="2695" t="e">
        <f t="shared" si="1"/>
        <v>#DIV/0!</v>
      </c>
      <c r="G22" s="2696"/>
      <c r="H22" s="2696"/>
      <c r="I22" s="2696"/>
      <c r="J22" s="2698"/>
    </row>
    <row r="23" spans="1:10" ht="16.5">
      <c r="A23" s="2694" t="s">
        <v>2141</v>
      </c>
      <c r="B23" s="2696"/>
      <c r="C23" s="2696"/>
      <c r="D23" s="2696"/>
      <c r="E23" s="2322" t="e">
        <f t="shared" si="0"/>
        <v>#DIV/0!</v>
      </c>
      <c r="F23" s="2322" t="e">
        <f t="shared" si="1"/>
        <v>#DIV/0!</v>
      </c>
      <c r="G23" s="2696"/>
      <c r="H23" s="2696"/>
      <c r="I23" s="2696"/>
      <c r="J23" s="2698"/>
    </row>
    <row r="24" spans="1:10">
      <c r="A24" s="2698"/>
      <c r="B24" s="2698"/>
      <c r="C24" s="2698"/>
      <c r="D24" s="2698"/>
      <c r="E24" s="2698"/>
      <c r="F24" s="2698"/>
      <c r="G24" s="2698"/>
      <c r="H24" s="2698"/>
      <c r="I24" s="2698"/>
      <c r="J24" s="2698"/>
    </row>
    <row r="25" spans="1:10">
      <c r="A25" s="2698"/>
      <c r="B25" s="2698"/>
      <c r="C25" s="2698"/>
      <c r="D25" s="2698"/>
      <c r="E25" s="2698"/>
      <c r="F25" s="2698"/>
      <c r="G25" s="2698"/>
      <c r="H25" s="2698"/>
      <c r="I25" s="2698"/>
      <c r="J25" s="2698"/>
    </row>
    <row r="26" spans="1:10">
      <c r="A26" s="2698"/>
      <c r="B26" s="2698"/>
      <c r="C26" s="2698"/>
      <c r="D26" s="2698"/>
      <c r="E26" s="2698"/>
      <c r="F26" s="2698"/>
      <c r="G26" s="2698"/>
      <c r="H26" s="2698"/>
      <c r="I26" s="2698"/>
      <c r="J26" s="269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L112" sqref="L112"/>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2"/>
  </cols>
  <sheetData>
    <row r="1" spans="1:22" ht="21.75" customHeight="1" thickBot="1">
      <c r="A1" s="1470" t="s">
        <v>1571</v>
      </c>
      <c r="B1" s="1471"/>
      <c r="C1" s="1496" t="s">
        <v>1572</v>
      </c>
      <c r="D1" s="1497" t="s">
        <v>4096</v>
      </c>
      <c r="E1" s="1496" t="s">
        <v>1573</v>
      </c>
      <c r="F1" s="1498" t="s">
        <v>4097</v>
      </c>
      <c r="G1" s="285"/>
      <c r="H1" s="285"/>
      <c r="I1" s="285"/>
      <c r="J1" s="1633"/>
      <c r="K1" s="1633"/>
      <c r="L1" s="1633"/>
      <c r="M1" s="1633"/>
      <c r="N1" s="1633"/>
      <c r="O1" s="1633"/>
      <c r="P1" s="1633"/>
      <c r="Q1" s="1633"/>
      <c r="R1" s="1633"/>
      <c r="S1" s="1633"/>
      <c r="T1" s="1633"/>
      <c r="U1" s="1633"/>
      <c r="V1" s="1633"/>
    </row>
    <row r="2" spans="1:22" ht="21.75" customHeight="1" thickBot="1">
      <c r="A2" s="3603" t="str">
        <f>项目基本情况!K2</f>
        <v>北京市北京大兴国际机场临空经济区0105街区DX16-0105-6018地块F1住宅混合公建用地出让国有建设用地出让国有建设用地使用权</v>
      </c>
      <c r="B2" s="3604"/>
      <c r="C2" s="3605"/>
      <c r="D2" s="3605"/>
      <c r="E2" s="3605"/>
      <c r="F2" s="3605"/>
      <c r="G2" s="3604"/>
      <c r="H2" s="3604"/>
      <c r="I2" s="3606"/>
      <c r="J2" s="1640"/>
      <c r="K2" s="1633"/>
      <c r="L2" s="1633"/>
      <c r="M2" s="1633"/>
      <c r="N2" s="1633"/>
      <c r="O2" s="1633"/>
      <c r="P2" s="1633"/>
      <c r="Q2" s="1633"/>
      <c r="R2" s="1633"/>
      <c r="S2" s="1633"/>
      <c r="T2" s="1633"/>
      <c r="U2" s="1633"/>
      <c r="V2" s="1633"/>
    </row>
    <row r="3" spans="1:22" ht="14.25">
      <c r="A3" s="3596" t="s">
        <v>264</v>
      </c>
      <c r="B3" s="3597"/>
      <c r="C3" s="3597"/>
      <c r="D3" s="3597"/>
      <c r="E3" s="3597"/>
      <c r="F3" s="3597"/>
      <c r="G3" s="3597"/>
      <c r="H3" s="3597"/>
      <c r="I3" s="3597"/>
      <c r="J3" s="1640"/>
      <c r="K3" s="1633"/>
      <c r="L3" s="1633"/>
      <c r="M3" s="1633"/>
      <c r="N3" s="1633"/>
      <c r="O3" s="1633"/>
      <c r="P3" s="1633"/>
      <c r="Q3" s="1633"/>
      <c r="R3" s="1633"/>
      <c r="S3" s="1633"/>
      <c r="T3" s="1633"/>
      <c r="U3" s="1633"/>
      <c r="V3" s="1633"/>
    </row>
    <row r="4" spans="1:22" ht="14.25">
      <c r="A4" s="236" t="s">
        <v>265</v>
      </c>
      <c r="B4" s="237" t="s">
        <v>266</v>
      </c>
      <c r="C4" s="238" t="s">
        <v>4047</v>
      </c>
      <c r="D4" s="238" t="s">
        <v>4048</v>
      </c>
      <c r="E4" s="3562" t="s">
        <v>267</v>
      </c>
      <c r="F4" s="3563"/>
      <c r="G4" s="3563"/>
      <c r="H4" s="3563"/>
      <c r="I4" s="3598"/>
      <c r="J4" s="1640"/>
      <c r="K4" s="1633"/>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4.25">
      <c r="A5" s="3561" t="s">
        <v>268</v>
      </c>
      <c r="B5" s="3590">
        <v>25</v>
      </c>
      <c r="C5" s="3588"/>
      <c r="D5" s="3592"/>
      <c r="E5" s="239" t="s">
        <v>269</v>
      </c>
      <c r="F5" s="240"/>
      <c r="G5" s="240"/>
      <c r="H5" s="240"/>
      <c r="I5" s="241"/>
      <c r="J5" s="1640"/>
      <c r="K5" s="1633"/>
      <c r="L5" s="1633"/>
      <c r="M5" s="1633"/>
      <c r="N5" s="1633"/>
      <c r="O5" s="1633"/>
      <c r="P5" s="1633"/>
      <c r="Q5" s="1633"/>
      <c r="R5" s="1633"/>
      <c r="S5" s="1633"/>
      <c r="T5" s="1633"/>
      <c r="U5" s="1633"/>
      <c r="V5" s="1633"/>
    </row>
    <row r="6" spans="1:22" ht="14.25">
      <c r="A6" s="3561"/>
      <c r="B6" s="3590"/>
      <c r="C6" s="3591"/>
      <c r="D6" s="3592"/>
      <c r="E6" s="239" t="s">
        <v>270</v>
      </c>
      <c r="F6" s="240"/>
      <c r="G6" s="240"/>
      <c r="H6" s="240"/>
      <c r="I6" s="241"/>
      <c r="J6" s="1640"/>
      <c r="K6" s="1633"/>
      <c r="L6" s="1633"/>
      <c r="M6" s="1633"/>
      <c r="N6" s="1633"/>
      <c r="O6" s="1633"/>
      <c r="P6" s="1633"/>
      <c r="Q6" s="1633"/>
      <c r="R6" s="1633"/>
      <c r="S6" s="1633"/>
      <c r="T6" s="1633"/>
      <c r="U6" s="1633"/>
      <c r="V6" s="1633"/>
    </row>
    <row r="7" spans="1:22" ht="14.25">
      <c r="A7" s="3561"/>
      <c r="B7" s="3590"/>
      <c r="C7" s="3589"/>
      <c r="D7" s="3592"/>
      <c r="E7" s="239" t="s">
        <v>271</v>
      </c>
      <c r="F7" s="240"/>
      <c r="G7" s="240"/>
      <c r="H7" s="240"/>
      <c r="I7" s="241"/>
      <c r="J7" s="1640"/>
      <c r="K7" s="1633"/>
      <c r="L7" s="1633"/>
      <c r="M7" s="1633"/>
      <c r="N7" s="1633"/>
      <c r="O7" s="1633"/>
      <c r="P7" s="1633"/>
      <c r="Q7" s="1633"/>
      <c r="R7" s="1633"/>
      <c r="S7" s="1633"/>
      <c r="T7" s="1633"/>
      <c r="U7" s="1633"/>
      <c r="V7" s="1633"/>
    </row>
    <row r="8" spans="1:22" ht="14.25">
      <c r="A8" s="3561" t="s">
        <v>272</v>
      </c>
      <c r="B8" s="3590">
        <v>15</v>
      </c>
      <c r="C8" s="3588"/>
      <c r="D8" s="3592"/>
      <c r="E8" s="239" t="s">
        <v>273</v>
      </c>
      <c r="F8" s="240"/>
      <c r="G8" s="240"/>
      <c r="H8" s="240"/>
      <c r="I8" s="241"/>
      <c r="J8" s="1640"/>
      <c r="K8" s="1633"/>
      <c r="L8" s="1633"/>
      <c r="M8" s="1633"/>
      <c r="N8" s="1633"/>
      <c r="O8" s="1633"/>
      <c r="P8" s="1633"/>
      <c r="Q8" s="1633"/>
      <c r="R8" s="1633"/>
      <c r="S8" s="1633"/>
      <c r="T8" s="1633"/>
      <c r="U8" s="1633"/>
      <c r="V8" s="1633"/>
    </row>
    <row r="9" spans="1:22" ht="14.25">
      <c r="A9" s="3561"/>
      <c r="B9" s="3590"/>
      <c r="C9" s="3589"/>
      <c r="D9" s="3592"/>
      <c r="E9" s="239" t="s">
        <v>274</v>
      </c>
      <c r="F9" s="240"/>
      <c r="G9" s="240"/>
      <c r="H9" s="240"/>
      <c r="I9" s="241"/>
      <c r="J9" s="1640"/>
      <c r="K9" s="1633"/>
      <c r="L9" s="1633"/>
      <c r="M9" s="1633"/>
      <c r="N9" s="1633"/>
      <c r="O9" s="1633"/>
      <c r="P9" s="1633"/>
      <c r="Q9" s="1633"/>
      <c r="R9" s="1633"/>
      <c r="S9" s="1633"/>
      <c r="T9" s="1633"/>
      <c r="U9" s="1633"/>
      <c r="V9" s="1633"/>
    </row>
    <row r="10" spans="1:22" ht="14.25">
      <c r="A10" s="3561" t="s">
        <v>275</v>
      </c>
      <c r="B10" s="3590">
        <v>15</v>
      </c>
      <c r="C10" s="3588"/>
      <c r="D10" s="3592"/>
      <c r="E10" s="239" t="s">
        <v>276</v>
      </c>
      <c r="F10" s="240"/>
      <c r="G10" s="240"/>
      <c r="H10" s="240"/>
      <c r="I10" s="241"/>
      <c r="J10" s="1640"/>
      <c r="K10" s="1633"/>
      <c r="L10" s="1633"/>
      <c r="M10" s="1633"/>
      <c r="N10" s="1633"/>
      <c r="O10" s="1633"/>
      <c r="P10" s="1633"/>
      <c r="Q10" s="1633"/>
      <c r="R10" s="1633"/>
      <c r="S10" s="1633"/>
      <c r="T10" s="1633"/>
      <c r="U10" s="1633"/>
      <c r="V10" s="1633"/>
    </row>
    <row r="11" spans="1:22" ht="14.25">
      <c r="A11" s="3561"/>
      <c r="B11" s="3590"/>
      <c r="C11" s="3589"/>
      <c r="D11" s="3592"/>
      <c r="E11" s="239" t="s">
        <v>277</v>
      </c>
      <c r="F11" s="240"/>
      <c r="G11" s="240"/>
      <c r="H11" s="240"/>
      <c r="I11" s="241"/>
      <c r="J11" s="1640"/>
      <c r="K11" s="1633"/>
      <c r="L11" s="1633"/>
      <c r="M11" s="1633"/>
      <c r="N11" s="1633"/>
      <c r="O11" s="1633"/>
      <c r="P11" s="1633"/>
      <c r="Q11" s="1633"/>
      <c r="R11" s="1633"/>
      <c r="S11" s="1633"/>
      <c r="T11" s="1633"/>
      <c r="U11" s="1633"/>
      <c r="V11" s="1633"/>
    </row>
    <row r="12" spans="1:22" ht="14.25">
      <c r="A12" s="3561" t="s">
        <v>278</v>
      </c>
      <c r="B12" s="3590">
        <v>15</v>
      </c>
      <c r="C12" s="3588"/>
      <c r="D12" s="3592"/>
      <c r="E12" s="239" t="s">
        <v>279</v>
      </c>
      <c r="F12" s="240"/>
      <c r="G12" s="240"/>
      <c r="H12" s="240"/>
      <c r="I12" s="241"/>
      <c r="J12" s="1640"/>
      <c r="K12" s="1633"/>
      <c r="L12" s="1633"/>
      <c r="M12" s="1633"/>
      <c r="N12" s="1633"/>
      <c r="O12" s="1633"/>
      <c r="P12" s="1633"/>
      <c r="Q12" s="1633"/>
      <c r="R12" s="1633"/>
      <c r="S12" s="1633"/>
      <c r="T12" s="1633"/>
      <c r="U12" s="1633"/>
      <c r="V12" s="1633"/>
    </row>
    <row r="13" spans="1:22" ht="14.25">
      <c r="A13" s="3561"/>
      <c r="B13" s="3590"/>
      <c r="C13" s="3589"/>
      <c r="D13" s="3592"/>
      <c r="E13" s="239" t="s">
        <v>280</v>
      </c>
      <c r="F13" s="240"/>
      <c r="G13" s="240"/>
      <c r="H13" s="240"/>
      <c r="I13" s="241"/>
      <c r="J13" s="1640"/>
      <c r="K13" s="1633"/>
      <c r="L13" s="1633"/>
      <c r="M13" s="1633"/>
      <c r="N13" s="1633"/>
      <c r="O13" s="1633"/>
      <c r="P13" s="1633"/>
      <c r="Q13" s="1633"/>
      <c r="R13" s="1633"/>
      <c r="S13" s="1633"/>
      <c r="T13" s="1633"/>
      <c r="U13" s="1633"/>
      <c r="V13" s="1633"/>
    </row>
    <row r="14" spans="1:22" ht="14.25">
      <c r="A14" s="3561" t="s">
        <v>281</v>
      </c>
      <c r="B14" s="3590">
        <v>30</v>
      </c>
      <c r="C14" s="3588">
        <v>5</v>
      </c>
      <c r="D14" s="3592">
        <f>10-C14</f>
        <v>5</v>
      </c>
      <c r="E14" s="239" t="s">
        <v>282</v>
      </c>
      <c r="F14" s="240"/>
      <c r="G14" s="240"/>
      <c r="H14" s="240"/>
      <c r="I14" s="241"/>
      <c r="J14" s="1640"/>
      <c r="K14" s="1633"/>
      <c r="L14" s="1633"/>
      <c r="M14" s="1633"/>
      <c r="N14" s="1633"/>
      <c r="O14" s="1633"/>
      <c r="P14" s="1633"/>
      <c r="Q14" s="1633"/>
      <c r="R14" s="1633"/>
      <c r="S14" s="1633"/>
      <c r="T14" s="1633"/>
      <c r="U14" s="1633"/>
      <c r="V14" s="1633"/>
    </row>
    <row r="15" spans="1:22" ht="14.25">
      <c r="A15" s="3561"/>
      <c r="B15" s="3590"/>
      <c r="C15" s="3591"/>
      <c r="D15" s="3592"/>
      <c r="E15" s="239" t="s">
        <v>283</v>
      </c>
      <c r="F15" s="240"/>
      <c r="G15" s="240"/>
      <c r="H15" s="240"/>
      <c r="I15" s="241"/>
      <c r="J15" s="1640"/>
      <c r="K15" s="1633"/>
      <c r="L15" s="1633"/>
      <c r="M15" s="1633"/>
      <c r="N15" s="1633"/>
      <c r="O15" s="1633"/>
      <c r="P15" s="1633"/>
      <c r="Q15" s="1633"/>
      <c r="R15" s="1633"/>
      <c r="S15" s="1633"/>
      <c r="T15" s="1633"/>
      <c r="U15" s="1633"/>
      <c r="V15" s="1633"/>
    </row>
    <row r="16" spans="1:22" ht="14.25">
      <c r="A16" s="3561"/>
      <c r="B16" s="3590"/>
      <c r="C16" s="3589"/>
      <c r="D16" s="3592"/>
      <c r="E16" s="239" t="s">
        <v>284</v>
      </c>
      <c r="F16" s="240"/>
      <c r="G16" s="240"/>
      <c r="H16" s="240"/>
      <c r="I16" s="241"/>
      <c r="J16" s="1640"/>
      <c r="K16" s="1633"/>
      <c r="L16" s="1633"/>
      <c r="M16" s="1633"/>
      <c r="N16" s="1633"/>
      <c r="O16" s="1633"/>
      <c r="P16" s="1633"/>
      <c r="Q16" s="1633"/>
      <c r="R16" s="1633"/>
      <c r="S16" s="1633"/>
      <c r="T16" s="1633"/>
      <c r="U16" s="1633"/>
      <c r="V16" s="1633"/>
    </row>
    <row r="17" spans="1:22" ht="15">
      <c r="A17" s="242" t="s">
        <v>285</v>
      </c>
      <c r="B17" s="125"/>
      <c r="C17" s="243">
        <f>SUM(C5:C16)</f>
        <v>5</v>
      </c>
      <c r="D17" s="243">
        <f>SUM(D5:D16)</f>
        <v>5</v>
      </c>
      <c r="E17" s="285"/>
      <c r="F17" s="285"/>
      <c r="G17" s="285"/>
      <c r="H17" s="285"/>
      <c r="I17" s="285"/>
      <c r="J17" s="1640"/>
      <c r="K17" s="1633"/>
      <c r="L17" s="1633"/>
      <c r="M17" s="1633"/>
      <c r="N17" s="1633"/>
      <c r="O17" s="1633"/>
      <c r="P17" s="1633"/>
      <c r="Q17" s="1633"/>
      <c r="R17" s="1633"/>
      <c r="S17" s="1633"/>
      <c r="T17" s="1633"/>
      <c r="U17" s="1633"/>
      <c r="V17" s="1633"/>
    </row>
    <row r="18" spans="1:22" ht="32.450000000000003" customHeight="1" thickBot="1">
      <c r="A18" s="244" t="s">
        <v>286</v>
      </c>
      <c r="B18" s="96"/>
      <c r="C18" s="245">
        <f>ROUND(C17/SUM(C17:D17),2)</f>
        <v>0.5</v>
      </c>
      <c r="D18" s="245">
        <f>1-C18</f>
        <v>0.5</v>
      </c>
      <c r="E18" s="3593" t="s">
        <v>2247</v>
      </c>
      <c r="F18" s="3594"/>
      <c r="G18" s="3594"/>
      <c r="H18" s="3594"/>
      <c r="I18" s="3594"/>
      <c r="J18" s="1633"/>
      <c r="K18" s="1633"/>
      <c r="L18" s="1633"/>
      <c r="M18" s="1633"/>
      <c r="N18" s="1633"/>
      <c r="O18" s="1633"/>
      <c r="P18" s="1633"/>
      <c r="Q18" s="1633"/>
      <c r="R18" s="1633"/>
      <c r="S18" s="1633"/>
      <c r="T18" s="1633"/>
      <c r="U18" s="1633"/>
      <c r="V18" s="1633"/>
    </row>
    <row r="19" spans="1:22" ht="15">
      <c r="A19" s="246" t="s">
        <v>287</v>
      </c>
      <c r="B19" s="247" t="s">
        <v>288</v>
      </c>
      <c r="C19" s="248">
        <f ca="1">SUMIF(INDIRECT("'"&amp;C4&amp;"'"&amp;"!A:A"),结果表!B19,INDIRECT("'"&amp;C4&amp;"'"&amp;"!B:B"))</f>
        <v>48924</v>
      </c>
      <c r="D19" s="249">
        <f ca="1">SUMIF(INDIRECT("'"&amp;D4&amp;"'"&amp;"!A:A"),结果表!B19,INDIRECT("'"&amp;D4&amp;"'"&amp;"!B:B"))</f>
        <v>55445</v>
      </c>
      <c r="E19" s="246" t="s">
        <v>289</v>
      </c>
      <c r="F19" s="247" t="s">
        <v>288</v>
      </c>
      <c r="G19" s="250">
        <f ca="1">ROUND(C19*$C$18+D19*$D$18,0)</f>
        <v>52185</v>
      </c>
      <c r="H19" s="251" t="s">
        <v>290</v>
      </c>
      <c r="I19" s="285"/>
      <c r="J19" s="1633"/>
      <c r="K19" s="1633"/>
      <c r="L19" s="1633"/>
      <c r="M19" s="1633"/>
      <c r="N19" s="1633"/>
      <c r="O19" s="1633"/>
      <c r="P19" s="1633"/>
      <c r="Q19" s="1633"/>
      <c r="R19" s="1633"/>
      <c r="S19" s="1633"/>
      <c r="T19" s="1633"/>
      <c r="U19" s="1633"/>
      <c r="V19" s="1633"/>
    </row>
    <row r="20" spans="1:22" ht="15">
      <c r="A20" s="252"/>
      <c r="B20" s="102" t="s">
        <v>291</v>
      </c>
      <c r="C20" s="253">
        <f ca="1">SUMIF(INDIRECT("'"&amp;C4&amp;"'"&amp;"!A:A"),结果表!B20,INDIRECT("'"&amp;C4&amp;"'"&amp;"!B:B"))</f>
        <v>8437</v>
      </c>
      <c r="D20" s="254">
        <f ca="1">SUMIF(INDIRECT("'"&amp;D4&amp;"'"&amp;"!A:A"),结果表!B20,INDIRECT("'"&amp;D4&amp;"'"&amp;"!B:B"))</f>
        <v>9561</v>
      </c>
      <c r="E20" s="252"/>
      <c r="F20" s="102" t="s">
        <v>291</v>
      </c>
      <c r="G20" s="255">
        <f ca="1">ROUND(C20*$C$18+D20*$D$18,0)</f>
        <v>8999</v>
      </c>
      <c r="H20" s="256" t="s">
        <v>292</v>
      </c>
      <c r="I20" s="285"/>
      <c r="J20" s="1633"/>
      <c r="K20" s="1633"/>
      <c r="L20" s="1633"/>
      <c r="M20" s="1633"/>
      <c r="N20" s="1633"/>
      <c r="O20" s="1633"/>
      <c r="P20" s="1633"/>
      <c r="Q20" s="1633"/>
      <c r="R20" s="1633"/>
      <c r="S20" s="1633"/>
      <c r="T20" s="1633"/>
      <c r="U20" s="1633"/>
      <c r="V20" s="1633"/>
    </row>
    <row r="21" spans="1:22" ht="15" customHeight="1">
      <c r="A21" s="252"/>
      <c r="B21" s="106" t="s">
        <v>293</v>
      </c>
      <c r="C21" s="257">
        <f ca="1">SUMIF(INDIRECT("'"&amp;C4&amp;"'"&amp;"!A:A"),结果表!B21,INDIRECT("'"&amp;C4&amp;"'"&amp;"!B:B"))</f>
        <v>25066</v>
      </c>
      <c r="D21" s="135">
        <f ca="1">SUMIF(INDIRECT("'"&amp;D4&amp;"'"&amp;"!A:A"),结果表!B21,INDIRECT("'"&amp;D4&amp;"'"&amp;"!B:B"))</f>
        <v>28406</v>
      </c>
      <c r="E21" s="252"/>
      <c r="F21" s="106" t="s">
        <v>293</v>
      </c>
      <c r="G21" s="258">
        <f ca="1">ROUND(C21*$C$18+D21*$D$18,0)</f>
        <v>26736</v>
      </c>
      <c r="H21" s="256" t="s">
        <v>292</v>
      </c>
      <c r="I21" s="285"/>
      <c r="J21" s="1633"/>
      <c r="K21" s="1633"/>
      <c r="L21" s="1633"/>
      <c r="M21" s="1633"/>
      <c r="N21" s="1633"/>
      <c r="O21" s="1633"/>
      <c r="P21" s="1633"/>
      <c r="Q21" s="1633"/>
      <c r="R21" s="1633"/>
      <c r="S21" s="1633"/>
      <c r="T21" s="1633"/>
      <c r="U21" s="1633"/>
      <c r="V21" s="1633"/>
    </row>
    <row r="22" spans="1:22" ht="15.75" thickBot="1">
      <c r="A22" s="117" t="s">
        <v>294</v>
      </c>
      <c r="B22" s="1058"/>
      <c r="C22" s="239"/>
      <c r="D22" s="259">
        <f ca="1">IF(C19&lt;D19,D19/C19-1,C19/D19-1)</f>
        <v>0.13328836562832147</v>
      </c>
      <c r="E22" s="260"/>
      <c r="F22" s="261"/>
      <c r="G22" s="262">
        <f ca="1">ROUND(G19/('数据-汇总表'!D3/666.67),0)</f>
        <v>1782</v>
      </c>
      <c r="H22" s="263" t="s">
        <v>295</v>
      </c>
      <c r="I22" s="285"/>
      <c r="J22" s="1633"/>
      <c r="K22" s="1633"/>
      <c r="L22" s="1633"/>
      <c r="M22" s="1633"/>
      <c r="N22" s="1633"/>
      <c r="O22" s="1633"/>
      <c r="P22" s="1633"/>
      <c r="Q22" s="1633"/>
      <c r="R22" s="1633"/>
      <c r="S22" s="1633"/>
      <c r="T22" s="1633"/>
      <c r="U22" s="1633"/>
      <c r="V22" s="1633"/>
    </row>
    <row r="23" spans="1:22" ht="13.5" thickBot="1">
      <c r="A23" s="285"/>
      <c r="B23" s="285"/>
      <c r="C23" s="285"/>
      <c r="D23" s="285"/>
      <c r="E23" s="285"/>
      <c r="F23" s="285"/>
      <c r="G23" s="285"/>
      <c r="H23" s="285"/>
      <c r="I23" s="285"/>
      <c r="J23" s="1633"/>
      <c r="K23" s="1633"/>
      <c r="L23" s="1633"/>
      <c r="M23" s="1633"/>
      <c r="N23" s="1633"/>
      <c r="O23" s="1633"/>
      <c r="P23" s="1633"/>
      <c r="Q23" s="1633"/>
      <c r="R23" s="1633"/>
      <c r="S23" s="1633"/>
      <c r="T23" s="1633"/>
      <c r="U23" s="1633"/>
      <c r="V23" s="1633"/>
    </row>
    <row r="24" spans="1:22" ht="15" thickBot="1">
      <c r="A24" s="3567" t="s">
        <v>296</v>
      </c>
      <c r="B24" s="247" t="s">
        <v>288</v>
      </c>
      <c r="C24" s="264">
        <f>IF(B30=0,0,D30)</f>
        <v>0</v>
      </c>
      <c r="D24" s="265"/>
      <c r="E24" s="285"/>
      <c r="F24" s="285"/>
      <c r="G24" s="285"/>
      <c r="H24" s="285"/>
      <c r="I24" s="285"/>
      <c r="J24" s="1633"/>
      <c r="K24" s="1633"/>
      <c r="L24" s="1633"/>
      <c r="M24" s="1633"/>
      <c r="N24" s="1633"/>
      <c r="O24" s="1633"/>
      <c r="P24" s="1633"/>
      <c r="Q24" s="1633"/>
      <c r="R24" s="1633"/>
      <c r="S24" s="1633"/>
      <c r="T24" s="1633"/>
      <c r="U24" s="1633"/>
      <c r="V24" s="1633"/>
    </row>
    <row r="25" spans="1:22" ht="18">
      <c r="A25" s="3568"/>
      <c r="B25" s="1122" t="s">
        <v>297</v>
      </c>
      <c r="C25" s="266">
        <f>IF(B30=0,0,C30)</f>
        <v>0</v>
      </c>
      <c r="D25" s="267"/>
      <c r="E25" s="285"/>
      <c r="F25" s="285"/>
      <c r="G25" s="285"/>
      <c r="H25" s="285"/>
      <c r="I25" s="285"/>
      <c r="J25" s="1633"/>
      <c r="K25" s="1059" t="str">
        <f ca="1">项目基本情况!A17&amp;"国有建设用地使用权价格："&amp;O38&amp;"万元"</f>
        <v>出让国有建设用地使用权价格：52185万元</v>
      </c>
      <c r="L25" s="1060"/>
      <c r="M25" s="1060"/>
      <c r="N25" s="1060"/>
      <c r="O25" s="1061"/>
      <c r="P25" s="1633"/>
      <c r="Q25" s="1633"/>
      <c r="R25" s="1633"/>
      <c r="S25" s="1633"/>
      <c r="T25" s="1633"/>
      <c r="U25" s="1633"/>
      <c r="V25" s="1633"/>
    </row>
    <row r="26" spans="1:22" ht="18">
      <c r="A26" s="268" t="s">
        <v>298</v>
      </c>
      <c r="B26" s="269" t="s">
        <v>299</v>
      </c>
      <c r="C26" s="269" t="s">
        <v>300</v>
      </c>
      <c r="D26" s="270" t="s">
        <v>301</v>
      </c>
      <c r="E26" s="285"/>
      <c r="F26" s="285"/>
      <c r="G26" s="285"/>
      <c r="H26" s="285"/>
      <c r="I26" s="285"/>
      <c r="J26" s="1633"/>
      <c r="K26" s="1062" t="str">
        <f ca="1">"大写金额：人民币"&amp;NUMBERSTRING(INT(O38*10000),2)&amp;"元整"</f>
        <v>大写金额：人民币伍亿贰仟壹佰捌拾伍万元整</v>
      </c>
      <c r="L26" s="1058"/>
      <c r="M26" s="1058"/>
      <c r="N26" s="1058"/>
      <c r="O26" s="256"/>
      <c r="P26" s="1633"/>
      <c r="Q26" s="1633"/>
      <c r="R26" s="1633"/>
      <c r="S26" s="1633"/>
      <c r="T26" s="1633"/>
      <c r="U26" s="1633"/>
      <c r="V26" s="1633"/>
    </row>
    <row r="27" spans="1:22" ht="18">
      <c r="A27" s="268"/>
      <c r="B27" s="269"/>
      <c r="C27" s="269"/>
      <c r="D27" s="270"/>
      <c r="E27" s="285"/>
      <c r="F27" s="285"/>
      <c r="G27" s="285"/>
      <c r="H27" s="285"/>
      <c r="I27" s="285"/>
      <c r="J27" s="1633"/>
      <c r="K27" s="1062" t="str">
        <f ca="1">"单位面积地价："&amp;M38&amp;"元/平方米"</f>
        <v>单位面积地价：26736元/平方米</v>
      </c>
      <c r="L27" s="1058"/>
      <c r="M27" s="1058"/>
      <c r="N27" s="1058"/>
      <c r="O27" s="256"/>
      <c r="P27" s="1633"/>
      <c r="Q27" s="1633"/>
      <c r="R27" s="1633"/>
      <c r="S27" s="1633"/>
      <c r="T27" s="1633"/>
      <c r="U27" s="1633"/>
      <c r="V27" s="1633"/>
    </row>
    <row r="28" spans="1:22" ht="18.75" customHeight="1">
      <c r="A28" s="268"/>
      <c r="B28" s="269"/>
      <c r="C28" s="269"/>
      <c r="D28" s="270"/>
      <c r="E28" s="285"/>
      <c r="F28" s="285"/>
      <c r="G28" s="285"/>
      <c r="H28" s="285"/>
      <c r="I28" s="285"/>
      <c r="J28" s="1633"/>
      <c r="K28" s="1062" t="str">
        <f ca="1">"楼面地价："&amp;N38&amp;"元/平方米"</f>
        <v>楼面地价：8999元/平方米</v>
      </c>
      <c r="L28" s="1058"/>
      <c r="M28" s="1058"/>
      <c r="N28" s="1058"/>
      <c r="O28" s="256"/>
      <c r="P28" s="1633"/>
      <c r="V28" s="1633"/>
    </row>
    <row r="29" spans="1:22" ht="18">
      <c r="A29" s="268"/>
      <c r="B29" s="269"/>
      <c r="C29" s="269"/>
      <c r="D29" s="270"/>
      <c r="E29" s="285"/>
      <c r="F29" s="285"/>
      <c r="G29" s="285"/>
      <c r="H29" s="285"/>
      <c r="I29" s="285"/>
      <c r="J29" s="1633"/>
      <c r="K29" s="1062" t="str">
        <f ca="1">IF(OR(项目基本情况!E8="抵押价格",项目基本情况!E8="已注销及未注销"),"抵押价格："&amp;O39&amp;"万元","——")</f>
        <v>抵押价格：51845万元</v>
      </c>
      <c r="L29" s="1058"/>
      <c r="M29" s="1058"/>
      <c r="N29" s="1058"/>
      <c r="O29" s="256"/>
      <c r="P29" s="1633"/>
      <c r="V29" s="1633"/>
    </row>
    <row r="30" spans="1:22" ht="18.75" thickBot="1">
      <c r="A30" s="2361" t="s">
        <v>302</v>
      </c>
      <c r="B30" s="269"/>
      <c r="C30" s="269"/>
      <c r="D30" s="270"/>
      <c r="E30" s="2535" t="s">
        <v>2248</v>
      </c>
      <c r="F30" s="285"/>
      <c r="G30" s="285"/>
      <c r="H30" s="285"/>
      <c r="I30" s="285"/>
      <c r="J30" s="1633"/>
      <c r="K30" s="1062" t="str">
        <f ca="1">IF(K29="——","——","大写金额：人民币"&amp;NUMBERSTRING(INT(O39*10000),2)&amp;"元整")</f>
        <v>大写金额：人民币伍亿壹仟捌佰肆拾伍万元整</v>
      </c>
      <c r="L30" s="1058"/>
      <c r="M30" s="1058"/>
      <c r="N30" s="1058"/>
      <c r="O30" s="256"/>
      <c r="P30" s="1633"/>
      <c r="V30" s="1633"/>
    </row>
    <row r="31" spans="1:22" ht="24" customHeight="1" thickBot="1">
      <c r="A31" s="3595" t="s">
        <v>2249</v>
      </c>
      <c r="B31" s="3595"/>
      <c r="C31" s="3595"/>
      <c r="D31" s="3595"/>
      <c r="E31" s="3595"/>
      <c r="F31" s="3595"/>
      <c r="G31" s="3595"/>
      <c r="H31" s="3595"/>
      <c r="I31" s="3595"/>
      <c r="J31" s="1633"/>
      <c r="K31" s="1977" t="str">
        <f>IF(项目基本情况!E8="抵押价格","——","抵押担保权已注销时的抵押价格："&amp;O40&amp;"万元")</f>
        <v>——</v>
      </c>
      <c r="L31" s="1974"/>
      <c r="M31" s="1974"/>
      <c r="N31" s="1974"/>
      <c r="O31" s="1975"/>
      <c r="P31" s="1633"/>
      <c r="V31" s="1633"/>
    </row>
    <row r="32" spans="1:22" ht="19.5" thickTop="1" thickBot="1">
      <c r="A32" s="252" t="s">
        <v>303</v>
      </c>
      <c r="B32" s="2536" t="s">
        <v>1221</v>
      </c>
      <c r="C32" s="244">
        <f ca="1">G19-C24</f>
        <v>52185</v>
      </c>
      <c r="D32" s="2537" t="s">
        <v>1222</v>
      </c>
      <c r="E32" s="285"/>
      <c r="F32" s="285"/>
      <c r="G32" s="285"/>
      <c r="H32" s="285"/>
      <c r="I32" s="285"/>
      <c r="J32" s="1633"/>
      <c r="K32" s="1973" t="str">
        <f>IF(K31="——","——","大写金额：人民币"&amp;NUMBERSTRING(INT(O40*10000),2)&amp;"元整")</f>
        <v>——</v>
      </c>
      <c r="L32" s="1633"/>
      <c r="M32" s="1633"/>
      <c r="N32" s="1633"/>
      <c r="O32" s="1976"/>
      <c r="P32" s="1633"/>
      <c r="V32" s="1633"/>
    </row>
    <row r="33" spans="1:22" ht="18.75" thickBot="1">
      <c r="A33" s="273" t="s">
        <v>306</v>
      </c>
      <c r="B33" s="1169" t="s">
        <v>1223</v>
      </c>
      <c r="C33" s="242">
        <f ca="1">ROUND(C32*10000/'数据-汇总表'!E3,0)</f>
        <v>8999</v>
      </c>
      <c r="D33" s="1170" t="s">
        <v>1224</v>
      </c>
      <c r="E33" s="3567" t="s">
        <v>304</v>
      </c>
      <c r="F33" s="271" t="s">
        <v>305</v>
      </c>
      <c r="G33" s="272"/>
      <c r="H33" s="892" t="s">
        <v>4101</v>
      </c>
      <c r="I33" s="1063"/>
      <c r="J33" s="1633"/>
      <c r="K33" s="1062" t="str">
        <f ca="1">IF(项目基本情况!E9="——","——","抵押净值："&amp;C46&amp;"万元")</f>
        <v>抵押净值：49085万元</v>
      </c>
      <c r="L33" s="1058"/>
      <c r="M33" s="1058"/>
      <c r="N33" s="1058"/>
      <c r="O33" s="256"/>
      <c r="P33" s="1633"/>
      <c r="V33" s="1633"/>
    </row>
    <row r="34" spans="1:22" ht="18.75" thickBot="1">
      <c r="A34" s="275"/>
      <c r="B34" s="98" t="s">
        <v>1225</v>
      </c>
      <c r="C34" s="242">
        <f ca="1">ROUND(C32*10000/'数据-汇总表'!D3,0)</f>
        <v>26736</v>
      </c>
      <c r="D34" s="1170" t="s">
        <v>1224</v>
      </c>
      <c r="E34" s="3611"/>
      <c r="F34" s="118" t="s">
        <v>307</v>
      </c>
      <c r="G34" s="274"/>
      <c r="H34" s="96"/>
      <c r="I34" s="285"/>
      <c r="J34" s="1633"/>
      <c r="K34" s="1065" t="str">
        <f ca="1">IF(K33="——","——","大写金额：人民币"&amp;NUMBERSTRING(INT(O41*10000),2)&amp;"元整")</f>
        <v>大写金额：人民币肆亿玖仟零捌拾伍万元整</v>
      </c>
      <c r="L34" s="1066"/>
      <c r="M34" s="1066"/>
      <c r="N34" s="1066"/>
      <c r="O34" s="1067"/>
      <c r="P34" s="1633"/>
      <c r="V34" s="1633"/>
    </row>
    <row r="35" spans="1:22" ht="15.75" thickBot="1">
      <c r="A35" s="260"/>
      <c r="B35" s="1171"/>
      <c r="C35" s="1172">
        <f ca="1">ROUND(C32/('数据-汇总表'!D3/666.67),0)</f>
        <v>1782</v>
      </c>
      <c r="D35" s="1173" t="s">
        <v>1226</v>
      </c>
      <c r="E35" s="3612"/>
      <c r="F35" s="276" t="s">
        <v>308</v>
      </c>
      <c r="G35" s="894">
        <f>SUM(E37:E39)</f>
        <v>340</v>
      </c>
      <c r="H35" s="893" t="s">
        <v>309</v>
      </c>
      <c r="I35" s="285"/>
      <c r="J35" s="1633"/>
      <c r="K35" s="3585" t="s">
        <v>316</v>
      </c>
      <c r="L35" s="3585" t="s">
        <v>317</v>
      </c>
      <c r="M35" s="1068" t="s">
        <v>318</v>
      </c>
      <c r="N35" s="3585" t="s">
        <v>319</v>
      </c>
      <c r="O35" s="3585" t="s">
        <v>320</v>
      </c>
      <c r="P35" s="1633"/>
      <c r="V35" s="1633"/>
    </row>
    <row r="36" spans="1:22" ht="16.5" customHeight="1">
      <c r="A36" s="278" t="s">
        <v>310</v>
      </c>
      <c r="B36" s="279" t="s">
        <v>299</v>
      </c>
      <c r="C36" s="280" t="s">
        <v>311</v>
      </c>
      <c r="D36" s="280" t="s">
        <v>312</v>
      </c>
      <c r="E36" s="281" t="s">
        <v>313</v>
      </c>
      <c r="F36" s="285"/>
      <c r="G36" s="285"/>
      <c r="H36" s="285"/>
      <c r="I36" s="285"/>
      <c r="J36" s="1641"/>
      <c r="K36" s="3586"/>
      <c r="L36" s="3586"/>
      <c r="M36" s="1070" t="s">
        <v>321</v>
      </c>
      <c r="N36" s="3586"/>
      <c r="O36" s="3586"/>
      <c r="P36" s="1633"/>
      <c r="V36" s="1633"/>
    </row>
    <row r="37" spans="1:22" ht="16.5" customHeight="1" thickBot="1">
      <c r="A37" s="1064" t="s">
        <v>314</v>
      </c>
      <c r="B37" s="268">
        <f>'比较法-住宅、综合'!E64</f>
        <v>11328.62</v>
      </c>
      <c r="C37" s="269">
        <f>ROUND(信息!B9*0.1*0.25,2)</f>
        <v>288.38</v>
      </c>
      <c r="D37" s="269">
        <v>1.0305</v>
      </c>
      <c r="E37" s="270">
        <f>ROUND(B37*C37*D37/10000,0)</f>
        <v>337</v>
      </c>
      <c r="F37" s="285"/>
      <c r="G37" s="285"/>
      <c r="H37" s="285"/>
      <c r="I37" s="285"/>
      <c r="J37" s="1641"/>
      <c r="K37" s="3587"/>
      <c r="L37" s="3587"/>
      <c r="M37" s="1071"/>
      <c r="N37" s="3587"/>
      <c r="O37" s="3587"/>
      <c r="P37" s="1633"/>
      <c r="V37" s="1633"/>
    </row>
    <row r="38" spans="1:22" ht="16.5" customHeight="1" thickBot="1">
      <c r="A38" s="1064" t="s">
        <v>315</v>
      </c>
      <c r="B38" s="3413">
        <f>'比较法-住宅、综合'!E62</f>
        <v>50.08</v>
      </c>
      <c r="C38" s="3413">
        <f>ROUND(信息!B9*0.25*0.2,2)</f>
        <v>576.75</v>
      </c>
      <c r="D38" s="269">
        <v>1.0305</v>
      </c>
      <c r="E38" s="270">
        <f>ROUND(B38*C38*D38/10000,0)</f>
        <v>3</v>
      </c>
      <c r="F38" s="285"/>
      <c r="G38" s="285"/>
      <c r="H38" s="285"/>
      <c r="I38" s="285"/>
      <c r="J38" s="1641"/>
      <c r="K38" s="1072">
        <f>'数据-汇总表'!D3</f>
        <v>19518.45</v>
      </c>
      <c r="L38" s="1073">
        <f>'数据-汇总表'!E3</f>
        <v>57989.509999999995</v>
      </c>
      <c r="M38" s="1073">
        <f ca="1">C34</f>
        <v>26736</v>
      </c>
      <c r="N38" s="1073">
        <f ca="1">C33</f>
        <v>8999</v>
      </c>
      <c r="O38" s="1074">
        <f ca="1">C32</f>
        <v>52185</v>
      </c>
      <c r="P38" s="1633">
        <f ca="1">L38*N38</f>
        <v>521847600.48999995</v>
      </c>
      <c r="V38" s="1633"/>
    </row>
    <row r="39" spans="1:22" ht="16.5" customHeight="1" thickBot="1">
      <c r="A39" s="1069"/>
      <c r="B39" s="282"/>
      <c r="C39" s="283"/>
      <c r="D39" s="283"/>
      <c r="E39" s="284"/>
      <c r="F39" s="285"/>
      <c r="G39" s="285"/>
      <c r="H39" s="285"/>
      <c r="I39" s="285"/>
      <c r="J39" s="1641"/>
      <c r="K39" s="3625" t="str">
        <f>MID(A44,3,LEN(A44)-2)</f>
        <v>抵押价格</v>
      </c>
      <c r="L39" s="3626"/>
      <c r="M39" s="3626"/>
      <c r="N39" s="3627"/>
      <c r="O39" s="1175">
        <f ca="1">C44</f>
        <v>51845</v>
      </c>
      <c r="P39" s="1633"/>
      <c r="V39" s="1633"/>
    </row>
    <row r="40" spans="1:22" ht="19.5" thickBot="1">
      <c r="A40" s="95" t="s">
        <v>810</v>
      </c>
      <c r="B40" s="285"/>
      <c r="C40" s="285"/>
      <c r="D40" s="285"/>
      <c r="E40" s="285"/>
      <c r="F40" s="285"/>
      <c r="G40" s="285"/>
      <c r="H40" s="285"/>
      <c r="I40" s="285"/>
      <c r="J40" s="1641"/>
      <c r="K40" s="3625" t="str">
        <f>MID(A45,3,LEN(A45)-2)</f>
        <v/>
      </c>
      <c r="L40" s="3626"/>
      <c r="M40" s="3626"/>
      <c r="N40" s="3627"/>
      <c r="O40" s="1175" t="str">
        <f>C45</f>
        <v>——</v>
      </c>
      <c r="P40" s="1633"/>
      <c r="V40" s="1633"/>
    </row>
    <row r="41" spans="1:22" ht="16.5" thickBot="1">
      <c r="A41" s="286" t="s">
        <v>322</v>
      </c>
      <c r="B41" s="287"/>
      <c r="C41" s="288" t="s">
        <v>323</v>
      </c>
      <c r="D41" s="289" t="s">
        <v>324</v>
      </c>
      <c r="E41" s="289" t="s">
        <v>325</v>
      </c>
      <c r="F41" s="290" t="s">
        <v>326</v>
      </c>
      <c r="G41" s="285"/>
      <c r="H41" s="285"/>
      <c r="I41" s="285"/>
      <c r="J41" s="1641"/>
      <c r="K41" s="3625" t="str">
        <f>MID(A46,3,LEN(A46)-2)</f>
        <v>抵押净值</v>
      </c>
      <c r="L41" s="3626"/>
      <c r="M41" s="3626"/>
      <c r="N41" s="3627"/>
      <c r="O41" s="1175">
        <f ca="1">C46</f>
        <v>49085</v>
      </c>
      <c r="P41" s="1633"/>
      <c r="V41" s="1633"/>
    </row>
    <row r="42" spans="1:22" ht="29.25">
      <c r="A42" s="3569" t="s">
        <v>1583</v>
      </c>
      <c r="B42" s="3570"/>
      <c r="C42" s="242">
        <f ca="1">C32</f>
        <v>52185</v>
      </c>
      <c r="D42" s="291">
        <f ca="1">C33</f>
        <v>8999</v>
      </c>
      <c r="E42" s="291">
        <f ca="1">C34</f>
        <v>26736</v>
      </c>
      <c r="F42" s="292">
        <f ca="1">C35</f>
        <v>1782</v>
      </c>
      <c r="G42" s="285"/>
      <c r="H42" s="285"/>
      <c r="I42" s="293"/>
      <c r="J42" s="1641"/>
      <c r="K42" s="1075" t="s">
        <v>327</v>
      </c>
      <c r="L42" s="1657" t="s">
        <v>328</v>
      </c>
      <c r="M42" s="1076" t="s">
        <v>329</v>
      </c>
      <c r="N42" s="1658" t="s">
        <v>330</v>
      </c>
      <c r="O42" s="1659" t="s">
        <v>331</v>
      </c>
      <c r="P42" s="1633"/>
      <c r="V42" s="1633"/>
    </row>
    <row r="43" spans="1:22" ht="30">
      <c r="A43" s="3580" t="s">
        <v>2010</v>
      </c>
      <c r="B43" s="3581"/>
      <c r="C43" s="242">
        <f>IF(H33="正常操作",G33+G34+G35,G34+G35)</f>
        <v>340</v>
      </c>
      <c r="D43" s="291" t="s">
        <v>17</v>
      </c>
      <c r="E43" s="291" t="s">
        <v>18</v>
      </c>
      <c r="F43" s="292" t="s">
        <v>18</v>
      </c>
      <c r="G43" s="2168" t="s">
        <v>877</v>
      </c>
      <c r="H43" s="285"/>
      <c r="I43" s="293"/>
      <c r="J43" s="1641"/>
      <c r="K43" s="1077" t="str">
        <f>C4</f>
        <v>比较法-住宅、综合</v>
      </c>
      <c r="L43" s="1078">
        <f ca="1">IF(L42="估价结果/万元",C19,C20)</f>
        <v>48924</v>
      </c>
      <c r="M43" s="1079">
        <f>C18</f>
        <v>0.5</v>
      </c>
      <c r="N43" s="1080">
        <f ca="1">IF(N42="测算结果/万元",G19,G20)</f>
        <v>52185</v>
      </c>
      <c r="O43" s="1081">
        <f ca="1">IF(O42="最终结果/万元",C32,C33)</f>
        <v>52185</v>
      </c>
      <c r="P43" s="1633"/>
      <c r="V43" s="1633"/>
    </row>
    <row r="44" spans="1:22" ht="30.75" thickBot="1">
      <c r="A44" s="3569" t="str">
        <f>IF(OR(项目基本情况!E8="抵押价格",项目基本情况!E8="已注销及未注销"),"3.抵押价格","——")</f>
        <v>3.抵押价格</v>
      </c>
      <c r="B44" s="3570"/>
      <c r="C44" s="242">
        <f ca="1">IF(A44="——","——",C42-C43)</f>
        <v>51845</v>
      </c>
      <c r="D44" s="291">
        <f ca="1">ROUND(C44*10000/'数据-汇总表'!E3,0)</f>
        <v>8940</v>
      </c>
      <c r="E44" s="291">
        <f ca="1">ROUND(C44*10000/'数据-汇总表'!D3,0)</f>
        <v>26562</v>
      </c>
      <c r="F44" s="292">
        <f ca="1">ROUND(C44/('数据-汇总表'!D3/666.67),0)</f>
        <v>1771</v>
      </c>
      <c r="G44" s="285"/>
      <c r="H44" s="285"/>
      <c r="I44" s="293"/>
      <c r="J44" s="1641"/>
      <c r="K44" s="1082" t="str">
        <f>D4</f>
        <v>剩余法-待开发</v>
      </c>
      <c r="L44" s="1083">
        <f ca="1">IF(L42="估价结果/万元",D19,D20)</f>
        <v>55445</v>
      </c>
      <c r="M44" s="1084">
        <f>D18</f>
        <v>0.5</v>
      </c>
      <c r="N44" s="1085"/>
      <c r="O44" s="1086"/>
      <c r="P44" s="1633"/>
      <c r="V44" s="1633"/>
    </row>
    <row r="45" spans="1:22" ht="15">
      <c r="A45" s="3575" t="str">
        <f>IF(项目基本情况!E8="已注销及未注销","4.抵押担保权已注销时的抵押价格",IF(项目基本情况!E8="已注销","3.抵押担保权已注销时的抵押价格","——"))</f>
        <v>——</v>
      </c>
      <c r="B45" s="3576"/>
      <c r="C45" s="1495"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41"/>
      <c r="K45" s="1633"/>
      <c r="L45" s="1633"/>
      <c r="M45" s="1633"/>
      <c r="N45" s="1633"/>
      <c r="O45" s="1633"/>
      <c r="P45" s="1633"/>
      <c r="V45" s="1633"/>
    </row>
    <row r="46" spans="1:22" ht="15.75" thickBot="1">
      <c r="A46" s="3571" t="str">
        <f>IF(项目基本情况!E9="抵押净值",IF(A45="——","4.抵押净值","5.抵押净值"),"——")</f>
        <v>4.抵押净值</v>
      </c>
      <c r="B46" s="3572"/>
      <c r="C46" s="294">
        <f ca="1">IF(A46="——","——",O79)</f>
        <v>49085</v>
      </c>
      <c r="D46" s="291">
        <f ca="1">ROUND(C46*10000/'数据-汇总表'!E3,0)</f>
        <v>8464</v>
      </c>
      <c r="E46" s="291">
        <f ca="1">ROUND(C46*10000/'数据-汇总表'!D3,0)</f>
        <v>25148</v>
      </c>
      <c r="F46" s="292">
        <f ca="1">ROUND(C46/('数据-汇总表'!D3/666.67),0)</f>
        <v>1677</v>
      </c>
      <c r="G46" s="285"/>
      <c r="H46" s="285"/>
      <c r="I46" s="293"/>
      <c r="J46" s="1641"/>
      <c r="K46" s="1633"/>
      <c r="L46" s="1633"/>
      <c r="M46" s="1633"/>
      <c r="N46" s="1633"/>
      <c r="O46" s="1633"/>
      <c r="P46" s="1633"/>
      <c r="Q46" s="1633"/>
      <c r="R46" s="1633"/>
      <c r="S46" s="1633"/>
      <c r="T46" s="1633"/>
      <c r="U46" s="1633"/>
      <c r="V46" s="1633"/>
    </row>
    <row r="47" spans="1:22" ht="15.75">
      <c r="A47" s="295" t="s">
        <v>332</v>
      </c>
      <c r="B47" s="1087"/>
      <c r="C47" s="296" t="s">
        <v>333</v>
      </c>
      <c r="D47" s="15"/>
      <c r="E47" s="15"/>
      <c r="F47" s="15"/>
      <c r="G47" s="297"/>
      <c r="H47" s="298"/>
      <c r="I47" s="299"/>
      <c r="J47" s="1641"/>
      <c r="K47" s="285" t="str">
        <f>IF(C43=0,"本次评估"&amp;IF(G43="设定","设定估价对象","")&amp;"不存在"&amp;MID(A43,3,LEN(A43)-2),"本次评估"&amp;IF(G43="设定","设定","")&amp;MID(A43,3,LEN(A43)-2)&amp;"为人民币"&amp;C43&amp;"万元整。")</f>
        <v>本次评估估价师知悉的法定优先受偿款为人民币340万元整。</v>
      </c>
      <c r="L47" s="1633"/>
      <c r="M47" s="1633"/>
      <c r="N47" s="1633"/>
      <c r="O47" s="1633"/>
      <c r="P47" s="1633"/>
      <c r="Q47" s="1633"/>
      <c r="R47" s="1633"/>
      <c r="S47" s="1633"/>
      <c r="T47" s="1633"/>
      <c r="U47" s="1633"/>
      <c r="V47" s="1633"/>
    </row>
    <row r="48" spans="1:22" ht="12.75">
      <c r="A48" s="300">
        <v>1</v>
      </c>
      <c r="B48" s="301"/>
      <c r="C48" s="301"/>
      <c r="D48" s="15"/>
      <c r="E48" s="15"/>
      <c r="F48" s="15"/>
      <c r="G48" s="15"/>
      <c r="H48" s="53"/>
      <c r="I48" s="302"/>
      <c r="J48" s="1641"/>
      <c r="K48" s="1633"/>
      <c r="L48" s="1633"/>
      <c r="M48" s="1633"/>
      <c r="N48" s="1633"/>
      <c r="O48" s="1633"/>
      <c r="P48" s="1633"/>
      <c r="Q48" s="1633"/>
      <c r="R48" s="1633"/>
      <c r="S48" s="1633"/>
      <c r="T48" s="1633"/>
      <c r="U48" s="1633"/>
      <c r="V48" s="1633"/>
    </row>
    <row r="49" spans="1:22" ht="12.75">
      <c r="A49" s="300">
        <v>2</v>
      </c>
      <c r="B49" s="301"/>
      <c r="C49" s="301"/>
      <c r="D49" s="15"/>
      <c r="E49" s="15"/>
      <c r="F49" s="15"/>
      <c r="G49" s="15"/>
      <c r="H49" s="53"/>
      <c r="I49" s="302"/>
      <c r="J49" s="1642"/>
      <c r="K49" s="1633"/>
      <c r="L49" s="1633"/>
      <c r="M49" s="1633"/>
      <c r="N49" s="1633"/>
      <c r="O49" s="1633"/>
      <c r="P49" s="1633"/>
      <c r="Q49" s="1633"/>
      <c r="R49" s="1633"/>
      <c r="S49" s="1633"/>
      <c r="T49" s="1633"/>
      <c r="U49" s="1633"/>
      <c r="V49" s="1633"/>
    </row>
    <row r="50" spans="1:22" ht="12.75">
      <c r="A50" s="300">
        <v>3</v>
      </c>
      <c r="B50" s="301"/>
      <c r="C50" s="301"/>
      <c r="D50" s="15"/>
      <c r="E50" s="15"/>
      <c r="F50" s="15"/>
      <c r="G50" s="15"/>
      <c r="H50" s="53"/>
      <c r="I50" s="302"/>
      <c r="J50" s="1642"/>
      <c r="K50" s="1633"/>
      <c r="L50" s="1633"/>
      <c r="M50" s="1633"/>
      <c r="N50" s="1633"/>
      <c r="O50" s="1633"/>
      <c r="P50" s="1633"/>
      <c r="Q50" s="1633"/>
      <c r="R50" s="1633"/>
      <c r="S50" s="1633"/>
      <c r="T50" s="1633"/>
      <c r="U50" s="1633"/>
      <c r="V50" s="1633"/>
    </row>
    <row r="51" spans="1:22" ht="12.75">
      <c r="A51" s="303"/>
      <c r="B51" s="304"/>
      <c r="C51" s="304"/>
      <c r="D51" s="305"/>
      <c r="E51" s="305"/>
      <c r="F51" s="305"/>
      <c r="G51" s="305"/>
      <c r="H51" s="306"/>
      <c r="I51" s="307"/>
      <c r="J51" s="1642"/>
      <c r="K51" s="1633"/>
      <c r="L51" s="1633"/>
      <c r="M51" s="1633"/>
      <c r="N51" s="1633"/>
      <c r="O51" s="1633"/>
      <c r="P51" s="1633"/>
      <c r="Q51" s="1633"/>
      <c r="R51" s="1633"/>
      <c r="S51" s="1633"/>
      <c r="T51" s="1633"/>
      <c r="U51" s="1633"/>
      <c r="V51" s="1633"/>
    </row>
    <row r="52" spans="1:22" ht="12.75">
      <c r="A52" s="301"/>
      <c r="B52" s="301"/>
      <c r="C52" s="301"/>
      <c r="D52" s="15"/>
      <c r="E52" s="15"/>
      <c r="F52" s="15"/>
      <c r="G52" s="15"/>
      <c r="H52" s="53"/>
      <c r="I52" s="235"/>
      <c r="J52" s="1642"/>
      <c r="K52" s="1633"/>
      <c r="L52" s="1633"/>
      <c r="M52" s="1633"/>
      <c r="N52" s="1633"/>
      <c r="O52" s="1633"/>
      <c r="P52" s="1633"/>
      <c r="Q52" s="1633"/>
      <c r="R52" s="1633"/>
      <c r="S52" s="1633"/>
      <c r="T52" s="1633"/>
      <c r="U52" s="1633"/>
      <c r="V52" s="1633"/>
    </row>
    <row r="53" spans="1:22" ht="12.75">
      <c r="A53" s="235"/>
      <c r="B53" s="235"/>
      <c r="C53" s="235"/>
      <c r="D53" s="235"/>
      <c r="E53" s="235"/>
      <c r="F53" s="308" t="s">
        <v>334</v>
      </c>
      <c r="G53" s="309"/>
      <c r="H53" s="309"/>
      <c r="I53" s="310" t="s">
        <v>335</v>
      </c>
      <c r="J53" s="1642"/>
      <c r="K53" s="1633"/>
      <c r="L53" s="1633"/>
      <c r="M53" s="1633"/>
      <c r="N53" s="1633"/>
      <c r="O53" s="1633"/>
      <c r="P53" s="1633"/>
      <c r="Q53" s="1633"/>
      <c r="R53" s="1633"/>
      <c r="S53" s="1633"/>
      <c r="T53" s="1633"/>
      <c r="U53" s="1633"/>
      <c r="V53" s="1633"/>
    </row>
    <row r="54" spans="1:22" ht="12.75">
      <c r="A54" s="235"/>
      <c r="B54" s="311" t="s">
        <v>336</v>
      </c>
      <c r="C54" s="235"/>
      <c r="D54" s="235"/>
      <c r="E54" s="235"/>
      <c r="F54" s="235"/>
      <c r="G54" s="235"/>
      <c r="H54" s="235"/>
      <c r="I54" s="235"/>
      <c r="J54" s="1642"/>
      <c r="K54" s="1633"/>
      <c r="L54" s="1633"/>
      <c r="M54" s="1633"/>
      <c r="N54" s="1633"/>
      <c r="O54" s="1633"/>
      <c r="P54" s="1633"/>
      <c r="Q54" s="1633"/>
      <c r="R54" s="1633"/>
      <c r="S54" s="1633"/>
      <c r="T54" s="1633"/>
      <c r="U54" s="1633"/>
      <c r="V54" s="1633"/>
    </row>
    <row r="55" spans="1:22" ht="12.75">
      <c r="A55" s="235"/>
      <c r="B55" s="235"/>
      <c r="C55" s="235"/>
      <c r="D55" s="235"/>
      <c r="E55" s="235"/>
      <c r="F55" s="235"/>
      <c r="G55" s="235"/>
      <c r="H55" s="235"/>
      <c r="I55" s="235"/>
      <c r="J55" s="1642"/>
      <c r="K55" s="1633"/>
      <c r="L55" s="1633"/>
      <c r="M55" s="1633"/>
      <c r="N55" s="1633"/>
      <c r="O55" s="1633"/>
      <c r="P55" s="1633"/>
      <c r="Q55" s="1633"/>
      <c r="R55" s="1633"/>
      <c r="S55" s="1633"/>
      <c r="T55" s="1633"/>
      <c r="U55" s="1633"/>
      <c r="V55" s="1633"/>
    </row>
    <row r="56" spans="1:22" ht="12.75">
      <c r="A56" s="235"/>
      <c r="B56" s="309"/>
      <c r="C56" s="309"/>
      <c r="D56" s="309"/>
      <c r="E56" s="309"/>
      <c r="F56" s="309"/>
      <c r="G56" s="309"/>
      <c r="H56" s="309"/>
      <c r="I56" s="310" t="s">
        <v>337</v>
      </c>
      <c r="J56" s="1642"/>
      <c r="K56" s="1633"/>
      <c r="L56" s="1633"/>
      <c r="M56" s="1633"/>
      <c r="N56" s="1633"/>
      <c r="O56" s="1633"/>
      <c r="P56" s="1633"/>
      <c r="Q56" s="1633"/>
      <c r="R56" s="1633"/>
      <c r="S56" s="1633"/>
      <c r="T56" s="1633"/>
      <c r="U56" s="1633"/>
      <c r="V56" s="1633"/>
    </row>
    <row r="57" spans="1:22" ht="12.75">
      <c r="A57" s="235"/>
      <c r="B57" s="311" t="s">
        <v>338</v>
      </c>
      <c r="C57" s="235"/>
      <c r="D57" s="235"/>
      <c r="E57" s="235"/>
      <c r="F57" s="235"/>
      <c r="G57" s="235"/>
      <c r="H57" s="235"/>
      <c r="I57" s="235"/>
      <c r="J57" s="1642"/>
      <c r="K57" s="1633"/>
      <c r="L57" s="1633"/>
      <c r="M57" s="1633"/>
      <c r="N57" s="1633"/>
      <c r="O57" s="1633"/>
      <c r="P57" s="1633"/>
      <c r="Q57" s="1633"/>
      <c r="R57" s="1633"/>
      <c r="S57" s="1633"/>
      <c r="T57" s="1633"/>
      <c r="U57" s="1633"/>
      <c r="V57" s="1633"/>
    </row>
    <row r="58" spans="1:22" ht="12.75">
      <c r="A58" s="235"/>
      <c r="B58" s="311"/>
      <c r="C58" s="235"/>
      <c r="D58" s="235"/>
      <c r="E58" s="235"/>
      <c r="F58" s="235"/>
      <c r="G58" s="235"/>
      <c r="H58" s="235"/>
      <c r="I58" s="235"/>
      <c r="J58" s="1642"/>
      <c r="K58" s="1633"/>
      <c r="L58" s="1633"/>
      <c r="M58" s="1633"/>
      <c r="N58" s="1633"/>
      <c r="O58" s="1633"/>
      <c r="P58" s="1633"/>
      <c r="Q58" s="1633"/>
      <c r="R58" s="1633"/>
      <c r="S58" s="1633"/>
      <c r="T58" s="1633"/>
      <c r="U58" s="1633"/>
      <c r="V58" s="1633"/>
    </row>
    <row r="59" spans="1:22" ht="12.75">
      <c r="A59" s="235"/>
      <c r="B59" s="309"/>
      <c r="C59" s="309"/>
      <c r="D59" s="309"/>
      <c r="E59" s="309"/>
      <c r="F59" s="309"/>
      <c r="G59" s="309"/>
      <c r="H59" s="309"/>
      <c r="I59" s="310" t="s">
        <v>337</v>
      </c>
      <c r="J59" s="1642"/>
      <c r="K59" s="1633"/>
      <c r="L59" s="1633"/>
      <c r="M59" s="1633"/>
      <c r="N59" s="1633"/>
      <c r="O59" s="1633"/>
      <c r="P59" s="1633"/>
      <c r="Q59" s="1633"/>
      <c r="R59" s="1633"/>
      <c r="S59" s="1633"/>
      <c r="T59" s="1633"/>
      <c r="U59" s="1633"/>
      <c r="V59" s="1633"/>
    </row>
    <row r="60" spans="1:22" ht="12.75">
      <c r="A60" s="235"/>
      <c r="B60" s="235"/>
      <c r="C60" s="235"/>
      <c r="D60" s="235"/>
      <c r="E60" s="235"/>
      <c r="F60" s="235"/>
      <c r="G60" s="235"/>
      <c r="H60" s="235"/>
      <c r="I60" s="235"/>
      <c r="J60" s="1642"/>
      <c r="K60" s="1633"/>
      <c r="L60" s="1633"/>
      <c r="M60" s="1633"/>
      <c r="N60" s="1633"/>
      <c r="O60" s="1633"/>
      <c r="P60" s="1633"/>
      <c r="Q60" s="1633"/>
      <c r="R60" s="1633"/>
      <c r="S60" s="1633"/>
      <c r="T60" s="1633"/>
      <c r="U60" s="1633"/>
      <c r="V60" s="1633"/>
    </row>
    <row r="61" spans="1:22" ht="12.75">
      <c r="A61" s="235"/>
      <c r="B61" s="311"/>
      <c r="C61" s="312"/>
      <c r="D61" s="196"/>
      <c r="E61" s="196"/>
      <c r="F61" s="232"/>
      <c r="G61" s="235"/>
      <c r="H61" s="235"/>
      <c r="I61" s="235"/>
      <c r="J61" s="1642"/>
      <c r="K61" s="1633"/>
      <c r="L61" s="1633"/>
      <c r="M61" s="1633"/>
      <c r="N61" s="1633"/>
      <c r="O61" s="1633"/>
      <c r="P61" s="1633"/>
      <c r="Q61" s="1633"/>
      <c r="R61" s="1633"/>
      <c r="S61" s="1633"/>
      <c r="T61" s="1633"/>
      <c r="U61" s="1633"/>
      <c r="V61" s="1633"/>
    </row>
    <row r="62" spans="1:22" ht="18.75">
      <c r="A62" s="11" t="s">
        <v>339</v>
      </c>
      <c r="B62" s="1088"/>
      <c r="C62" s="1088"/>
      <c r="D62" s="1089"/>
      <c r="E62" s="1089"/>
      <c r="F62" s="1090"/>
      <c r="G62" s="1090"/>
      <c r="H62" s="1090"/>
      <c r="I62" s="1090"/>
      <c r="J62" s="1643"/>
      <c r="K62" s="1633"/>
      <c r="L62" s="1633"/>
      <c r="M62" s="1633"/>
      <c r="N62" s="1633"/>
      <c r="O62" s="1633"/>
      <c r="P62" s="1633"/>
      <c r="Q62" s="1633"/>
      <c r="R62" s="1633"/>
      <c r="S62" s="1633"/>
      <c r="T62" s="1633"/>
      <c r="U62" s="1633"/>
      <c r="V62" s="1633"/>
    </row>
    <row r="63" spans="1:22" ht="14.25" customHeight="1" thickBot="1">
      <c r="A63" s="3619" t="s">
        <v>340</v>
      </c>
      <c r="B63" s="3620"/>
      <c r="C63" s="3621"/>
      <c r="D63" s="313">
        <f ca="1">ROUND(C42*F63,0)</f>
        <v>52185</v>
      </c>
      <c r="E63" s="277" t="s">
        <v>341</v>
      </c>
      <c r="F63" s="314">
        <v>1</v>
      </c>
      <c r="G63" s="315" t="s">
        <v>342</v>
      </c>
      <c r="H63" s="285"/>
      <c r="I63" s="285"/>
      <c r="J63" s="1633"/>
      <c r="K63" s="1633"/>
      <c r="L63" s="1633"/>
      <c r="M63" s="1633"/>
      <c r="N63" s="1633"/>
      <c r="O63" s="1633"/>
      <c r="P63" s="1633"/>
      <c r="Q63" s="1633"/>
      <c r="R63" s="1633"/>
      <c r="S63" s="1633"/>
      <c r="T63" s="1633"/>
      <c r="U63" s="1633"/>
      <c r="V63" s="1633"/>
    </row>
    <row r="64" spans="1:22" ht="14.25" customHeight="1">
      <c r="A64" s="3577" t="s">
        <v>344</v>
      </c>
      <c r="B64" s="3578"/>
      <c r="C64" s="3578"/>
      <c r="D64" s="3578"/>
      <c r="E64" s="3578"/>
      <c r="F64" s="3578"/>
      <c r="G64" s="3579"/>
      <c r="H64" s="1091"/>
      <c r="I64" s="864"/>
      <c r="J64" s="1635"/>
      <c r="K64" s="1298" t="s">
        <v>343</v>
      </c>
      <c r="L64" s="9"/>
      <c r="M64" s="9"/>
      <c r="N64" s="9"/>
      <c r="O64" s="9"/>
      <c r="P64" s="285"/>
      <c r="Q64" s="1633"/>
      <c r="R64" s="1633"/>
      <c r="S64" s="1633"/>
      <c r="T64" s="1633"/>
      <c r="U64" s="1633"/>
      <c r="V64" s="1633"/>
    </row>
    <row r="65" spans="1:22" ht="12" customHeight="1">
      <c r="A65" s="316" t="s">
        <v>346</v>
      </c>
      <c r="B65" s="317"/>
      <c r="C65" s="318"/>
      <c r="D65" s="319" t="s">
        <v>347</v>
      </c>
      <c r="E65" s="49" t="s">
        <v>348</v>
      </c>
      <c r="F65" s="320" t="s">
        <v>349</v>
      </c>
      <c r="G65" s="321" t="s">
        <v>350</v>
      </c>
      <c r="H65" s="1091"/>
      <c r="I65" s="864"/>
      <c r="J65" s="1635"/>
      <c r="K65" s="1092"/>
      <c r="L65" s="1093"/>
      <c r="M65" s="1093"/>
      <c r="N65" s="1123" t="s">
        <v>345</v>
      </c>
      <c r="O65" s="1124"/>
      <c r="P65" s="1125"/>
      <c r="Q65" s="1633"/>
      <c r="R65" s="1633"/>
      <c r="S65" s="1633"/>
      <c r="T65" s="1633"/>
      <c r="U65" s="1633"/>
      <c r="V65" s="1633"/>
    </row>
    <row r="66" spans="1:22" ht="25.5">
      <c r="A66" s="3573" t="s">
        <v>352</v>
      </c>
      <c r="B66" s="3574"/>
      <c r="C66" s="3574"/>
      <c r="D66" s="239">
        <f ca="1">IF(H66="情况1",0,IF(H66="情况2",D70,IF(H66="情况3",D71,IF(H66="情况4",D72))))</f>
        <v>2734</v>
      </c>
      <c r="E66" s="904" t="str">
        <f>IF(H66="情况4","(销售额-原购置价)×税（费）率","销售额×税（费）率")</f>
        <v>销售额×税（费）率</v>
      </c>
      <c r="F66" s="322">
        <f>IF(H66="情况1","免征",'数据-取费表'!B41)</f>
        <v>5.5000000000000007E-2</v>
      </c>
      <c r="G66" s="323" t="s">
        <v>353</v>
      </c>
      <c r="H66" s="174" t="s">
        <v>4098</v>
      </c>
      <c r="I66" s="1091"/>
      <c r="J66" s="1645"/>
      <c r="K66" s="1094">
        <v>1</v>
      </c>
      <c r="L66" s="3634" t="s">
        <v>351</v>
      </c>
      <c r="M66" s="3635"/>
      <c r="N66" s="1970"/>
      <c r="O66" s="1971"/>
      <c r="P66" s="1972"/>
      <c r="Q66" s="1633"/>
      <c r="R66" s="1633"/>
      <c r="S66" s="1633"/>
      <c r="T66" s="1633"/>
      <c r="U66" s="1633"/>
      <c r="V66" s="1633"/>
    </row>
    <row r="67" spans="1:22" ht="25.5" customHeight="1">
      <c r="A67" s="324" t="s">
        <v>355</v>
      </c>
      <c r="B67" s="3564" t="s">
        <v>356</v>
      </c>
      <c r="C67" s="3564"/>
      <c r="D67" s="325">
        <v>0</v>
      </c>
      <c r="E67" s="37" t="s">
        <v>357</v>
      </c>
      <c r="F67" s="58" t="s">
        <v>15</v>
      </c>
      <c r="G67" s="3622"/>
      <c r="H67" s="2538" t="s">
        <v>2250</v>
      </c>
      <c r="I67" s="2540"/>
      <c r="J67" s="1646"/>
      <c r="K67" s="1629">
        <v>2</v>
      </c>
      <c r="L67" s="3628" t="s">
        <v>354</v>
      </c>
      <c r="M67" s="3628"/>
      <c r="N67" s="1126">
        <f>'数据-取费表'!B2</f>
        <v>45617</v>
      </c>
      <c r="O67" s="1126"/>
      <c r="P67" s="1126"/>
      <c r="Q67" s="1633"/>
      <c r="R67" s="1633"/>
      <c r="S67" s="1633"/>
      <c r="T67" s="1633"/>
      <c r="U67" s="1633"/>
      <c r="V67" s="1633"/>
    </row>
    <row r="68" spans="1:22" ht="25.5" customHeight="1">
      <c r="A68" s="326"/>
      <c r="B68" s="3564" t="s">
        <v>359</v>
      </c>
      <c r="C68" s="3564"/>
      <c r="D68" s="327"/>
      <c r="E68" s="73"/>
      <c r="F68" s="328"/>
      <c r="G68" s="3623"/>
      <c r="H68" s="2539" t="s">
        <v>2251</v>
      </c>
      <c r="I68" s="2540"/>
      <c r="J68" s="1646"/>
      <c r="K68" s="1629">
        <v>3</v>
      </c>
      <c r="L68" s="3628" t="s">
        <v>358</v>
      </c>
      <c r="M68" s="3628"/>
      <c r="N68" s="1096">
        <f ca="1">C42</f>
        <v>52185</v>
      </c>
      <c r="O68" s="1096"/>
      <c r="P68" s="1096"/>
      <c r="Q68" s="1633"/>
      <c r="R68" s="1633"/>
      <c r="S68" s="1633"/>
      <c r="T68" s="1633"/>
      <c r="U68" s="1633"/>
      <c r="V68" s="1633"/>
    </row>
    <row r="69" spans="1:22" ht="23.45" customHeight="1">
      <c r="A69" s="329"/>
      <c r="B69" s="3564" t="s">
        <v>360</v>
      </c>
      <c r="C69" s="3564"/>
      <c r="D69" s="330"/>
      <c r="E69" s="69"/>
      <c r="F69" s="328"/>
      <c r="G69" s="3624"/>
      <c r="H69" s="2539" t="s">
        <v>2252</v>
      </c>
      <c r="I69" s="2540"/>
      <c r="J69" s="1646"/>
      <c r="K69" s="1097">
        <v>4</v>
      </c>
      <c r="L69" s="3638" t="s">
        <v>2155</v>
      </c>
      <c r="M69" s="3639"/>
      <c r="N69" s="1098">
        <f ca="1">C44</f>
        <v>51845</v>
      </c>
      <c r="O69" s="1098"/>
      <c r="P69" s="1098"/>
      <c r="Q69" s="1633"/>
      <c r="R69" s="1633"/>
      <c r="S69" s="1633"/>
      <c r="T69" s="1633"/>
      <c r="U69" s="1633"/>
      <c r="V69" s="1633"/>
    </row>
    <row r="70" spans="1:22" ht="24" customHeight="1">
      <c r="A70" s="331" t="s">
        <v>361</v>
      </c>
      <c r="B70" s="3564" t="s">
        <v>362</v>
      </c>
      <c r="C70" s="3564"/>
      <c r="D70" s="330">
        <f ca="1">ROUND(D63*'数据-取费表'!B41/(1+'数据-取费表'!C42),0)</f>
        <v>2734</v>
      </c>
      <c r="E70" s="14" t="s">
        <v>363</v>
      </c>
      <c r="F70" s="332">
        <f>'数据-取费表'!B41</f>
        <v>5.5000000000000007E-2</v>
      </c>
      <c r="G70" s="333"/>
      <c r="H70" s="285"/>
      <c r="I70" s="1095"/>
      <c r="J70" s="1646"/>
      <c r="K70" s="2329"/>
      <c r="L70" s="2330"/>
      <c r="M70" s="2330"/>
      <c r="N70" s="2331" t="s">
        <v>2159</v>
      </c>
      <c r="O70" s="2330"/>
      <c r="P70" s="2332"/>
      <c r="Q70" s="1633"/>
      <c r="R70" s="1633"/>
      <c r="S70" s="1633"/>
      <c r="T70" s="1633"/>
      <c r="U70" s="1633"/>
      <c r="V70" s="1633"/>
    </row>
    <row r="71" spans="1:22" ht="12" customHeight="1">
      <c r="A71" s="331" t="s">
        <v>369</v>
      </c>
      <c r="B71" s="3565" t="s">
        <v>2277</v>
      </c>
      <c r="C71" s="3566"/>
      <c r="D71" s="330">
        <f ca="1">ROUND(D63*'数据-取费表'!B41/(1+'数据-取费表'!C42),0)</f>
        <v>2734</v>
      </c>
      <c r="E71" s="14" t="s">
        <v>363</v>
      </c>
      <c r="F71" s="332">
        <f>'数据-取费表'!B41</f>
        <v>5.5000000000000007E-2</v>
      </c>
      <c r="G71" s="333"/>
      <c r="H71" s="285"/>
      <c r="I71" s="1095"/>
      <c r="J71" s="1646"/>
      <c r="K71" s="2328" t="s">
        <v>364</v>
      </c>
      <c r="L71" s="3640" t="s">
        <v>365</v>
      </c>
      <c r="M71" s="3640"/>
      <c r="N71" s="2328" t="s">
        <v>366</v>
      </c>
      <c r="O71" s="2328" t="s">
        <v>367</v>
      </c>
      <c r="P71" s="2328" t="s">
        <v>368</v>
      </c>
      <c r="Q71" s="1633"/>
      <c r="R71" s="1633"/>
      <c r="S71" s="1633"/>
      <c r="T71" s="1633"/>
      <c r="U71" s="1633"/>
      <c r="V71" s="1633"/>
    </row>
    <row r="72" spans="1:22" ht="12" customHeight="1">
      <c r="A72" s="331" t="s">
        <v>371</v>
      </c>
      <c r="B72" s="3565" t="s">
        <v>2278</v>
      </c>
      <c r="C72" s="3566"/>
      <c r="D72" s="330">
        <f ca="1">C86</f>
        <v>2734</v>
      </c>
      <c r="E72" s="69" t="s">
        <v>372</v>
      </c>
      <c r="F72" s="332">
        <f>'数据-取费表'!B41</f>
        <v>5.5000000000000007E-2</v>
      </c>
      <c r="G72" s="333"/>
      <c r="H72" s="1101"/>
      <c r="I72" s="1095"/>
      <c r="J72" s="1646"/>
      <c r="K72" s="1629">
        <v>1</v>
      </c>
      <c r="L72" s="3615" t="s">
        <v>370</v>
      </c>
      <c r="M72" s="3615"/>
      <c r="N72" s="3414">
        <f ca="1">D66</f>
        <v>2734</v>
      </c>
      <c r="O72" s="1536" t="str">
        <f>E66</f>
        <v>销售额×税（费）率</v>
      </c>
      <c r="P72" s="1100">
        <f>F66</f>
        <v>5.5000000000000007E-2</v>
      </c>
      <c r="Q72" s="1633">
        <f ca="1">N68*P72/1.05</f>
        <v>2733.5</v>
      </c>
      <c r="R72" s="1633"/>
      <c r="S72" s="1633"/>
      <c r="T72" s="1633"/>
      <c r="U72" s="1633"/>
      <c r="V72" s="1633"/>
    </row>
    <row r="73" spans="1:22" ht="24" customHeight="1">
      <c r="A73" s="3610" t="s">
        <v>374</v>
      </c>
      <c r="B73" s="3574"/>
      <c r="C73" s="3574"/>
      <c r="D73" s="334">
        <f ca="1">IF(H73="个人住宅",0,ROUND(D63*I73,0))</f>
        <v>26</v>
      </c>
      <c r="E73" s="14" t="s">
        <v>375</v>
      </c>
      <c r="F73" s="332">
        <f>IF(H73="正常",I73,"免征")</f>
        <v>5.0000000000000001E-4</v>
      </c>
      <c r="G73" s="333"/>
      <c r="H73" s="174" t="s">
        <v>4089</v>
      </c>
      <c r="I73" s="332">
        <f>'数据-取费表'!B49</f>
        <v>5.0000000000000001E-4</v>
      </c>
      <c r="J73" s="1646"/>
      <c r="K73" s="1629">
        <v>2</v>
      </c>
      <c r="L73" s="3615" t="s">
        <v>373</v>
      </c>
      <c r="M73" s="3615"/>
      <c r="N73" s="3414">
        <f t="shared" ref="N73:P74" ca="1" si="0">D73</f>
        <v>26</v>
      </c>
      <c r="O73" s="1536" t="str">
        <f t="shared" si="0"/>
        <v>销售额×税（费）率</v>
      </c>
      <c r="P73" s="1100">
        <f t="shared" si="0"/>
        <v>5.0000000000000001E-4</v>
      </c>
      <c r="Q73" s="1633"/>
      <c r="R73" s="1633"/>
      <c r="S73" s="1633"/>
      <c r="T73" s="1633"/>
      <c r="U73" s="1633"/>
      <c r="V73" s="1633"/>
    </row>
    <row r="74" spans="1:22" ht="24.75">
      <c r="A74" s="3610" t="s">
        <v>377</v>
      </c>
      <c r="B74" s="3574"/>
      <c r="C74" s="3574"/>
      <c r="D74" s="334">
        <f ca="1">IF(H74="个人住宅",D75,D76)</f>
        <v>0</v>
      </c>
      <c r="E74" s="14" t="s">
        <v>378</v>
      </c>
      <c r="F74" s="332" t="str">
        <f>IF(H74="正常",F76,"免征")</f>
        <v>——</v>
      </c>
      <c r="G74" s="895" t="s">
        <v>379</v>
      </c>
      <c r="H74" s="335" t="s">
        <v>4089</v>
      </c>
      <c r="I74" s="38"/>
      <c r="J74" s="1646"/>
      <c r="K74" s="1629">
        <v>3</v>
      </c>
      <c r="L74" s="3615" t="s">
        <v>376</v>
      </c>
      <c r="M74" s="3615"/>
      <c r="N74" s="3414">
        <f t="shared" ca="1" si="0"/>
        <v>0</v>
      </c>
      <c r="O74" s="1536" t="str">
        <f t="shared" si="0"/>
        <v>增值额×税（费）率</v>
      </c>
      <c r="P74" s="1102" t="str">
        <f t="shared" si="0"/>
        <v>——</v>
      </c>
      <c r="Q74" s="1633"/>
      <c r="R74" s="1633"/>
      <c r="S74" s="1633"/>
      <c r="T74" s="1633"/>
      <c r="U74" s="1633"/>
      <c r="V74" s="1633"/>
    </row>
    <row r="75" spans="1:22" ht="12.75">
      <c r="A75" s="331" t="s">
        <v>380</v>
      </c>
      <c r="B75" s="3562" t="s">
        <v>381</v>
      </c>
      <c r="C75" s="3598"/>
      <c r="D75" s="336">
        <v>0</v>
      </c>
      <c r="E75" s="37" t="s">
        <v>382</v>
      </c>
      <c r="F75" s="337"/>
      <c r="G75" s="333"/>
      <c r="H75" s="38"/>
      <c r="I75" s="38"/>
      <c r="J75" s="1646"/>
      <c r="K75" s="1629" t="str">
        <f>IF(H77="非个人房产","",4)</f>
        <v/>
      </c>
      <c r="L75" s="3615" t="str">
        <f>IF(H77="非个人房产","——","个人所得税")</f>
        <v>——</v>
      </c>
      <c r="M75" s="3615"/>
      <c r="N75" s="1103" t="str">
        <f>D77</f>
        <v>——</v>
      </c>
      <c r="O75" s="1537" t="str">
        <f>E77</f>
        <v>——</v>
      </c>
      <c r="P75" s="1104" t="str">
        <f>F77</f>
        <v>——</v>
      </c>
      <c r="Q75" s="1633"/>
      <c r="R75" s="1633"/>
      <c r="S75" s="1633"/>
      <c r="T75" s="1633"/>
      <c r="U75" s="1633"/>
      <c r="V75" s="1633"/>
    </row>
    <row r="76" spans="1:22" ht="24.75">
      <c r="A76" s="331" t="s">
        <v>361</v>
      </c>
      <c r="B76" s="3562" t="s">
        <v>384</v>
      </c>
      <c r="C76" s="3563"/>
      <c r="D76" s="334">
        <f ca="1">IF(H76="转让取得",C99,C115)</f>
        <v>0</v>
      </c>
      <c r="E76" s="14" t="s">
        <v>385</v>
      </c>
      <c r="F76" s="49" t="s">
        <v>15</v>
      </c>
      <c r="G76" s="333"/>
      <c r="H76" s="335" t="s">
        <v>4099</v>
      </c>
      <c r="I76" s="38"/>
      <c r="J76" s="1646"/>
      <c r="K76" s="1629" t="str">
        <f>IF(项目基本情况!K6="上海银行",IF(K75="",4,K75+1),"")</f>
        <v/>
      </c>
      <c r="L76" s="3630" t="str">
        <f>IF(项目基本情况!K6="上海银行","其他处置费用","")</f>
        <v/>
      </c>
      <c r="M76" s="3631"/>
      <c r="N76" s="1099" t="str">
        <f>IF(项目基本情况!K6="上海银行",N89,"")</f>
        <v/>
      </c>
      <c r="O76" s="3632" t="str">
        <f>IF(项目基本情况!K6="上海银行","包含处置中涉及的律师、诉讼、拍卖、评估等费用","")</f>
        <v/>
      </c>
      <c r="P76" s="3633"/>
      <c r="Q76" s="1633"/>
      <c r="R76" s="1633"/>
      <c r="S76" s="1633"/>
      <c r="T76" s="1633"/>
      <c r="U76" s="1633"/>
      <c r="V76" s="1633"/>
    </row>
    <row r="77" spans="1:22" ht="24.75" thickBot="1">
      <c r="A77" s="3617" t="s">
        <v>387</v>
      </c>
      <c r="B77" s="3618"/>
      <c r="C77" s="3618"/>
      <c r="D77" s="2543" t="str">
        <f>IF(H77="非个人房产","——",IF(H77="个人住宅（满五唯一有凭证）",0,IF(H77="个人其他（无凭证）",ROUND(D63*F77,0),ROUND(C84*F77,0))))</f>
        <v>——</v>
      </c>
      <c r="E77" s="2544" t="str">
        <f>IF(H77="非个人房产","——",IF(H77="个人其他（无凭证）","销售额×税（费）率",IF(H77="个人住宅（满五唯一有凭证）","免征","差额计税")))</f>
        <v>——</v>
      </c>
      <c r="F77" s="2545" t="str">
        <f>IF(OR(H77="非个人房产",H77="个人住宅（满五唯一有凭证）"),"——",IF(H77="个人其他（有凭证）",20%,1%))</f>
        <v>——</v>
      </c>
      <c r="G77" s="896" t="s">
        <v>379</v>
      </c>
      <c r="H77" s="2542" t="s">
        <v>4100</v>
      </c>
      <c r="I77" s="2541" t="s">
        <v>2253</v>
      </c>
      <c r="J77" s="1646"/>
      <c r="K77" s="3616">
        <f>IF(AND(K75="",K76=""),4,IF(项目基本情况!K6="上海银行",K76+1,K75+1))</f>
        <v>4</v>
      </c>
      <c r="L77" s="3615" t="s">
        <v>2156</v>
      </c>
      <c r="M77" s="2327" t="s">
        <v>383</v>
      </c>
      <c r="N77" s="1105"/>
      <c r="O77" s="1106">
        <f ca="1">SUMIF(N72:N76,"&lt;9e307")</f>
        <v>2760</v>
      </c>
      <c r="P77" s="1107"/>
      <c r="Q77" s="2325">
        <f ca="1">O77/N69</f>
        <v>5.3235606133667665E-2</v>
      </c>
      <c r="R77" s="1633"/>
      <c r="S77" s="1633"/>
      <c r="T77" s="1633"/>
      <c r="U77" s="1633"/>
      <c r="V77" s="1633"/>
    </row>
    <row r="78" spans="1:22" ht="12" customHeight="1">
      <c r="A78" s="1108"/>
      <c r="B78" s="285"/>
      <c r="C78" s="285"/>
      <c r="D78" s="285"/>
      <c r="E78" s="38"/>
      <c r="F78" s="38"/>
      <c r="G78" s="38"/>
      <c r="H78" s="864"/>
      <c r="I78" s="285"/>
      <c r="J78" s="1646"/>
      <c r="K78" s="3616"/>
      <c r="L78" s="3615"/>
      <c r="M78" s="2327" t="s">
        <v>386</v>
      </c>
      <c r="N78" s="1105"/>
      <c r="O78" s="1106" t="str">
        <f ca="1">NUMBERSTRING(INT(O77*10000),2)&amp;"元整"</f>
        <v>贰仟柒佰陆拾万元整</v>
      </c>
      <c r="P78" s="1107"/>
      <c r="Q78" s="1633"/>
      <c r="R78" s="1633"/>
      <c r="S78" s="1633"/>
      <c r="T78" s="1633"/>
      <c r="U78" s="1633"/>
      <c r="V78" s="1633"/>
    </row>
    <row r="79" spans="1:22" ht="13.5" thickBot="1">
      <c r="A79" s="3582" t="s">
        <v>388</v>
      </c>
      <c r="B79" s="3582"/>
      <c r="C79" s="3582"/>
      <c r="D79" s="3582"/>
      <c r="E79" s="3582"/>
      <c r="F79" s="38"/>
      <c r="G79" s="38"/>
      <c r="H79" s="864"/>
      <c r="I79" s="285"/>
      <c r="J79" s="1646"/>
      <c r="K79" s="3636">
        <f>K77+1</f>
        <v>5</v>
      </c>
      <c r="L79" s="3615" t="s">
        <v>2157</v>
      </c>
      <c r="M79" s="2327" t="s">
        <v>383</v>
      </c>
      <c r="N79" s="1105"/>
      <c r="O79" s="1106">
        <f ca="1">N69-O77</f>
        <v>49085</v>
      </c>
      <c r="P79" s="1107"/>
      <c r="Q79" s="1633"/>
      <c r="R79" s="1633"/>
      <c r="S79" s="1633"/>
      <c r="T79" s="1633"/>
      <c r="U79" s="1633"/>
      <c r="V79" s="1633"/>
    </row>
    <row r="80" spans="1:22" ht="25.5">
      <c r="A80" s="3583" t="s">
        <v>389</v>
      </c>
      <c r="B80" s="3584"/>
      <c r="C80" s="905"/>
      <c r="D80" s="905" t="s">
        <v>390</v>
      </c>
      <c r="E80" s="338" t="s">
        <v>391</v>
      </c>
      <c r="F80" s="38"/>
      <c r="G80" s="38"/>
      <c r="H80" s="864"/>
      <c r="I80" s="285"/>
      <c r="J80" s="1633"/>
      <c r="K80" s="3637"/>
      <c r="L80" s="3615"/>
      <c r="M80" s="2327" t="s">
        <v>386</v>
      </c>
      <c r="N80" s="1105"/>
      <c r="O80" s="1106" t="str">
        <f ca="1">NUMBERSTRING(INT(O79*10000),2)&amp;"元整"</f>
        <v>肆亿玖仟零捌拾伍万元整</v>
      </c>
      <c r="P80" s="1107"/>
      <c r="Q80" s="1633"/>
      <c r="R80" s="1633"/>
      <c r="S80" s="1633"/>
      <c r="T80" s="1633"/>
      <c r="U80" s="1633"/>
      <c r="V80" s="1633"/>
    </row>
    <row r="81" spans="1:26" ht="13.5" thickBot="1">
      <c r="A81" s="349" t="s">
        <v>1352</v>
      </c>
      <c r="B81" s="339" t="s">
        <v>392</v>
      </c>
      <c r="C81" s="340">
        <f ca="1">ROUND((C82+C83)/(1+'数据-取费表'!C42),0)</f>
        <v>49700</v>
      </c>
      <c r="D81" s="341"/>
      <c r="E81" s="342"/>
      <c r="F81" s="38"/>
      <c r="G81" s="38"/>
      <c r="H81" s="864"/>
      <c r="I81" s="285"/>
      <c r="J81" s="1633"/>
      <c r="K81" s="1629">
        <f>K79+1</f>
        <v>6</v>
      </c>
      <c r="L81" s="3613" t="s">
        <v>2158</v>
      </c>
      <c r="M81" s="3614"/>
      <c r="N81" s="1109"/>
      <c r="O81" s="1110">
        <f ca="1">ROUND(O79*10000/'数据-汇总表'!E3,0)</f>
        <v>8464</v>
      </c>
      <c r="P81" s="1111"/>
      <c r="Q81" s="1633"/>
      <c r="R81" s="1633"/>
      <c r="S81" s="1633"/>
      <c r="T81" s="1633"/>
      <c r="U81" s="1633"/>
      <c r="V81" s="1633"/>
    </row>
    <row r="82" spans="1:26" ht="13.5" thickTop="1">
      <c r="A82" s="343" t="s">
        <v>1353</v>
      </c>
      <c r="B82" s="344" t="s">
        <v>393</v>
      </c>
      <c r="C82" s="345">
        <f ca="1">D63</f>
        <v>52185</v>
      </c>
      <c r="D82" s="346" t="s">
        <v>13</v>
      </c>
      <c r="E82" s="347"/>
      <c r="F82" s="38"/>
      <c r="G82" s="38"/>
      <c r="H82" s="864"/>
      <c r="I82" s="285"/>
      <c r="J82" s="1633"/>
      <c r="K82" s="1633"/>
      <c r="L82" s="1633"/>
      <c r="M82" s="1633"/>
      <c r="N82" s="1633"/>
      <c r="O82" s="1633"/>
      <c r="P82" s="1633"/>
      <c r="Q82" s="1633"/>
      <c r="R82" s="1633"/>
      <c r="S82" s="1633"/>
      <c r="T82" s="1633"/>
      <c r="U82" s="1633"/>
      <c r="V82" s="1633"/>
    </row>
    <row r="83" spans="1:26" ht="12.75">
      <c r="A83" s="343" t="s">
        <v>1354</v>
      </c>
      <c r="B83" s="344" t="s">
        <v>394</v>
      </c>
      <c r="C83" s="348"/>
      <c r="D83" s="346"/>
      <c r="E83" s="347"/>
      <c r="F83" s="38"/>
      <c r="G83" s="38"/>
      <c r="H83" s="864"/>
      <c r="I83" s="285"/>
      <c r="J83" s="1633"/>
      <c r="K83" s="3629" t="s">
        <v>2146</v>
      </c>
      <c r="L83" s="2333" t="s">
        <v>2147</v>
      </c>
      <c r="M83" s="2323">
        <f ca="1">IF(N69&gt;10000,N69*0.5%,IF(AND(N69&gt;1000,N69&lt;=10000),N69*1%,IF(AND(N69&gt;100,N69&lt;=1000),N69*3%,IF(AND(N69&gt;10,N69&lt;=100),N69*5%,N69*8%))))</f>
        <v>259.22500000000002</v>
      </c>
      <c r="N83" s="49">
        <f ca="1">ROUND(M83,1)</f>
        <v>259.2</v>
      </c>
      <c r="O83" s="2326"/>
      <c r="P83" s="1633"/>
      <c r="Q83" s="1633"/>
      <c r="R83" s="1633"/>
      <c r="S83" s="1633"/>
      <c r="T83" s="1633"/>
      <c r="U83" s="1633"/>
      <c r="V83" s="1633"/>
    </row>
    <row r="84" spans="1:26" ht="12.75">
      <c r="A84" s="349" t="s">
        <v>1355</v>
      </c>
      <c r="B84" s="350" t="s">
        <v>395</v>
      </c>
      <c r="C84" s="351"/>
      <c r="D84" s="352" t="s">
        <v>13</v>
      </c>
      <c r="E84" s="2348" t="s">
        <v>2196</v>
      </c>
      <c r="F84" s="38"/>
      <c r="G84" s="38"/>
      <c r="H84" s="864"/>
      <c r="I84" s="285"/>
      <c r="J84" s="1633"/>
      <c r="K84" s="3629"/>
      <c r="L84" s="2333" t="s">
        <v>2148</v>
      </c>
      <c r="M84" s="2323">
        <f ca="1">IF(N69&gt;2000,N69*0.5%,IF(AND(N69&gt;1000,N69&lt;=2000),N69*0.6%,IF(AND(N69&gt;500,N69&lt;=1000),N69*0.7%,IF(AND(N69&gt;200,N69&lt;=500),N69*0.8%,IF(AND(N69&gt;100,N69&lt;=200),N69*0.9%,IF(AND(N69&gt;50,N69&lt;=100),N69*1%,IF(AND(N69&gt;20,N69&lt;=50),N69*1.5%,IF(AND(N69&gt;10,N69&lt;=20),N69*2%,IF(AND(N69&gt;1,N69&lt;=10),N69*2.5%)))))))))</f>
        <v>259.22500000000002</v>
      </c>
      <c r="N84" s="49">
        <f ca="1">ROUND(M84,1)</f>
        <v>259.2</v>
      </c>
      <c r="O84" s="1633" t="s">
        <v>2149</v>
      </c>
      <c r="P84" s="1633"/>
      <c r="Q84" s="1633"/>
      <c r="R84" s="1633"/>
      <c r="S84" s="1633"/>
      <c r="T84" s="1633"/>
      <c r="U84" s="1633"/>
      <c r="V84" s="1633"/>
    </row>
    <row r="85" spans="1:26" ht="12.75">
      <c r="A85" s="349" t="s">
        <v>1356</v>
      </c>
      <c r="B85" s="350" t="s">
        <v>396</v>
      </c>
      <c r="C85" s="353">
        <f ca="1">C81-C84</f>
        <v>49700</v>
      </c>
      <c r="D85" s="346" t="s">
        <v>13</v>
      </c>
      <c r="E85" s="347"/>
      <c r="F85" s="38"/>
      <c r="G85" s="38"/>
      <c r="H85" s="864"/>
      <c r="I85" s="285"/>
      <c r="J85" s="1633"/>
      <c r="K85" s="3629"/>
      <c r="L85" s="2333" t="s">
        <v>2150</v>
      </c>
      <c r="M85" s="2323">
        <f ca="1">IF(N69&gt;1000,N69*0.1%,IF(AND(N69&gt;500,N69&lt;=1000),N69*0.5%,IF(AND(N69&gt;50,N69&lt;=500),N69*1%,IF(AND(N69&gt;1,N69&lt;=50),N69*1.5%))))</f>
        <v>51.844999999999999</v>
      </c>
      <c r="N85" s="49">
        <f ca="1">ROUND(M85,1)</f>
        <v>51.8</v>
      </c>
      <c r="O85" s="1633" t="s">
        <v>2149</v>
      </c>
      <c r="P85" s="1633"/>
      <c r="Q85" s="1633"/>
      <c r="R85" s="1633"/>
      <c r="S85" s="1633"/>
      <c r="T85" s="1633"/>
      <c r="U85" s="1633"/>
      <c r="V85" s="1633"/>
    </row>
    <row r="86" spans="1:26" ht="13.5" thickBot="1">
      <c r="A86" s="354" t="s">
        <v>1357</v>
      </c>
      <c r="B86" s="355" t="s">
        <v>397</v>
      </c>
      <c r="C86" s="356">
        <f ca="1">IF(C85&lt;=0,0,ROUND(C85*D86,0))</f>
        <v>2734</v>
      </c>
      <c r="D86" s="357">
        <f>'数据-取费表'!B41</f>
        <v>5.5000000000000007E-2</v>
      </c>
      <c r="E86" s="358"/>
      <c r="F86" s="38"/>
      <c r="G86" s="38"/>
      <c r="H86" s="864"/>
      <c r="I86" s="285"/>
      <c r="J86" s="1633"/>
      <c r="K86" s="3629"/>
      <c r="L86" s="2333" t="s">
        <v>2151</v>
      </c>
      <c r="M86" s="2323">
        <f ca="1">N69*0.5%</f>
        <v>259.22500000000002</v>
      </c>
      <c r="N86" s="49">
        <f ca="1">IF(M86&gt;0.5,0.5,ROUND(M86,0))</f>
        <v>0.5</v>
      </c>
      <c r="O86" s="1633" t="s">
        <v>2152</v>
      </c>
      <c r="P86" s="1633"/>
      <c r="Q86" s="1633"/>
      <c r="R86" s="1633"/>
      <c r="S86" s="1633"/>
      <c r="T86" s="1633"/>
      <c r="U86" s="1633"/>
      <c r="V86" s="1633"/>
    </row>
    <row r="87" spans="1:26" ht="14.25" customHeight="1">
      <c r="A87" s="1112"/>
      <c r="B87" s="1113"/>
      <c r="C87" s="1114"/>
      <c r="D87" s="1115"/>
      <c r="E87" s="1116"/>
      <c r="F87" s="38"/>
      <c r="G87" s="38"/>
      <c r="H87" s="864"/>
      <c r="I87" s="285"/>
      <c r="J87" s="1633"/>
      <c r="K87" s="3629"/>
      <c r="L87" s="2333" t="s">
        <v>2153</v>
      </c>
      <c r="M87" s="2323">
        <f ca="1">IF(N69&gt;=10000,(8.25+(N69-10000)*0.01%),IF(AND(N69&gt;=8000,N69&lt;10000),(7.85+(N69-8000)*0.02%),IF(AND(N69&gt;=5000,N69&lt;8000),(6.65+(N69-5000)*0.04%),IF(AND(N69&gt;=2000,N69&lt;5000),(4.25+(PN69-2000)*0.08%),IF(AND(N69&gt;=1000,N69&lt;2000),(2.75+(N69-1000)*0.15%),IF(AND(N69&gt;=100,N69&lt;1000),(0.5+(N69-100)*0.25%),IF(AND(N69&gt;0,N69&lt;100),N69*0.5%)))))))</f>
        <v>12.4345</v>
      </c>
      <c r="N87" s="49">
        <f ca="1">ROUND(M87*0.9,1)</f>
        <v>11.2</v>
      </c>
      <c r="O87" s="2326"/>
      <c r="P87" s="1633"/>
      <c r="Q87" s="1633"/>
      <c r="R87" s="1633"/>
      <c r="S87" s="1633"/>
      <c r="T87" s="1633"/>
      <c r="U87" s="1633"/>
      <c r="V87" s="1633"/>
    </row>
    <row r="88" spans="1:26" s="1005" customFormat="1" ht="15" thickBot="1">
      <c r="A88" s="3608" t="s">
        <v>398</v>
      </c>
      <c r="B88" s="3609"/>
      <c r="C88" s="3609"/>
      <c r="D88" s="3609"/>
      <c r="E88" s="3609"/>
      <c r="F88" s="3609"/>
      <c r="G88" s="3609"/>
      <c r="H88" s="3609"/>
      <c r="I88" s="1117"/>
      <c r="J88" s="1647"/>
      <c r="K88" s="3629"/>
      <c r="L88" s="2333" t="s">
        <v>2154</v>
      </c>
      <c r="M88" s="2323">
        <f ca="1">IF(N69&gt;10000,N69*0.5%,IF(AND(N69&gt;5000,N69&lt;=10000),N69*1%,IF(AND(N69&gt;1000,N69&lt;=5000),N69*2%,IF(AND(N69&gt;200,N69&lt;=1000),N69*3%,N69*5%))))</f>
        <v>259.22500000000002</v>
      </c>
      <c r="N88" s="49">
        <f ca="1">ROUND(M88,1)</f>
        <v>259.2</v>
      </c>
      <c r="O88" s="2326"/>
      <c r="P88" s="1644"/>
      <c r="Q88" s="1644"/>
      <c r="R88" s="1644"/>
      <c r="S88" s="1644"/>
      <c r="T88" s="1644"/>
      <c r="U88" s="1644"/>
      <c r="V88" s="1644"/>
      <c r="W88" s="1648"/>
      <c r="X88" s="1648"/>
      <c r="Y88" s="1648"/>
      <c r="Z88" s="1648"/>
    </row>
    <row r="89" spans="1:26" s="1005" customFormat="1" ht="14.25">
      <c r="A89" s="3583" t="s">
        <v>389</v>
      </c>
      <c r="B89" s="3584"/>
      <c r="C89" s="905"/>
      <c r="D89" s="905" t="s">
        <v>390</v>
      </c>
      <c r="E89" s="359" t="s">
        <v>399</v>
      </c>
      <c r="F89" s="360"/>
      <c r="G89" s="360"/>
      <c r="H89" s="361"/>
      <c r="I89" s="1118"/>
      <c r="J89" s="1649"/>
      <c r="K89" s="3629"/>
      <c r="L89" s="2333" t="s">
        <v>16</v>
      </c>
      <c r="M89" s="2324"/>
      <c r="N89" s="49">
        <f ca="1">ROUND(SUM(N83:N88),0)</f>
        <v>841</v>
      </c>
      <c r="O89" s="2334">
        <f ca="1">N89/N69</f>
        <v>1.6221429260295111E-2</v>
      </c>
      <c r="P89" s="1644"/>
      <c r="Q89" s="1644"/>
      <c r="R89" s="1644"/>
      <c r="S89" s="1644"/>
      <c r="T89" s="1644"/>
      <c r="U89" s="1644"/>
      <c r="V89" s="1644"/>
      <c r="W89" s="1648"/>
      <c r="X89" s="1648"/>
      <c r="Y89" s="1648"/>
      <c r="Z89" s="1648"/>
    </row>
    <row r="90" spans="1:26" s="1005" customFormat="1" ht="14.25">
      <c r="A90" s="349" t="s">
        <v>1352</v>
      </c>
      <c r="B90" s="350" t="s">
        <v>400</v>
      </c>
      <c r="C90" s="353">
        <f ca="1">ROUND(D63/(1+'数据-取费表'!C42),0)</f>
        <v>49700</v>
      </c>
      <c r="D90" s="346" t="s">
        <v>13</v>
      </c>
      <c r="E90" s="903"/>
      <c r="F90" s="902"/>
      <c r="G90" s="902"/>
      <c r="H90" s="362"/>
      <c r="I90" s="1118"/>
      <c r="J90" s="1649"/>
      <c r="K90" s="1644"/>
      <c r="L90" s="1644"/>
      <c r="M90" s="1644"/>
      <c r="N90" s="1644"/>
      <c r="O90" s="1644"/>
      <c r="P90" s="1644"/>
      <c r="Q90" s="1644"/>
      <c r="R90" s="1644"/>
      <c r="S90" s="1644"/>
      <c r="T90" s="1644"/>
      <c r="U90" s="1644"/>
      <c r="V90" s="1644"/>
      <c r="W90" s="1648"/>
      <c r="X90" s="1648"/>
      <c r="Y90" s="1648"/>
      <c r="Z90" s="1648"/>
    </row>
    <row r="91" spans="1:26" s="1005" customFormat="1" ht="14.25">
      <c r="A91" s="349" t="s">
        <v>1358</v>
      </c>
      <c r="B91" s="320" t="s">
        <v>401</v>
      </c>
      <c r="C91" s="353">
        <f ca="1">C92+C96</f>
        <v>249</v>
      </c>
      <c r="D91" s="346" t="s">
        <v>13</v>
      </c>
      <c r="E91" s="903"/>
      <c r="F91" s="902"/>
      <c r="G91" s="902"/>
      <c r="H91" s="362"/>
      <c r="I91" s="1118"/>
      <c r="J91" s="1649"/>
      <c r="K91" s="1644"/>
      <c r="L91" s="1644"/>
      <c r="M91" s="1644"/>
      <c r="N91" s="1644"/>
      <c r="O91" s="1644"/>
      <c r="P91" s="1644"/>
      <c r="Q91" s="1644"/>
      <c r="R91" s="1644"/>
      <c r="S91" s="1644"/>
      <c r="T91" s="1644"/>
      <c r="U91" s="1644"/>
      <c r="V91" s="1644"/>
      <c r="W91" s="1648"/>
      <c r="X91" s="1648"/>
      <c r="Y91" s="1648"/>
      <c r="Z91" s="1648"/>
    </row>
    <row r="92" spans="1:26" s="1005" customFormat="1" ht="24">
      <c r="A92" s="363" t="s">
        <v>1359</v>
      </c>
      <c r="B92" s="344" t="s">
        <v>402</v>
      </c>
      <c r="C92" s="346">
        <f>ROUND(IF(G95="2016年5月1日后购买",C93/(1+'数据-取费表'!C30)+C94+C95,C93+C94+C95),0)</f>
        <v>0</v>
      </c>
      <c r="D92" s="346" t="s">
        <v>13</v>
      </c>
      <c r="E92" s="903"/>
      <c r="F92" s="902"/>
      <c r="G92" s="902"/>
      <c r="H92" s="362"/>
      <c r="I92" s="1118"/>
      <c r="J92" s="1649"/>
      <c r="K92" s="1644"/>
      <c r="L92" s="1644"/>
      <c r="M92" s="1644"/>
      <c r="N92" s="1644"/>
      <c r="O92" s="1644"/>
      <c r="P92" s="1644"/>
      <c r="Q92" s="1644"/>
      <c r="R92" s="1644"/>
      <c r="S92" s="1644"/>
      <c r="T92" s="1644"/>
      <c r="U92" s="1644"/>
      <c r="V92" s="1644"/>
      <c r="W92" s="1648"/>
      <c r="X92" s="1648"/>
      <c r="Y92" s="1648"/>
      <c r="Z92" s="1648"/>
    </row>
    <row r="93" spans="1:26" s="1005" customFormat="1" ht="14.25">
      <c r="A93" s="363" t="s">
        <v>1360</v>
      </c>
      <c r="B93" s="344" t="s">
        <v>403</v>
      </c>
      <c r="C93" s="364"/>
      <c r="D93" s="346" t="s">
        <v>13</v>
      </c>
      <c r="E93" s="365" t="s">
        <v>404</v>
      </c>
      <c r="F93" s="366"/>
      <c r="G93" s="365" t="s">
        <v>405</v>
      </c>
      <c r="H93" s="367"/>
      <c r="I93" s="9"/>
      <c r="J93" s="1644"/>
      <c r="K93" s="1644"/>
      <c r="L93" s="1644"/>
      <c r="M93" s="1644"/>
      <c r="N93" s="1644"/>
      <c r="O93" s="1644"/>
      <c r="P93" s="1644"/>
      <c r="Q93" s="1644"/>
      <c r="R93" s="1644"/>
      <c r="S93" s="1644"/>
      <c r="T93" s="1644"/>
      <c r="U93" s="1644"/>
      <c r="V93" s="1644"/>
      <c r="W93" s="1648"/>
      <c r="X93" s="1648"/>
      <c r="Y93" s="1648"/>
      <c r="Z93" s="1648"/>
    </row>
    <row r="94" spans="1:26" s="1005" customFormat="1" ht="24.75" customHeight="1">
      <c r="A94" s="363" t="s">
        <v>1361</v>
      </c>
      <c r="B94" s="368" t="s">
        <v>406</v>
      </c>
      <c r="C94" s="346">
        <f>IF(F93="购房发票",ROUND(C93*H93*5%,0),0)</f>
        <v>0</v>
      </c>
      <c r="D94" s="369">
        <v>0.05</v>
      </c>
      <c r="E94" s="3565" t="s">
        <v>407</v>
      </c>
      <c r="F94" s="3564"/>
      <c r="G94" s="3564"/>
      <c r="H94" s="3607"/>
      <c r="I94" s="1118"/>
      <c r="J94" s="1649"/>
      <c r="K94" s="1644"/>
      <c r="L94" s="1644"/>
      <c r="M94" s="1644"/>
      <c r="N94" s="1644"/>
      <c r="O94" s="1644"/>
      <c r="P94" s="1644"/>
      <c r="Q94" s="1644"/>
      <c r="R94" s="1644"/>
      <c r="S94" s="1644"/>
      <c r="T94" s="1644"/>
      <c r="U94" s="1644"/>
      <c r="V94" s="1644"/>
      <c r="W94" s="1648"/>
      <c r="X94" s="1648"/>
      <c r="Y94" s="1648"/>
      <c r="Z94" s="1648"/>
    </row>
    <row r="95" spans="1:26" s="1005" customFormat="1" ht="24.75" customHeight="1">
      <c r="A95" s="363" t="s">
        <v>1362</v>
      </c>
      <c r="B95" s="344" t="s">
        <v>408</v>
      </c>
      <c r="C95" s="346">
        <f>ROUND(IF(G95="个人买卖住房",0,IF(G95="2016年5月1日前购买",C93*D95,C93*D95/(1+'数据-取费表'!C42))),0)</f>
        <v>0</v>
      </c>
      <c r="D95" s="370">
        <f>'数据-取费表'!B48+'数据-取费表'!B49</f>
        <v>3.0499999999999999E-2</v>
      </c>
      <c r="E95" s="22" t="s">
        <v>409</v>
      </c>
      <c r="F95" s="371"/>
      <c r="G95" s="372"/>
      <c r="H95" s="910" t="str">
        <f>IF(G95="个人买卖住房","免征印花税"," ")</f>
        <v xml:space="preserve"> </v>
      </c>
      <c r="I95" s="1118"/>
      <c r="J95" s="1649"/>
      <c r="K95" s="1644"/>
      <c r="L95" s="1644"/>
      <c r="M95" s="1644"/>
      <c r="N95" s="1644"/>
      <c r="O95" s="1644"/>
      <c r="P95" s="1644"/>
      <c r="Q95" s="1644"/>
      <c r="R95" s="1644"/>
      <c r="S95" s="1644"/>
      <c r="T95" s="1644"/>
      <c r="U95" s="1644"/>
      <c r="V95" s="1644"/>
      <c r="W95" s="1648"/>
      <c r="X95" s="1648"/>
      <c r="Y95" s="1648"/>
      <c r="Z95" s="1648"/>
    </row>
    <row r="96" spans="1:26" s="1005" customFormat="1" ht="24.75" customHeight="1">
      <c r="A96" s="363" t="s">
        <v>1363</v>
      </c>
      <c r="B96" s="344" t="s">
        <v>410</v>
      </c>
      <c r="C96" s="373">
        <f ca="1">ROUND(D63*D96/(1+'数据-取费表'!C42),0)</f>
        <v>249</v>
      </c>
      <c r="D96" s="374">
        <f>'数据-取费表'!B43</f>
        <v>5.000000000000001E-3</v>
      </c>
      <c r="E96" s="3599" t="s">
        <v>1778</v>
      </c>
      <c r="F96" s="3600"/>
      <c r="G96" s="3600"/>
      <c r="H96" s="3601"/>
      <c r="I96" s="1119"/>
      <c r="J96" s="1650"/>
      <c r="K96" s="1644"/>
      <c r="L96" s="1644"/>
      <c r="M96" s="1644"/>
      <c r="N96" s="1644"/>
      <c r="O96" s="1644"/>
      <c r="P96" s="1644"/>
      <c r="Q96" s="1644"/>
      <c r="R96" s="1644"/>
      <c r="S96" s="1644"/>
      <c r="T96" s="1644"/>
      <c r="U96" s="1644"/>
      <c r="V96" s="1644"/>
      <c r="W96" s="1648"/>
      <c r="X96" s="1648"/>
      <c r="Y96" s="1648"/>
      <c r="Z96" s="1648"/>
    </row>
    <row r="97" spans="1:26" s="1005" customFormat="1" ht="14.25">
      <c r="A97" s="1336" t="s">
        <v>1364</v>
      </c>
      <c r="B97" s="350" t="s">
        <v>411</v>
      </c>
      <c r="C97" s="353">
        <f ca="1">C90-C91</f>
        <v>49451</v>
      </c>
      <c r="D97" s="346" t="s">
        <v>13</v>
      </c>
      <c r="E97" s="903"/>
      <c r="F97" s="902"/>
      <c r="G97" s="902"/>
      <c r="H97" s="362"/>
      <c r="I97" s="1118"/>
      <c r="J97" s="1649"/>
      <c r="K97" s="1644"/>
      <c r="L97" s="1644"/>
      <c r="M97" s="1644"/>
      <c r="N97" s="1644"/>
      <c r="O97" s="1644"/>
      <c r="P97" s="1644"/>
      <c r="Q97" s="1644"/>
      <c r="R97" s="1644"/>
      <c r="S97" s="1644"/>
      <c r="T97" s="1644"/>
      <c r="U97" s="1644"/>
      <c r="V97" s="1644"/>
      <c r="W97" s="1648"/>
      <c r="X97" s="1648"/>
      <c r="Y97" s="1648"/>
      <c r="Z97" s="1648"/>
    </row>
    <row r="98" spans="1:26" s="1005" customFormat="1" ht="24">
      <c r="A98" s="1336" t="s">
        <v>1365</v>
      </c>
      <c r="B98" s="350" t="s">
        <v>412</v>
      </c>
      <c r="C98" s="375">
        <f ca="1">IF(C97&lt;=0,0,C97/C91)</f>
        <v>198.59839357429718</v>
      </c>
      <c r="D98" s="34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2"/>
      <c r="I98" s="1118"/>
      <c r="J98" s="1649"/>
      <c r="K98" s="1644"/>
      <c r="L98" s="1644"/>
      <c r="M98" s="1644"/>
      <c r="N98" s="1644"/>
      <c r="O98" s="1644"/>
      <c r="P98" s="1644"/>
      <c r="Q98" s="1644"/>
      <c r="R98" s="1644"/>
      <c r="S98" s="1644"/>
      <c r="T98" s="1644"/>
      <c r="U98" s="1644"/>
      <c r="V98" s="1644"/>
      <c r="W98" s="1648"/>
      <c r="X98" s="1648"/>
      <c r="Y98" s="1648"/>
      <c r="Z98" s="1648"/>
    </row>
    <row r="99" spans="1:26" s="1005" customFormat="1" ht="24.75" thickBot="1">
      <c r="A99" s="1337" t="s">
        <v>1366</v>
      </c>
      <c r="B99" s="355" t="s">
        <v>413</v>
      </c>
      <c r="C99" s="376">
        <f ca="1">ROUND(IF(C97&lt;=0,0,IF(C98&gt;=200%,C97*60%-C91*35%,IF(C98&gt;=100%,C97*50%-C91*15%,IF(C98&gt;=50%,C97*40%-C91*5%,IF(C98&lt;50%,C97*30%,0))))),0)</f>
        <v>29583</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8"/>
      <c r="J99" s="1649"/>
      <c r="K99" s="1644"/>
      <c r="L99" s="1644"/>
      <c r="M99" s="1644"/>
      <c r="N99" s="1644"/>
      <c r="O99" s="1644"/>
      <c r="P99" s="1644"/>
      <c r="Q99" s="1644"/>
      <c r="R99" s="1644"/>
      <c r="S99" s="1644"/>
      <c r="T99" s="1644"/>
      <c r="U99" s="1644"/>
      <c r="V99" s="1644"/>
      <c r="W99" s="1648"/>
      <c r="X99" s="1648"/>
      <c r="Y99" s="1648"/>
      <c r="Z99" s="1648"/>
    </row>
    <row r="100" spans="1:26" s="1005" customFormat="1" ht="7.5" customHeight="1">
      <c r="A100" s="9"/>
      <c r="B100" s="1120"/>
      <c r="C100" s="9"/>
      <c r="D100" s="9"/>
      <c r="E100" s="1120"/>
      <c r="F100" s="1120"/>
      <c r="G100" s="1120"/>
      <c r="H100" s="1121"/>
      <c r="I100" s="1119"/>
      <c r="J100" s="1650"/>
      <c r="K100" s="1644"/>
      <c r="L100" s="1644"/>
      <c r="M100" s="1644"/>
      <c r="N100" s="1644"/>
      <c r="O100" s="1644"/>
      <c r="P100" s="1644"/>
      <c r="Q100" s="1644"/>
      <c r="R100" s="1644"/>
      <c r="S100" s="1644"/>
      <c r="T100" s="1644"/>
      <c r="U100" s="1644"/>
      <c r="V100" s="1644"/>
      <c r="W100" s="1648"/>
      <c r="X100" s="1648"/>
      <c r="Y100" s="1648"/>
      <c r="Z100" s="1648"/>
    </row>
    <row r="101" spans="1:26" s="1005" customFormat="1" ht="15" thickBot="1">
      <c r="A101" s="3608" t="s">
        <v>414</v>
      </c>
      <c r="B101" s="3609"/>
      <c r="C101" s="3609"/>
      <c r="D101" s="3609"/>
      <c r="E101" s="3609"/>
      <c r="F101" s="3609"/>
      <c r="G101" s="3609"/>
      <c r="H101" s="3609"/>
      <c r="I101" s="9"/>
      <c r="J101" s="1644"/>
      <c r="K101" s="1644"/>
      <c r="L101" s="1644"/>
      <c r="M101" s="1644"/>
      <c r="N101" s="1644"/>
      <c r="O101" s="1644"/>
      <c r="P101" s="1644"/>
      <c r="Q101" s="1644"/>
      <c r="R101" s="1644"/>
      <c r="S101" s="1644"/>
      <c r="T101" s="1644"/>
      <c r="U101" s="1644"/>
      <c r="V101" s="1644"/>
      <c r="W101" s="1648"/>
      <c r="X101" s="1648"/>
      <c r="Y101" s="1648"/>
      <c r="Z101" s="1648"/>
    </row>
    <row r="102" spans="1:26" s="1005" customFormat="1" ht="14.25">
      <c r="A102" s="3583" t="s">
        <v>389</v>
      </c>
      <c r="B102" s="3584"/>
      <c r="C102" s="905"/>
      <c r="D102" s="905" t="s">
        <v>390</v>
      </c>
      <c r="E102" s="359" t="s">
        <v>399</v>
      </c>
      <c r="F102" s="360"/>
      <c r="G102" s="360"/>
      <c r="H102" s="381"/>
      <c r="I102" s="9"/>
      <c r="J102" s="1644"/>
      <c r="K102" s="1644"/>
      <c r="L102" s="1644"/>
      <c r="M102" s="1644"/>
      <c r="N102" s="1644"/>
      <c r="O102" s="1644"/>
      <c r="P102" s="1644"/>
      <c r="Q102" s="1644"/>
      <c r="R102" s="1644"/>
      <c r="S102" s="1644"/>
      <c r="T102" s="1644"/>
      <c r="U102" s="1644"/>
      <c r="V102" s="1644"/>
      <c r="W102" s="1648"/>
      <c r="X102" s="1648"/>
      <c r="Y102" s="1648"/>
      <c r="Z102" s="1648"/>
    </row>
    <row r="103" spans="1:26" s="1005" customFormat="1" ht="14.25">
      <c r="A103" s="349" t="s">
        <v>1352</v>
      </c>
      <c r="B103" s="350" t="s">
        <v>400</v>
      </c>
      <c r="C103" s="353">
        <f ca="1">ROUND(D63/(1+'数据-取费表'!C42),0)</f>
        <v>49700</v>
      </c>
      <c r="D103" s="346" t="s">
        <v>13</v>
      </c>
      <c r="E103" s="903"/>
      <c r="F103" s="902"/>
      <c r="G103" s="902"/>
      <c r="H103" s="382"/>
      <c r="I103" s="9"/>
      <c r="J103" s="1644"/>
      <c r="K103" s="1644"/>
      <c r="L103" s="1644"/>
      <c r="M103" s="1644"/>
      <c r="N103" s="1644"/>
      <c r="O103" s="1644"/>
      <c r="P103" s="1644"/>
      <c r="Q103" s="1644"/>
      <c r="R103" s="1644"/>
      <c r="S103" s="1644"/>
      <c r="T103" s="1644"/>
      <c r="U103" s="1644"/>
      <c r="V103" s="1644"/>
      <c r="W103" s="1648"/>
      <c r="X103" s="1648"/>
      <c r="Y103" s="1648"/>
      <c r="Z103" s="1648"/>
    </row>
    <row r="104" spans="1:26" s="1005" customFormat="1" ht="14.25">
      <c r="A104" s="349" t="s">
        <v>1358</v>
      </c>
      <c r="B104" s="320" t="s">
        <v>401</v>
      </c>
      <c r="C104" s="353">
        <f ca="1">IF(H106="仅含出让金",C105+C108+C109+C110+C111+C112,C105+C109+C110+C111+C112)</f>
        <v>51774</v>
      </c>
      <c r="D104" s="383"/>
      <c r="E104" s="903"/>
      <c r="F104" s="902"/>
      <c r="G104" s="902"/>
      <c r="H104" s="382"/>
      <c r="I104" s="9"/>
      <c r="J104" s="1644"/>
      <c r="K104" s="1644"/>
      <c r="L104" s="1644"/>
      <c r="M104" s="1644"/>
      <c r="N104" s="1644"/>
      <c r="O104" s="1644"/>
      <c r="P104" s="1644"/>
      <c r="Q104" s="1644"/>
      <c r="R104" s="1644"/>
      <c r="S104" s="1644"/>
      <c r="T104" s="1644"/>
      <c r="U104" s="1644"/>
      <c r="V104" s="1644"/>
      <c r="W104" s="1648"/>
      <c r="X104" s="1648"/>
      <c r="Y104" s="1648"/>
      <c r="Z104" s="1648"/>
    </row>
    <row r="105" spans="1:26" s="1005" customFormat="1" ht="14.25">
      <c r="A105" s="363" t="s">
        <v>1359</v>
      </c>
      <c r="B105" s="344" t="s">
        <v>415</v>
      </c>
      <c r="C105" s="373">
        <f>C106+C107</f>
        <v>51525</v>
      </c>
      <c r="D105" s="374"/>
      <c r="E105" s="897"/>
      <c r="F105" s="898"/>
      <c r="G105" s="898"/>
      <c r="H105" s="899"/>
      <c r="I105" s="9"/>
      <c r="J105" s="1644"/>
      <c r="K105" s="1644"/>
      <c r="L105" s="1644"/>
      <c r="M105" s="1644"/>
      <c r="N105" s="1644"/>
      <c r="O105" s="1644"/>
      <c r="P105" s="1644"/>
      <c r="Q105" s="1644"/>
      <c r="R105" s="1644"/>
      <c r="S105" s="1644"/>
      <c r="T105" s="1644"/>
      <c r="U105" s="1644"/>
      <c r="V105" s="1644"/>
      <c r="W105" s="1648"/>
      <c r="X105" s="1648"/>
      <c r="Y105" s="1648"/>
      <c r="Z105" s="1648"/>
    </row>
    <row r="106" spans="1:26" s="1005" customFormat="1" ht="14.25">
      <c r="A106" s="363" t="s">
        <v>1360</v>
      </c>
      <c r="B106" s="344" t="s">
        <v>416</v>
      </c>
      <c r="C106" s="384">
        <v>50000</v>
      </c>
      <c r="D106" s="374"/>
      <c r="E106" s="385" t="s">
        <v>417</v>
      </c>
      <c r="F106" s="898"/>
      <c r="G106" s="386" t="s">
        <v>418</v>
      </c>
      <c r="H106" s="387" t="s">
        <v>4112</v>
      </c>
      <c r="I106" s="9"/>
      <c r="J106" s="1644"/>
      <c r="K106" s="2739" t="s">
        <v>2271</v>
      </c>
      <c r="L106" s="1644"/>
      <c r="M106" s="1644"/>
      <c r="N106" s="1644"/>
      <c r="O106" s="1644"/>
      <c r="P106" s="1644"/>
      <c r="Q106" s="1644"/>
      <c r="R106" s="1644"/>
      <c r="S106" s="1644"/>
      <c r="T106" s="1644"/>
      <c r="U106" s="1644"/>
      <c r="V106" s="1644"/>
      <c r="W106" s="1648"/>
      <c r="X106" s="1648"/>
      <c r="Y106" s="1648"/>
      <c r="Z106" s="1648"/>
    </row>
    <row r="107" spans="1:26" s="1005" customFormat="1" ht="14.25">
      <c r="A107" s="363" t="s">
        <v>1361</v>
      </c>
      <c r="B107" s="344" t="s">
        <v>408</v>
      </c>
      <c r="C107" s="373">
        <f>ROUND(C106*D107,0)</f>
        <v>1525</v>
      </c>
      <c r="D107" s="374">
        <f>'数据-取费表'!B48+'数据-取费表'!B49</f>
        <v>3.0499999999999999E-2</v>
      </c>
      <c r="E107" s="385" t="s">
        <v>419</v>
      </c>
      <c r="F107" s="898"/>
      <c r="G107" s="898"/>
      <c r="H107" s="899"/>
      <c r="I107" s="9"/>
      <c r="J107" s="1644"/>
      <c r="K107" s="1644"/>
      <c r="L107" s="1644"/>
      <c r="M107" s="1644"/>
      <c r="N107" s="1644"/>
      <c r="O107" s="1644"/>
      <c r="P107" s="1644"/>
      <c r="Q107" s="1644"/>
      <c r="R107" s="1644"/>
      <c r="S107" s="1644"/>
      <c r="T107" s="1644"/>
      <c r="U107" s="1644"/>
      <c r="V107" s="1644"/>
      <c r="W107" s="1648"/>
      <c r="X107" s="1648"/>
      <c r="Y107" s="1648"/>
      <c r="Z107" s="1648"/>
    </row>
    <row r="108" spans="1:26" s="1005" customFormat="1" ht="14.25">
      <c r="A108" s="363" t="s">
        <v>1363</v>
      </c>
      <c r="B108" s="344" t="s">
        <v>420</v>
      </c>
      <c r="C108" s="384"/>
      <c r="D108" s="374"/>
      <c r="E108" s="385" t="str">
        <f>IF(H106="-","土地取得成本中已包含该笔费用"," ")</f>
        <v xml:space="preserve"> </v>
      </c>
      <c r="F108" s="898"/>
      <c r="G108" s="3559" t="s">
        <v>2245</v>
      </c>
      <c r="H108" s="3560"/>
      <c r="I108" s="2413"/>
      <c r="J108" s="1644"/>
      <c r="K108" s="2739" t="s">
        <v>2272</v>
      </c>
      <c r="L108" s="1644"/>
      <c r="M108" s="1644"/>
      <c r="N108" s="1644"/>
      <c r="O108" s="1644"/>
      <c r="P108" s="1644"/>
      <c r="Q108" s="1644"/>
      <c r="R108" s="1644"/>
      <c r="S108" s="1644"/>
      <c r="T108" s="1644"/>
      <c r="U108" s="1644"/>
      <c r="V108" s="1644"/>
      <c r="W108" s="1648"/>
      <c r="X108" s="1648"/>
      <c r="Y108" s="1648"/>
      <c r="Z108" s="1648"/>
    </row>
    <row r="109" spans="1:26" s="1005" customFormat="1" ht="24" customHeight="1">
      <c r="A109" s="1338" t="s">
        <v>1367</v>
      </c>
      <c r="B109" s="344" t="s">
        <v>421</v>
      </c>
      <c r="C109" s="373">
        <f>IF(H109="——",IF(F1="现房",'剩余法-现房'!C18,0),I109)</f>
        <v>0</v>
      </c>
      <c r="D109" s="374"/>
      <c r="E109" s="3602" t="s">
        <v>422</v>
      </c>
      <c r="F109" s="3600"/>
      <c r="G109" s="3600"/>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5" customFormat="1" ht="25.5" customHeight="1">
      <c r="A110" s="1338" t="s">
        <v>1368</v>
      </c>
      <c r="B110" s="344" t="s">
        <v>423</v>
      </c>
      <c r="C110" s="373">
        <f>ROUND((C105+C108+C109)*D110,0)</f>
        <v>0</v>
      </c>
      <c r="D110" s="2769">
        <v>0</v>
      </c>
      <c r="E110" s="3602" t="s">
        <v>424</v>
      </c>
      <c r="F110" s="3600"/>
      <c r="G110" s="3600"/>
      <c r="H110" s="3601"/>
      <c r="I110" s="9"/>
      <c r="J110" s="1644"/>
      <c r="K110" s="2740" t="s">
        <v>2273</v>
      </c>
      <c r="L110" s="1644"/>
      <c r="M110" s="1644"/>
      <c r="N110" s="1644"/>
      <c r="O110" s="1644"/>
      <c r="P110" s="1644"/>
      <c r="Q110" s="1644"/>
      <c r="R110" s="1644"/>
      <c r="S110" s="1644"/>
      <c r="T110" s="1644"/>
      <c r="U110" s="1644"/>
      <c r="V110" s="1644"/>
      <c r="W110" s="1648"/>
      <c r="X110" s="1648"/>
      <c r="Y110" s="1648"/>
      <c r="Z110" s="1648"/>
    </row>
    <row r="111" spans="1:26" s="1005" customFormat="1" ht="25.5" customHeight="1">
      <c r="A111" s="1338" t="s">
        <v>1369</v>
      </c>
      <c r="B111" s="344" t="s">
        <v>410</v>
      </c>
      <c r="C111" s="373">
        <f ca="1">ROUND(D63*D111/(1+'数据-取费表'!C42),0)</f>
        <v>249</v>
      </c>
      <c r="D111" s="374">
        <f>'数据-取费表'!B43</f>
        <v>5.000000000000001E-3</v>
      </c>
      <c r="E111" s="3599" t="s">
        <v>1778</v>
      </c>
      <c r="F111" s="3600"/>
      <c r="G111" s="3600"/>
      <c r="H111" s="3601"/>
      <c r="I111" s="9"/>
      <c r="J111" s="1644"/>
      <c r="K111" s="1644"/>
      <c r="L111" s="1644"/>
      <c r="M111" s="1644"/>
      <c r="N111" s="1644"/>
      <c r="O111" s="1644"/>
      <c r="P111" s="1644"/>
      <c r="Q111" s="1644"/>
      <c r="R111" s="1644"/>
      <c r="S111" s="1644"/>
      <c r="T111" s="1644"/>
      <c r="U111" s="1644"/>
      <c r="V111" s="1644"/>
      <c r="W111" s="1648"/>
      <c r="X111" s="1648"/>
      <c r="Y111" s="1648"/>
      <c r="Z111" s="1648"/>
    </row>
    <row r="112" spans="1:26" s="1005" customFormat="1" ht="25.5" customHeight="1">
      <c r="A112" s="1338" t="s">
        <v>1370</v>
      </c>
      <c r="B112" s="344" t="s">
        <v>425</v>
      </c>
      <c r="C112" s="373">
        <f>ROUND(C108*D112,0)</f>
        <v>0</v>
      </c>
      <c r="D112" s="374">
        <v>0.2</v>
      </c>
      <c r="E112" s="3602" t="s">
        <v>1797</v>
      </c>
      <c r="F112" s="3600"/>
      <c r="G112" s="3600"/>
      <c r="H112" s="3601"/>
      <c r="I112" s="9"/>
      <c r="J112" s="1644"/>
      <c r="K112" s="1644"/>
      <c r="L112" s="1644"/>
      <c r="M112" s="1644"/>
      <c r="N112" s="1644"/>
      <c r="O112" s="1644"/>
      <c r="P112" s="1644"/>
      <c r="Q112" s="1644"/>
      <c r="R112" s="1644"/>
      <c r="S112" s="1644"/>
      <c r="T112" s="1644"/>
      <c r="U112" s="1644"/>
      <c r="V112" s="1644"/>
      <c r="W112" s="1648"/>
      <c r="X112" s="1648"/>
      <c r="Y112" s="1648"/>
      <c r="Z112" s="1648"/>
    </row>
    <row r="113" spans="1:26" s="1005" customFormat="1" ht="14.25">
      <c r="A113" s="1336" t="s">
        <v>1364</v>
      </c>
      <c r="B113" s="350" t="s">
        <v>411</v>
      </c>
      <c r="C113" s="353">
        <f ca="1">ROUND(C103-C104,0)</f>
        <v>-2074</v>
      </c>
      <c r="D113" s="346" t="s">
        <v>13</v>
      </c>
      <c r="E113" s="903"/>
      <c r="F113" s="902"/>
      <c r="G113" s="902"/>
      <c r="H113" s="382"/>
      <c r="I113" s="9"/>
      <c r="J113" s="1644"/>
      <c r="K113" s="1644"/>
      <c r="L113" s="1644"/>
      <c r="M113" s="1644"/>
      <c r="N113" s="1644"/>
      <c r="O113" s="1644"/>
      <c r="P113" s="1644"/>
      <c r="Q113" s="1644"/>
      <c r="R113" s="1644"/>
      <c r="S113" s="1644"/>
      <c r="T113" s="1644"/>
      <c r="U113" s="1644"/>
      <c r="V113" s="1644"/>
      <c r="W113" s="1648"/>
      <c r="X113" s="1648"/>
      <c r="Y113" s="1648"/>
      <c r="Z113" s="1648"/>
    </row>
    <row r="114" spans="1:26" s="1005" customFormat="1" ht="24">
      <c r="A114" s="1336" t="s">
        <v>1365</v>
      </c>
      <c r="B114" s="350" t="s">
        <v>412</v>
      </c>
      <c r="C114" s="375">
        <f ca="1">IF(C113&lt;=0,0,C113/C104)</f>
        <v>0</v>
      </c>
      <c r="D114" s="346"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2"/>
      <c r="I114" s="9"/>
      <c r="J114" s="1644"/>
      <c r="K114" s="1644"/>
      <c r="L114" s="1644"/>
      <c r="M114" s="1644"/>
      <c r="N114" s="1644"/>
      <c r="O114" s="1644"/>
      <c r="P114" s="1644"/>
      <c r="Q114" s="1644"/>
      <c r="R114" s="1644"/>
      <c r="S114" s="1644"/>
      <c r="T114" s="1644"/>
      <c r="U114" s="1644"/>
      <c r="V114" s="1644"/>
      <c r="W114" s="1648"/>
      <c r="X114" s="1648"/>
      <c r="Y114" s="1648"/>
      <c r="Z114" s="1648"/>
    </row>
    <row r="115" spans="1:26" s="1005" customFormat="1" ht="24.75" thickBot="1">
      <c r="A115" s="1337" t="s">
        <v>1366</v>
      </c>
      <c r="B115" s="355" t="s">
        <v>413</v>
      </c>
      <c r="C115" s="376">
        <f ca="1">ROUND(IF(C113&lt;=0,0,IF(C114&gt;=200%,C113*60%-C104*35%,IF(C114&gt;=100%,C113*50%-C104*15%,IF(C114&gt;=50%,C113*40%-C104*5%,IF(C114&lt;50%,C113*30%,0))))),0)</f>
        <v>0</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9"/>
      <c r="G115" s="379"/>
      <c r="H115" s="388"/>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5" customFormat="1" ht="21.75" customHeight="1">
      <c r="K185" s="1651"/>
      <c r="L185" s="1651"/>
      <c r="M185" s="1651"/>
      <c r="N185" s="1651"/>
      <c r="O185" s="1651"/>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1" customWidth="1"/>
    <col min="2" max="2" width="10.75" style="1371" customWidth="1"/>
    <col min="3" max="4" width="11.625" style="1371" customWidth="1"/>
    <col min="5" max="5" width="6.625" style="1371" customWidth="1"/>
    <col min="6" max="16384" width="9" style="1371"/>
  </cols>
  <sheetData>
    <row r="36" spans="1:9">
      <c r="A36" s="1370" t="s">
        <v>1425</v>
      </c>
      <c r="B36" s="1370" t="s">
        <v>1426</v>
      </c>
    </row>
    <row r="37" spans="1:9" ht="28.5" customHeight="1">
      <c r="A37" s="1370"/>
      <c r="B37" s="3472" t="str">
        <f>项目基本情况!B1</f>
        <v>北京市北京大兴国际机场临空经济区0105街区DX16-0105-6018地块F1住宅混合公建用地出让国有建设用地出让国有建设用地使用权抵押价格预评估</v>
      </c>
      <c r="C37" s="3472"/>
      <c r="D37" s="3472"/>
      <c r="E37" s="3472"/>
      <c r="F37" s="3472"/>
      <c r="G37" s="3472"/>
      <c r="H37" s="3472"/>
      <c r="I37" s="3472"/>
    </row>
    <row r="38" spans="1:9">
      <c r="A38" s="1372"/>
      <c r="B38" s="1372"/>
    </row>
    <row r="39" spans="1:9">
      <c r="A39" s="1370" t="s">
        <v>1425</v>
      </c>
      <c r="B39" s="1370" t="s">
        <v>1562</v>
      </c>
    </row>
    <row r="40" spans="1:9">
      <c r="A40" s="1370"/>
      <c r="B40" s="1370" t="str">
        <f>项目基本情况!B5</f>
        <v>华夏</v>
      </c>
    </row>
    <row r="41" spans="1:9">
      <c r="A41" s="1370"/>
      <c r="B41" s="1370"/>
    </row>
    <row r="42" spans="1:9">
      <c r="A42" s="1370" t="s">
        <v>1425</v>
      </c>
      <c r="B42" s="1370" t="s">
        <v>1563</v>
      </c>
    </row>
    <row r="43" spans="1:9">
      <c r="A43" s="1370"/>
      <c r="B43" s="1370" t="s">
        <v>1427</v>
      </c>
    </row>
    <row r="44" spans="1:9">
      <c r="A44" s="1370"/>
      <c r="B44" s="1370"/>
    </row>
    <row r="45" spans="1:9">
      <c r="A45" s="1370" t="s">
        <v>1425</v>
      </c>
      <c r="B45" s="1370" t="s">
        <v>1561</v>
      </c>
    </row>
    <row r="46" spans="1:9" s="1370" customFormat="1" ht="12.75">
      <c r="B46" s="1370" t="str">
        <f>项目基本情况!K4</f>
        <v>吴薇、郑燚</v>
      </c>
    </row>
    <row r="47" spans="1:9">
      <c r="A47" s="1370"/>
      <c r="B47" s="1370"/>
    </row>
    <row r="48" spans="1:9">
      <c r="A48" s="1370" t="s">
        <v>1425</v>
      </c>
      <c r="B48" s="1370" t="s">
        <v>1564</v>
      </c>
    </row>
    <row r="49" spans="2:2">
      <c r="B49" s="137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C258"/>
  <sheetViews>
    <sheetView view="pageBreakPreview" topLeftCell="A37" zoomScale="80" zoomScaleNormal="95" zoomScaleSheetLayoutView="80" workbookViewId="0">
      <selection activeCell="G52" sqref="G52"/>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0.25" style="1135" customWidth="1"/>
    <col min="13" max="13" width="12.25" style="1129" customWidth="1"/>
    <col min="14" max="14" width="14.125" style="1129" customWidth="1"/>
    <col min="15"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465</v>
      </c>
      <c r="B1" s="452"/>
      <c r="C1" s="453" t="s">
        <v>466</v>
      </c>
      <c r="D1" s="454" t="s">
        <v>467</v>
      </c>
      <c r="E1" s="455"/>
      <c r="F1" s="396"/>
      <c r="G1" s="455"/>
      <c r="H1" s="455"/>
      <c r="I1" s="455"/>
      <c r="J1" s="455"/>
      <c r="K1" s="456"/>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427</v>
      </c>
      <c r="B2" s="457">
        <f>F67</f>
        <v>48924</v>
      </c>
      <c r="C2" s="2721"/>
      <c r="D2" s="2721"/>
      <c r="E2" s="2723"/>
      <c r="F2" s="2724"/>
      <c r="G2" s="2723"/>
      <c r="H2" s="2723"/>
      <c r="I2" s="2723"/>
      <c r="J2" s="2723"/>
      <c r="K2" s="272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c r="A3" s="1167" t="s">
        <v>1217</v>
      </c>
      <c r="B3" s="459">
        <f>ROUND(B2*10000/'数据-汇总表'!E3,0)</f>
        <v>8437</v>
      </c>
      <c r="C3" s="2722"/>
      <c r="D3" s="2726"/>
      <c r="E3" s="2722"/>
      <c r="F3" s="2722"/>
      <c r="G3" s="2723"/>
      <c r="H3" s="2723"/>
      <c r="I3" s="2723"/>
      <c r="J3" s="2723"/>
      <c r="K3" s="2725"/>
      <c r="L3" s="1736"/>
      <c r="M3" s="1737"/>
      <c r="N3" s="1737"/>
      <c r="O3" s="1737"/>
      <c r="P3" s="1737"/>
      <c r="Q3" s="1737"/>
      <c r="R3" s="1737"/>
      <c r="S3" s="1737"/>
      <c r="T3" s="1737"/>
      <c r="U3" s="1737"/>
      <c r="V3" s="1737"/>
      <c r="W3" s="1737"/>
      <c r="X3" s="1737"/>
      <c r="Y3" s="1737"/>
      <c r="Z3" s="1737"/>
      <c r="AA3" s="1737"/>
      <c r="AB3" s="2714"/>
      <c r="AC3" s="1671"/>
    </row>
    <row r="4" spans="1:29" s="1128" customFormat="1" ht="28.5" customHeight="1">
      <c r="A4" s="460" t="s">
        <v>469</v>
      </c>
      <c r="B4" s="395">
        <f>IF(B48="单位面积地价",C50,ROUND(B2*10000/'数据-汇总表'!D3,0))</f>
        <v>25066</v>
      </c>
      <c r="C4" s="2722"/>
      <c r="D4" s="2726"/>
      <c r="E4" s="2722"/>
      <c r="F4" s="2722"/>
      <c r="G4" s="2723"/>
      <c r="H4" s="2723"/>
      <c r="I4" s="2723"/>
      <c r="J4" s="2723"/>
      <c r="K4" s="2725"/>
      <c r="L4" s="1736"/>
      <c r="M4" s="1737"/>
      <c r="N4" s="1737"/>
      <c r="O4" s="1737"/>
      <c r="P4" s="1737"/>
      <c r="Q4" s="1737"/>
      <c r="R4" s="1737"/>
      <c r="S4" s="1737"/>
      <c r="T4" s="1737"/>
      <c r="U4" s="1737"/>
      <c r="V4" s="1737"/>
      <c r="W4" s="1737"/>
      <c r="X4" s="1737"/>
      <c r="Y4" s="1737"/>
      <c r="Z4" s="1737"/>
      <c r="AA4" s="1737"/>
      <c r="AB4" s="1737"/>
      <c r="AC4" s="1671"/>
    </row>
    <row r="5" spans="1:29" s="1128" customFormat="1" ht="28.5" customHeight="1" thickBot="1">
      <c r="A5" s="397"/>
      <c r="B5" s="398">
        <f>ROUND(B2/('数据-汇总表'!D3/666.67),0)</f>
        <v>1671</v>
      </c>
      <c r="C5" s="399" t="s">
        <v>429</v>
      </c>
      <c r="D5" s="2722"/>
      <c r="E5" s="3443" t="s">
        <v>4313</v>
      </c>
      <c r="F5" s="2722"/>
      <c r="G5" s="3437" t="s">
        <v>4315</v>
      </c>
      <c r="H5" s="2723"/>
      <c r="I5" s="2723" t="s">
        <v>4316</v>
      </c>
      <c r="J5" s="2723"/>
      <c r="K5" s="2725"/>
      <c r="L5" s="1736"/>
      <c r="M5" s="1737"/>
      <c r="N5" s="1737"/>
      <c r="O5" s="1737"/>
      <c r="P5" s="1737"/>
      <c r="Q5" s="1737"/>
      <c r="R5" s="1737"/>
      <c r="S5" s="1737"/>
      <c r="T5" s="1737"/>
      <c r="U5" s="1737"/>
      <c r="V5" s="1737"/>
      <c r="W5" s="1737"/>
      <c r="X5" s="1737"/>
      <c r="Y5" s="1737"/>
      <c r="Z5" s="1737"/>
      <c r="AA5" s="1737"/>
      <c r="AB5" s="1737"/>
      <c r="AC5" s="1671"/>
    </row>
    <row r="6" spans="1:29" ht="20.25">
      <c r="A6" s="461" t="s">
        <v>470</v>
      </c>
      <c r="B6" s="462"/>
      <c r="C6" s="3648" t="s">
        <v>471</v>
      </c>
      <c r="D6" s="3649"/>
      <c r="E6" s="3648" t="s">
        <v>472</v>
      </c>
      <c r="F6" s="3649"/>
      <c r="G6" s="3648" t="s">
        <v>473</v>
      </c>
      <c r="H6" s="3649"/>
      <c r="I6" s="3648" t="s">
        <v>474</v>
      </c>
      <c r="J6" s="3649"/>
      <c r="K6" s="463" t="s">
        <v>475</v>
      </c>
      <c r="L6" s="1738"/>
      <c r="M6" s="1737"/>
      <c r="N6" s="1737"/>
      <c r="O6" s="1739"/>
      <c r="P6" s="3650" t="s">
        <v>476</v>
      </c>
      <c r="Q6" s="3651"/>
      <c r="R6" s="3656" t="s">
        <v>472</v>
      </c>
      <c r="S6" s="3657"/>
      <c r="T6" s="3656" t="s">
        <v>473</v>
      </c>
      <c r="U6" s="3657"/>
      <c r="V6" s="3643" t="s">
        <v>474</v>
      </c>
      <c r="W6" s="3643"/>
      <c r="X6" s="1299"/>
      <c r="Y6" s="3656" t="s">
        <v>476</v>
      </c>
      <c r="Z6" s="3657"/>
      <c r="AA6" s="3645" t="s">
        <v>472</v>
      </c>
      <c r="AB6" s="3646" t="s">
        <v>473</v>
      </c>
      <c r="AC6" s="3645" t="s">
        <v>474</v>
      </c>
    </row>
    <row r="7" spans="1:29" ht="78" customHeight="1">
      <c r="A7" s="464"/>
      <c r="B7" s="465"/>
      <c r="C7" s="3666" t="str">
        <f>项目基本情况!F10</f>
        <v>北京大兴国际机场临空经济区0105街区DX16-0105-6018地块F1住宅混合公建用地出让国有建设用地</v>
      </c>
      <c r="D7" s="3665"/>
      <c r="E7" s="3664" t="str">
        <f>土地案例!A2</f>
        <v>北京大兴国际机场临空经济区0105街区DX16-0105-6037地块F1住宅混合公建用地</v>
      </c>
      <c r="F7" s="3665"/>
      <c r="G7" s="3664" t="str">
        <f>土地案例!A3</f>
        <v>北京市房山区阎村镇FS07-0104-0077地块R2二类居住用地</v>
      </c>
      <c r="H7" s="3665"/>
      <c r="I7" s="3664" t="str">
        <f>土地案例!A4</f>
        <v>北京市房山区城关中心区FS00-0230-0018地块R2二类居住用地</v>
      </c>
      <c r="J7" s="3665"/>
      <c r="K7" s="463"/>
      <c r="L7" s="1738"/>
      <c r="M7" s="1737"/>
      <c r="N7" s="1737"/>
      <c r="O7" s="1739"/>
      <c r="P7" s="3652"/>
      <c r="Q7" s="3653"/>
      <c r="R7" s="3658"/>
      <c r="S7" s="3659"/>
      <c r="T7" s="3658"/>
      <c r="U7" s="3659"/>
      <c r="V7" s="3643"/>
      <c r="W7" s="3643"/>
      <c r="X7" s="1299"/>
      <c r="Y7" s="3658"/>
      <c r="Z7" s="3659"/>
      <c r="AA7" s="3646"/>
      <c r="AB7" s="3646"/>
      <c r="AC7" s="3646"/>
    </row>
    <row r="8" spans="1:29" ht="21" thickBot="1">
      <c r="A8" s="464"/>
      <c r="B8" s="465"/>
      <c r="C8" s="3667" t="s">
        <v>2189</v>
      </c>
      <c r="D8" s="3668"/>
      <c r="E8" s="3667" t="s">
        <v>2189</v>
      </c>
      <c r="F8" s="3668"/>
      <c r="G8" s="3662" t="s">
        <v>2189</v>
      </c>
      <c r="H8" s="3663"/>
      <c r="I8" s="3662" t="s">
        <v>2189</v>
      </c>
      <c r="J8" s="3663"/>
      <c r="K8" s="463" t="s">
        <v>477</v>
      </c>
      <c r="L8" s="1738"/>
      <c r="M8" s="1737"/>
      <c r="N8" s="1737"/>
      <c r="O8" s="1739"/>
      <c r="P8" s="3654"/>
      <c r="Q8" s="3655"/>
      <c r="R8" s="3658"/>
      <c r="S8" s="3659"/>
      <c r="T8" s="3660"/>
      <c r="U8" s="3661"/>
      <c r="V8" s="3643"/>
      <c r="W8" s="3643"/>
      <c r="X8" s="1299"/>
      <c r="Y8" s="3660"/>
      <c r="Z8" s="3661"/>
      <c r="AA8" s="3647"/>
      <c r="AB8" s="3647"/>
      <c r="AC8" s="3647"/>
    </row>
    <row r="9" spans="1:29" s="1057" customFormat="1" ht="21" thickBot="1">
      <c r="A9" s="2205"/>
      <c r="B9" s="2212" t="s">
        <v>478</v>
      </c>
      <c r="C9" s="2204">
        <f>'数据-取费表'!B2</f>
        <v>45617</v>
      </c>
      <c r="D9" s="469">
        <v>100</v>
      </c>
      <c r="E9" s="470" t="str">
        <f>土地案例!AG2</f>
        <v>2023-12-26</v>
      </c>
      <c r="F9" s="471">
        <f>SUMIF(71:71,YEAR(E9)&amp;"-"&amp;INT((MONTH(E9)+2)/3),72:72)</f>
        <v>100</v>
      </c>
      <c r="G9" s="472" t="str">
        <f>土地案例!AG3</f>
        <v>2023-09-26</v>
      </c>
      <c r="H9" s="469">
        <f>SUMIF(71:71,YEAR(G9)&amp;"-"&amp;INT((MONTH(G9)+2)/3),72:72)</f>
        <v>100</v>
      </c>
      <c r="I9" s="472" t="str">
        <f>土地案例!AG4</f>
        <v>2023-06-30</v>
      </c>
      <c r="J9" s="469">
        <f>SUMIF(71:71,YEAR(I9)&amp;"-"&amp;INT((MONTH(I9)+2)/3),72:72)</f>
        <v>100</v>
      </c>
      <c r="K9" s="88"/>
      <c r="L9" s="1740"/>
      <c r="M9" s="1737"/>
      <c r="N9" s="1737"/>
      <c r="O9" s="1637"/>
      <c r="P9" s="3673" t="s">
        <v>479</v>
      </c>
      <c r="Q9" s="3675"/>
      <c r="R9" s="1300" t="s">
        <v>5</v>
      </c>
      <c r="S9" s="1301">
        <f t="shared" ref="S9:S17" si="0">F9</f>
        <v>100</v>
      </c>
      <c r="T9" s="1300" t="s">
        <v>5</v>
      </c>
      <c r="U9" s="1301">
        <f t="shared" ref="U9:U17" si="1">H9</f>
        <v>100</v>
      </c>
      <c r="V9" s="1300" t="s">
        <v>5</v>
      </c>
      <c r="W9" s="1301">
        <f t="shared" ref="W9:W17" si="2">J9</f>
        <v>100</v>
      </c>
      <c r="X9" s="1302"/>
      <c r="Y9" s="3673" t="s">
        <v>479</v>
      </c>
      <c r="Z9" s="3674"/>
      <c r="AA9" s="994">
        <f>D9/F9</f>
        <v>1</v>
      </c>
      <c r="AB9" s="994">
        <f>D9/H9</f>
        <v>1</v>
      </c>
      <c r="AC9" s="994">
        <f>D9/J9</f>
        <v>1</v>
      </c>
    </row>
    <row r="10" spans="1:29" s="1057" customFormat="1" ht="21" thickBot="1">
      <c r="A10" s="2206"/>
      <c r="B10" s="2213" t="s">
        <v>480</v>
      </c>
      <c r="C10" s="788" t="s">
        <v>481</v>
      </c>
      <c r="D10" s="469">
        <v>100</v>
      </c>
      <c r="E10" s="788" t="s">
        <v>481</v>
      </c>
      <c r="F10" s="471">
        <f>SUMIF(74:74,E10,75:75)-SUMIF(74:74,C10,75:75)+100</f>
        <v>100</v>
      </c>
      <c r="G10" s="788" t="s">
        <v>481</v>
      </c>
      <c r="H10" s="469">
        <f>SUMIF(74:74,G10,75:75)-SUMIF(74:74,C10,75:75)+100</f>
        <v>100</v>
      </c>
      <c r="I10" s="788" t="s">
        <v>481</v>
      </c>
      <c r="J10" s="469">
        <f>SUMIF(74:74,I10,75:75)-SUMIF(74:74,C10,75:75)+100</f>
        <v>100</v>
      </c>
      <c r="K10" s="88"/>
      <c r="L10" s="1740"/>
      <c r="M10" s="1737"/>
      <c r="N10" s="1737"/>
      <c r="O10" s="1637"/>
      <c r="P10" s="3673" t="s">
        <v>482</v>
      </c>
      <c r="Q10" s="3674"/>
      <c r="R10" s="1300" t="s">
        <v>5</v>
      </c>
      <c r="S10" s="1301">
        <f t="shared" si="0"/>
        <v>100</v>
      </c>
      <c r="T10" s="1300" t="s">
        <v>5</v>
      </c>
      <c r="U10" s="1301">
        <f t="shared" si="1"/>
        <v>100</v>
      </c>
      <c r="V10" s="1300" t="s">
        <v>5</v>
      </c>
      <c r="W10" s="1301">
        <f t="shared" si="2"/>
        <v>100</v>
      </c>
      <c r="X10" s="1302"/>
      <c r="Y10" s="3673" t="s">
        <v>482</v>
      </c>
      <c r="Z10" s="3674"/>
      <c r="AA10" s="994">
        <f t="shared" ref="AA10:AA47" si="3">D10/F10</f>
        <v>1</v>
      </c>
      <c r="AB10" s="994">
        <f t="shared" ref="AB10:AB47" si="4">D10/H10</f>
        <v>1</v>
      </c>
      <c r="AC10" s="994">
        <f t="shared" ref="AC10:AC47" si="5">D10/J10</f>
        <v>1</v>
      </c>
    </row>
    <row r="11" spans="1:29" s="1057" customFormat="1" ht="20.25">
      <c r="A11" s="2207"/>
      <c r="B11" s="2214" t="s">
        <v>2036</v>
      </c>
      <c r="C11" s="3793" t="s">
        <v>4012</v>
      </c>
      <c r="D11" s="154">
        <v>100</v>
      </c>
      <c r="E11" s="3794" t="s">
        <v>4014</v>
      </c>
      <c r="F11" s="154">
        <f>SUMIF(76:76,E11,77:77)-SUMIF(76:76,C11,77:77)+100</f>
        <v>100</v>
      </c>
      <c r="G11" s="3794" t="s">
        <v>851</v>
      </c>
      <c r="H11" s="154">
        <f>SUMIF(76:76,G11,77:77)-SUMIF(76:76,C11,77:77)+100</f>
        <v>101</v>
      </c>
      <c r="I11" s="3794" t="s">
        <v>851</v>
      </c>
      <c r="J11" s="154">
        <f>SUMIF(76:76,I11,77:77)-SUMIF(76:76,C11,77:77)+100</f>
        <v>101</v>
      </c>
      <c r="K11" s="88"/>
      <c r="L11" s="1740"/>
      <c r="M11" s="1737"/>
      <c r="N11" s="1737"/>
      <c r="O11" s="1741"/>
      <c r="P11" s="3642" t="s">
        <v>484</v>
      </c>
      <c r="Q11" s="815" t="str">
        <f t="shared" ref="Q11:Q17" si="6">B11</f>
        <v>用途</v>
      </c>
      <c r="R11" s="1300" t="s">
        <v>5</v>
      </c>
      <c r="S11" s="1301">
        <f t="shared" si="0"/>
        <v>100</v>
      </c>
      <c r="T11" s="1300" t="s">
        <v>5</v>
      </c>
      <c r="U11" s="1301">
        <f t="shared" si="1"/>
        <v>101</v>
      </c>
      <c r="V11" s="1300" t="s">
        <v>5</v>
      </c>
      <c r="W11" s="1301">
        <f t="shared" si="2"/>
        <v>101</v>
      </c>
      <c r="X11" s="1302"/>
      <c r="Y11" s="3590" t="s">
        <v>485</v>
      </c>
      <c r="Z11" s="994" t="str">
        <f t="shared" ref="Z11:Z17" si="7">Q11</f>
        <v>用途</v>
      </c>
      <c r="AA11" s="994">
        <f t="shared" si="3"/>
        <v>1</v>
      </c>
      <c r="AB11" s="994">
        <f t="shared" si="4"/>
        <v>0.99009900990099009</v>
      </c>
      <c r="AC11" s="994">
        <f t="shared" si="5"/>
        <v>0.99009900990099009</v>
      </c>
    </row>
    <row r="12" spans="1:29" s="1130" customFormat="1" ht="27">
      <c r="A12" s="2208"/>
      <c r="B12" s="2213" t="s">
        <v>2037</v>
      </c>
      <c r="C12" s="830"/>
      <c r="D12" s="233">
        <v>100</v>
      </c>
      <c r="E12" s="477"/>
      <c r="F12" s="233">
        <f>ROUND(100/'数据-取费表'!G16,0)</f>
        <v>100</v>
      </c>
      <c r="G12" s="478"/>
      <c r="H12" s="233">
        <f>ROUND(100/'数据-取费表'!G16,0)</f>
        <v>100</v>
      </c>
      <c r="I12" s="478"/>
      <c r="J12" s="233">
        <f>ROUND(100/'数据-取费表'!G16,0)</f>
        <v>100</v>
      </c>
      <c r="K12" s="479"/>
      <c r="L12" s="1742"/>
      <c r="M12" s="1737"/>
      <c r="N12" s="1737"/>
      <c r="O12" s="1743"/>
      <c r="P12" s="3642"/>
      <c r="Q12" s="815" t="str">
        <f t="shared" si="6"/>
        <v>土地使用年限（年）</v>
      </c>
      <c r="R12" s="1300" t="s">
        <v>5</v>
      </c>
      <c r="S12" s="1301">
        <f t="shared" si="0"/>
        <v>100</v>
      </c>
      <c r="T12" s="1300" t="s">
        <v>5</v>
      </c>
      <c r="U12" s="1301">
        <f t="shared" si="1"/>
        <v>100</v>
      </c>
      <c r="V12" s="1300" t="s">
        <v>5</v>
      </c>
      <c r="W12" s="1301">
        <f t="shared" si="2"/>
        <v>100</v>
      </c>
      <c r="X12" s="1302"/>
      <c r="Y12" s="3590"/>
      <c r="Z12" s="994" t="str">
        <f t="shared" si="7"/>
        <v>土地使用年限（年）</v>
      </c>
      <c r="AA12" s="994">
        <f t="shared" si="3"/>
        <v>1</v>
      </c>
      <c r="AB12" s="994">
        <f t="shared" si="4"/>
        <v>1</v>
      </c>
      <c r="AC12" s="994">
        <f t="shared" si="5"/>
        <v>1</v>
      </c>
    </row>
    <row r="13" spans="1:29" ht="20.25">
      <c r="A13" s="2209"/>
      <c r="B13" s="2213" t="s">
        <v>2038</v>
      </c>
      <c r="C13" s="482">
        <f>'数据-汇总表'!I7</f>
        <v>2</v>
      </c>
      <c r="D13" s="233">
        <v>100</v>
      </c>
      <c r="E13" s="481">
        <f>土地案例!T2</f>
        <v>2</v>
      </c>
      <c r="F13" s="233">
        <f>LOOKUP(E13,81:81,82:82)-LOOKUP(C13,81:81,82:82)+100</f>
        <v>100</v>
      </c>
      <c r="G13" s="482">
        <f>土地案例!T3</f>
        <v>1.5</v>
      </c>
      <c r="H13" s="233">
        <f>LOOKUP(G13,81:81,82:82)-LOOKUP(C13,81:81,82:82)+100</f>
        <v>101</v>
      </c>
      <c r="I13" s="481">
        <f>土地案例!T4</f>
        <v>2.8</v>
      </c>
      <c r="J13" s="233">
        <f>LOOKUP(I13,81:81,82:82)-LOOKUP(C13,81:81,82:82)+100</f>
        <v>100</v>
      </c>
      <c r="K13" s="483">
        <v>1</v>
      </c>
      <c r="L13" s="1744"/>
      <c r="M13" s="1737"/>
      <c r="N13" s="1737"/>
      <c r="O13" s="1745"/>
      <c r="P13" s="3642"/>
      <c r="Q13" s="815" t="str">
        <f t="shared" si="6"/>
        <v>容积率</v>
      </c>
      <c r="R13" s="1300" t="s">
        <v>5</v>
      </c>
      <c r="S13" s="1301">
        <f t="shared" si="0"/>
        <v>100</v>
      </c>
      <c r="T13" s="1300" t="s">
        <v>5</v>
      </c>
      <c r="U13" s="1301">
        <f t="shared" si="1"/>
        <v>101</v>
      </c>
      <c r="V13" s="1300" t="s">
        <v>5</v>
      </c>
      <c r="W13" s="1301">
        <f t="shared" si="2"/>
        <v>100</v>
      </c>
      <c r="X13" s="1302"/>
      <c r="Y13" s="3590"/>
      <c r="Z13" s="994" t="str">
        <f t="shared" si="7"/>
        <v>容积率</v>
      </c>
      <c r="AA13" s="994">
        <f t="shared" si="3"/>
        <v>1</v>
      </c>
      <c r="AB13" s="994">
        <f t="shared" si="4"/>
        <v>0.99009900990099009</v>
      </c>
      <c r="AC13" s="994">
        <f t="shared" si="5"/>
        <v>1</v>
      </c>
    </row>
    <row r="14" spans="1:29" s="1057" customFormat="1" ht="20.25" hidden="1">
      <c r="A14" s="2206"/>
      <c r="B14" s="2215" t="s">
        <v>2039</v>
      </c>
      <c r="C14" s="2202"/>
      <c r="D14" s="486">
        <v>100</v>
      </c>
      <c r="E14" s="1163"/>
      <c r="F14" s="233">
        <f>SUMIF(83:83,E14,84:84)-SUMIF(83:83,C14,84:84)+100</f>
        <v>100</v>
      </c>
      <c r="G14" s="478"/>
      <c r="H14" s="233">
        <f>SUMIF(83:83,G14,84:84)-SUMIF(83:83,C14,84:84)+100</f>
        <v>100</v>
      </c>
      <c r="I14" s="477"/>
      <c r="J14" s="233">
        <f>SUMIF(83:83,I14,84:84)-SUMIF(83:83,C14,84:84)+100</f>
        <v>100</v>
      </c>
      <c r="K14" s="479"/>
      <c r="L14" s="1740"/>
      <c r="M14" s="1737"/>
      <c r="N14" s="1737"/>
      <c r="O14" s="1741"/>
      <c r="P14" s="3642"/>
      <c r="Q14" s="815" t="str">
        <f t="shared" si="6"/>
        <v>配建</v>
      </c>
      <c r="R14" s="1300" t="s">
        <v>5</v>
      </c>
      <c r="S14" s="1301">
        <f t="shared" si="0"/>
        <v>100</v>
      </c>
      <c r="T14" s="1300" t="s">
        <v>5</v>
      </c>
      <c r="U14" s="1301">
        <f t="shared" si="1"/>
        <v>100</v>
      </c>
      <c r="V14" s="1300" t="s">
        <v>5</v>
      </c>
      <c r="W14" s="1301">
        <f t="shared" si="2"/>
        <v>100</v>
      </c>
      <c r="X14" s="1302"/>
      <c r="Y14" s="3590"/>
      <c r="Z14" s="994" t="str">
        <f t="shared" si="7"/>
        <v>配建</v>
      </c>
      <c r="AA14" s="994">
        <f>D14/F14</f>
        <v>1</v>
      </c>
      <c r="AB14" s="994">
        <f>D14/H14</f>
        <v>1</v>
      </c>
      <c r="AC14" s="994">
        <f>D14/J14</f>
        <v>1</v>
      </c>
    </row>
    <row r="15" spans="1:29" ht="21" thickBot="1">
      <c r="A15" s="2210"/>
      <c r="B15" s="3404" t="s">
        <v>4104</v>
      </c>
      <c r="C15" s="3790">
        <f>土地案例!BC31</f>
        <v>30000</v>
      </c>
      <c r="D15" s="488">
        <v>100</v>
      </c>
      <c r="E15" s="3791">
        <f>土地案例!BC2</f>
        <v>30000</v>
      </c>
      <c r="F15" s="233">
        <f>SUMIF(85:85,E15,86:86)-SUMIF(85:85,C15,86:86)+100</f>
        <v>100</v>
      </c>
      <c r="G15" s="3792">
        <f>土地案例!BC3</f>
        <v>37000</v>
      </c>
      <c r="H15" s="488">
        <f>SUMIF(85:85,G15,86:86)-SUMIF(85:85,C15,86:86)+100</f>
        <v>101</v>
      </c>
      <c r="I15" s="3792">
        <f>土地案例!BC4</f>
        <v>27000</v>
      </c>
      <c r="J15" s="488">
        <f>SUMIF(85:85,I15,86:86)-SUMIF(85:85,C15,86:86)+100</f>
        <v>99</v>
      </c>
      <c r="K15" s="479"/>
      <c r="L15" s="1746"/>
      <c r="M15" s="1737"/>
      <c r="N15" s="1737"/>
      <c r="O15" s="1745"/>
      <c r="P15" s="3642"/>
      <c r="Q15" s="815" t="str">
        <f t="shared" si="6"/>
        <v>限价</v>
      </c>
      <c r="R15" s="1300" t="s">
        <v>5</v>
      </c>
      <c r="S15" s="1301">
        <f t="shared" si="0"/>
        <v>100</v>
      </c>
      <c r="T15" s="1300" t="s">
        <v>5</v>
      </c>
      <c r="U15" s="1301">
        <f t="shared" si="1"/>
        <v>101</v>
      </c>
      <c r="V15" s="1300" t="s">
        <v>5</v>
      </c>
      <c r="W15" s="1301">
        <f t="shared" si="2"/>
        <v>99</v>
      </c>
      <c r="X15" s="1302"/>
      <c r="Y15" s="3590"/>
      <c r="Z15" s="994" t="str">
        <f t="shared" si="7"/>
        <v>限价</v>
      </c>
      <c r="AA15" s="994">
        <f>D15/F15</f>
        <v>1</v>
      </c>
      <c r="AB15" s="994">
        <f>D15/H15</f>
        <v>0.99009900990099009</v>
      </c>
      <c r="AC15" s="994">
        <f>D15/J15</f>
        <v>1.0101010101010102</v>
      </c>
    </row>
    <row r="16" spans="1:29" ht="21" hidden="1" thickBot="1">
      <c r="A16" s="2211"/>
      <c r="B16" s="2217">
        <v>111</v>
      </c>
      <c r="C16" s="835"/>
      <c r="D16" s="494">
        <v>100</v>
      </c>
      <c r="E16" s="489"/>
      <c r="F16" s="494">
        <f>SUMIF(87:87,E16,88:88)-SUMIF(87:87,C16,88:88)+100</f>
        <v>100</v>
      </c>
      <c r="G16" s="490"/>
      <c r="H16" s="494">
        <f>SUMIF(87:87,G16,88:88)-SUMIF(87:87,C16,88:88)+100</f>
        <v>100</v>
      </c>
      <c r="I16" s="490"/>
      <c r="J16" s="494">
        <f>SUMIF(87:87,I16,88:88)-SUMIF(87:87,C16,88:88)+100</f>
        <v>100</v>
      </c>
      <c r="K16" s="479"/>
      <c r="L16" s="1746"/>
      <c r="M16" s="1737"/>
      <c r="N16" s="1737"/>
      <c r="O16" s="1745"/>
      <c r="P16" s="3642"/>
      <c r="Q16" s="815">
        <f t="shared" si="6"/>
        <v>111</v>
      </c>
      <c r="R16" s="1300" t="s">
        <v>5</v>
      </c>
      <c r="S16" s="1301">
        <f t="shared" si="0"/>
        <v>100</v>
      </c>
      <c r="T16" s="1300" t="s">
        <v>5</v>
      </c>
      <c r="U16" s="1301">
        <f t="shared" si="1"/>
        <v>100</v>
      </c>
      <c r="V16" s="1300" t="s">
        <v>5</v>
      </c>
      <c r="W16" s="1301">
        <f t="shared" si="2"/>
        <v>100</v>
      </c>
      <c r="X16" s="1302"/>
      <c r="Y16" s="3590"/>
      <c r="Z16" s="994">
        <f t="shared" si="7"/>
        <v>111</v>
      </c>
      <c r="AA16" s="994">
        <f>D16/F16</f>
        <v>1</v>
      </c>
      <c r="AB16" s="994">
        <f>D16/H16</f>
        <v>1</v>
      </c>
      <c r="AC16" s="994">
        <f>D16/J16</f>
        <v>1</v>
      </c>
    </row>
    <row r="17" spans="1:29" ht="20.25">
      <c r="A17" s="2203" t="s">
        <v>2034</v>
      </c>
      <c r="B17" s="526" t="s">
        <v>261</v>
      </c>
      <c r="C17" s="496">
        <f>估价对象房地状况!C15</f>
        <v>0</v>
      </c>
      <c r="D17" s="499">
        <v>100</v>
      </c>
      <c r="E17" s="500"/>
      <c r="F17" s="497">
        <f>SUMIF(89:89,E18,90:90)-SUMIF(89:89,C18,90:90)+100</f>
        <v>100</v>
      </c>
      <c r="G17" s="3394"/>
      <c r="H17" s="497">
        <f>SUMIF(89:89,G18,90:90)-SUMIF(89:89,C18,90:90)+100</f>
        <v>100</v>
      </c>
      <c r="I17" s="500"/>
      <c r="J17" s="497">
        <f>SUMIF(89:89,I18,90:90)-SUMIF(89:89,C18,90:90)+100</f>
        <v>100</v>
      </c>
      <c r="K17" s="483">
        <v>1</v>
      </c>
      <c r="L17" s="1746"/>
      <c r="M17" s="1737"/>
      <c r="N17" s="1737"/>
      <c r="O17" s="1745"/>
      <c r="P17" s="3676" t="s">
        <v>489</v>
      </c>
      <c r="Q17" s="1303" t="str">
        <f t="shared" si="6"/>
        <v>居住社区成熟度</v>
      </c>
      <c r="R17" s="1304" t="s">
        <v>5</v>
      </c>
      <c r="S17" s="1305">
        <f t="shared" si="0"/>
        <v>100</v>
      </c>
      <c r="T17" s="1304" t="s">
        <v>5</v>
      </c>
      <c r="U17" s="1305">
        <f t="shared" si="1"/>
        <v>100</v>
      </c>
      <c r="V17" s="1304" t="s">
        <v>5</v>
      </c>
      <c r="W17" s="1305">
        <f t="shared" si="2"/>
        <v>100</v>
      </c>
      <c r="X17" s="1299"/>
      <c r="Y17" s="3676" t="s">
        <v>489</v>
      </c>
      <c r="Z17" s="1306" t="str">
        <f t="shared" si="7"/>
        <v>居住社区成熟度</v>
      </c>
      <c r="AA17" s="1306">
        <f t="shared" si="3"/>
        <v>1</v>
      </c>
      <c r="AB17" s="1306">
        <f t="shared" si="4"/>
        <v>1</v>
      </c>
      <c r="AC17" s="1306">
        <f t="shared" si="5"/>
        <v>1</v>
      </c>
    </row>
    <row r="18" spans="1:29" ht="21" thickBot="1">
      <c r="A18" s="480"/>
      <c r="B18" s="501"/>
      <c r="C18" s="3462" t="s">
        <v>3342</v>
      </c>
      <c r="D18" s="505"/>
      <c r="E18" s="3459" t="s">
        <v>3342</v>
      </c>
      <c r="F18" s="503"/>
      <c r="G18" s="3459" t="s">
        <v>3342</v>
      </c>
      <c r="H18" s="507"/>
      <c r="I18" s="506" t="s">
        <v>3342</v>
      </c>
      <c r="J18" s="503"/>
      <c r="K18" s="479"/>
      <c r="L18" s="1746"/>
      <c r="M18" s="1737"/>
      <c r="N18" s="1737"/>
      <c r="O18" s="1745"/>
      <c r="P18" s="3677"/>
      <c r="Q18" s="1303"/>
      <c r="R18" s="1304"/>
      <c r="S18" s="1305"/>
      <c r="T18" s="1304"/>
      <c r="U18" s="1305"/>
      <c r="V18" s="1304"/>
      <c r="W18" s="1305"/>
      <c r="X18" s="1299"/>
      <c r="Y18" s="3677"/>
      <c r="Z18" s="1306"/>
      <c r="AA18" s="1306">
        <v>1</v>
      </c>
      <c r="AB18" s="1306">
        <v>1</v>
      </c>
      <c r="AC18" s="1306">
        <v>1</v>
      </c>
    </row>
    <row r="19" spans="1:29" ht="20.25">
      <c r="A19" s="480"/>
      <c r="B19" s="508" t="s">
        <v>490</v>
      </c>
      <c r="C19" s="509">
        <f>估价对象房地状况!C16</f>
        <v>0</v>
      </c>
      <c r="D19" s="511">
        <v>100</v>
      </c>
      <c r="E19" s="512"/>
      <c r="F19" s="507">
        <f>SUMIF(91:91,E20,92:92)-SUMIF(91:91,C20,92:92)+100</f>
        <v>100</v>
      </c>
      <c r="G19" s="500"/>
      <c r="H19" s="513">
        <f>SUMIF(91:91,G20,92:92)-SUMIF(91:91,C20,92:92)+100</f>
        <v>101</v>
      </c>
      <c r="I19" s="500"/>
      <c r="J19" s="513">
        <f>SUMIF(91:91,I20,92:92)-SUMIF(91:91,C20,92:92)+100</f>
        <v>101</v>
      </c>
      <c r="K19" s="483">
        <v>1</v>
      </c>
      <c r="L19" s="1746"/>
      <c r="M19" s="1737"/>
      <c r="N19" s="1737"/>
      <c r="O19" s="1745"/>
      <c r="P19" s="3677"/>
      <c r="Q19" s="1303" t="str">
        <f>B19</f>
        <v>商业繁华度</v>
      </c>
      <c r="R19" s="1304" t="s">
        <v>5</v>
      </c>
      <c r="S19" s="1305">
        <f>F19</f>
        <v>100</v>
      </c>
      <c r="T19" s="1304" t="s">
        <v>5</v>
      </c>
      <c r="U19" s="1305">
        <f>H19</f>
        <v>101</v>
      </c>
      <c r="V19" s="1304" t="s">
        <v>5</v>
      </c>
      <c r="W19" s="1305">
        <f>J19</f>
        <v>101</v>
      </c>
      <c r="X19" s="1299"/>
      <c r="Y19" s="3677"/>
      <c r="Z19" s="1306" t="str">
        <f>Q19</f>
        <v>商业繁华度</v>
      </c>
      <c r="AA19" s="1306">
        <f t="shared" si="3"/>
        <v>1</v>
      </c>
      <c r="AB19" s="1306">
        <f t="shared" si="4"/>
        <v>0.99009900990099009</v>
      </c>
      <c r="AC19" s="1306">
        <f t="shared" si="5"/>
        <v>0.99009900990099009</v>
      </c>
    </row>
    <row r="20" spans="1:29" ht="21" thickBot="1">
      <c r="A20" s="480"/>
      <c r="B20" s="514"/>
      <c r="C20" s="515" t="s">
        <v>3343</v>
      </c>
      <c r="D20" s="511"/>
      <c r="E20" s="517" t="s">
        <v>3343</v>
      </c>
      <c r="F20" s="507"/>
      <c r="G20" s="506" t="s">
        <v>3342</v>
      </c>
      <c r="H20" s="503"/>
      <c r="I20" s="506" t="s">
        <v>3342</v>
      </c>
      <c r="J20" s="503"/>
      <c r="K20" s="479"/>
      <c r="L20" s="1746"/>
      <c r="M20" s="1737"/>
      <c r="N20" s="1737"/>
      <c r="O20" s="1745"/>
      <c r="P20" s="3677"/>
      <c r="Q20" s="1303"/>
      <c r="R20" s="1304"/>
      <c r="S20" s="1305"/>
      <c r="T20" s="1304"/>
      <c r="U20" s="1305"/>
      <c r="V20" s="1304"/>
      <c r="W20" s="1305"/>
      <c r="X20" s="1299"/>
      <c r="Y20" s="3677"/>
      <c r="Z20" s="1306"/>
      <c r="AA20" s="1306">
        <v>1</v>
      </c>
      <c r="AB20" s="1306">
        <v>1</v>
      </c>
      <c r="AC20" s="1306">
        <v>1</v>
      </c>
    </row>
    <row r="21" spans="1:29" ht="20.25" hidden="1">
      <c r="A21" s="480"/>
      <c r="B21" s="508" t="s">
        <v>491</v>
      </c>
      <c r="C21" s="509">
        <f>估价对象房地状况!C17</f>
        <v>0</v>
      </c>
      <c r="D21" s="519">
        <v>100</v>
      </c>
      <c r="E21" s="520" t="s">
        <v>3343</v>
      </c>
      <c r="F21" s="513">
        <f>SUMIF(93:93,E22,94:94)-SUMIF(93:93,C22,94:94)+100</f>
        <v>100</v>
      </c>
      <c r="G21" s="520" t="s">
        <v>3343</v>
      </c>
      <c r="H21" s="507">
        <f>SUMIF(93:93,G22,94:94)-SUMIF(93:93,C22,94:94)+100</f>
        <v>100</v>
      </c>
      <c r="I21" s="520" t="s">
        <v>3343</v>
      </c>
      <c r="J21" s="507">
        <f>SUMIF(93:93,I22,94:94)-SUMIF(93:93,C22,94:94)+100</f>
        <v>100</v>
      </c>
      <c r="K21" s="483"/>
      <c r="L21" s="1746"/>
      <c r="M21" s="1737"/>
      <c r="N21" s="1737"/>
      <c r="O21" s="1745"/>
      <c r="P21" s="3677"/>
      <c r="Q21" s="1303" t="str">
        <f>B21</f>
        <v>办公集聚程度</v>
      </c>
      <c r="R21" s="1304" t="s">
        <v>5</v>
      </c>
      <c r="S21" s="1305">
        <f>F21</f>
        <v>100</v>
      </c>
      <c r="T21" s="1304" t="s">
        <v>5</v>
      </c>
      <c r="U21" s="1305">
        <f>H21</f>
        <v>100</v>
      </c>
      <c r="V21" s="1304" t="s">
        <v>5</v>
      </c>
      <c r="W21" s="1305">
        <f>J21</f>
        <v>100</v>
      </c>
      <c r="X21" s="1299"/>
      <c r="Y21" s="3677"/>
      <c r="Z21" s="1306" t="str">
        <f>Q21</f>
        <v>办公集聚程度</v>
      </c>
      <c r="AA21" s="1306">
        <f t="shared" si="3"/>
        <v>1</v>
      </c>
      <c r="AB21" s="1306">
        <f t="shared" si="4"/>
        <v>1</v>
      </c>
      <c r="AC21" s="1306">
        <f t="shared" si="5"/>
        <v>1</v>
      </c>
    </row>
    <row r="22" spans="1:29" ht="20.25" hidden="1">
      <c r="A22" s="480"/>
      <c r="B22" s="514"/>
      <c r="C22" s="502"/>
      <c r="D22" s="505"/>
      <c r="E22" s="506"/>
      <c r="F22" s="503"/>
      <c r="G22" s="506"/>
      <c r="H22" s="503"/>
      <c r="I22" s="506"/>
      <c r="J22" s="503"/>
      <c r="K22" s="479"/>
      <c r="L22" s="1746"/>
      <c r="M22" s="1737"/>
      <c r="N22" s="1737"/>
      <c r="O22" s="1745"/>
      <c r="P22" s="3677"/>
      <c r="Q22" s="1303"/>
      <c r="R22" s="1304"/>
      <c r="S22" s="1305"/>
      <c r="T22" s="1304"/>
      <c r="U22" s="1305"/>
      <c r="V22" s="1304"/>
      <c r="W22" s="1305"/>
      <c r="X22" s="1299"/>
      <c r="Y22" s="3677"/>
      <c r="Z22" s="1306"/>
      <c r="AA22" s="1306">
        <v>1</v>
      </c>
      <c r="AB22" s="1306">
        <v>1</v>
      </c>
      <c r="AC22" s="1306">
        <v>1</v>
      </c>
    </row>
    <row r="23" spans="1:29" ht="20.25">
      <c r="A23" s="480"/>
      <c r="B23" s="508" t="s">
        <v>492</v>
      </c>
      <c r="C23" s="521">
        <f>估价对象房地状况!C18</f>
        <v>0</v>
      </c>
      <c r="D23" s="511">
        <v>100</v>
      </c>
      <c r="E23" s="512"/>
      <c r="F23" s="513">
        <f>SUMIF(95:95,E24,96:96)-SUMIF(95:95,C24,96:96)+100</f>
        <v>100</v>
      </c>
      <c r="G23" s="3394"/>
      <c r="H23" s="507">
        <f>SUMIF(95:95,G24,96:96)-SUMIF(95:95,C24,96:96)+100</f>
        <v>100</v>
      </c>
      <c r="I23" s="512"/>
      <c r="J23" s="507">
        <f>SUMIF(95:95,I24,96:96)-SUMIF(95:95,C24,96:96)+100</f>
        <v>100</v>
      </c>
      <c r="K23" s="483">
        <v>1</v>
      </c>
      <c r="L23" s="1746"/>
      <c r="M23" s="1737"/>
      <c r="N23" s="1737"/>
      <c r="O23" s="1745"/>
      <c r="P23" s="3677"/>
      <c r="Q23" s="1303" t="str">
        <f>B23</f>
        <v>交通便捷度</v>
      </c>
      <c r="R23" s="1304" t="s">
        <v>5</v>
      </c>
      <c r="S23" s="1305">
        <f>F23</f>
        <v>100</v>
      </c>
      <c r="T23" s="1304" t="s">
        <v>5</v>
      </c>
      <c r="U23" s="1305">
        <f>H23</f>
        <v>100</v>
      </c>
      <c r="V23" s="1304" t="s">
        <v>5</v>
      </c>
      <c r="W23" s="1305">
        <f>J23</f>
        <v>100</v>
      </c>
      <c r="X23" s="1299"/>
      <c r="Y23" s="3677"/>
      <c r="Z23" s="1306" t="str">
        <f>Q23</f>
        <v>交通便捷度</v>
      </c>
      <c r="AA23" s="1306">
        <f t="shared" si="3"/>
        <v>1</v>
      </c>
      <c r="AB23" s="1306">
        <f t="shared" si="4"/>
        <v>1</v>
      </c>
      <c r="AC23" s="1306">
        <f t="shared" si="5"/>
        <v>1</v>
      </c>
    </row>
    <row r="24" spans="1:29" ht="20.25">
      <c r="A24" s="480"/>
      <c r="B24" s="526"/>
      <c r="C24" s="3462" t="s">
        <v>3342</v>
      </c>
      <c r="D24" s="505"/>
      <c r="E24" s="3459" t="s">
        <v>3342</v>
      </c>
      <c r="F24" s="503"/>
      <c r="G24" s="3459" t="s">
        <v>3342</v>
      </c>
      <c r="H24" s="503"/>
      <c r="I24" s="506" t="s">
        <v>3342</v>
      </c>
      <c r="J24" s="503"/>
      <c r="K24" s="479"/>
      <c r="L24" s="1746"/>
      <c r="M24" s="1737"/>
      <c r="N24" s="1737"/>
      <c r="O24" s="1745"/>
      <c r="P24" s="3677"/>
      <c r="Q24" s="1303"/>
      <c r="R24" s="1304"/>
      <c r="S24" s="1305"/>
      <c r="T24" s="1304"/>
      <c r="U24" s="1305"/>
      <c r="V24" s="1304"/>
      <c r="W24" s="1305"/>
      <c r="X24" s="1299"/>
      <c r="Y24" s="3677"/>
      <c r="Z24" s="1306"/>
      <c r="AA24" s="1306">
        <v>1</v>
      </c>
      <c r="AB24" s="1306">
        <v>1</v>
      </c>
      <c r="AC24" s="1306">
        <v>1</v>
      </c>
    </row>
    <row r="25" spans="1:29" ht="27">
      <c r="A25" s="464"/>
      <c r="B25" s="237" t="s">
        <v>493</v>
      </c>
      <c r="C25" s="521">
        <f>估价对象房地状况!C19</f>
        <v>0</v>
      </c>
      <c r="D25" s="511">
        <v>100</v>
      </c>
      <c r="E25" s="512"/>
      <c r="F25" s="513">
        <f>SUMIF(97:97,E26,98:98)-SUMIF(97:97,C26,98:98)+100</f>
        <v>100</v>
      </c>
      <c r="G25" s="512"/>
      <c r="H25" s="507">
        <f>SUMIF(97:97,G26,98:98)-SUMIF(97:97,C26,98:98)+100</f>
        <v>100</v>
      </c>
      <c r="I25" s="512"/>
      <c r="J25" s="507">
        <f>SUMIF(97:97,I26,98:98)-SUMIF(97:97,C26,98:98)+100</f>
        <v>100</v>
      </c>
      <c r="K25" s="483">
        <v>1</v>
      </c>
      <c r="L25" s="1746"/>
      <c r="M25" s="1737"/>
      <c r="N25" s="1737"/>
      <c r="O25" s="1745"/>
      <c r="P25" s="3677"/>
      <c r="Q25" s="1303" t="str">
        <f t="shared" ref="Q25:Q39" si="8">B25</f>
        <v>区域土地利用方向</v>
      </c>
      <c r="R25" s="1304" t="s">
        <v>5</v>
      </c>
      <c r="S25" s="1305">
        <f>F25</f>
        <v>100</v>
      </c>
      <c r="T25" s="1304" t="s">
        <v>5</v>
      </c>
      <c r="U25" s="1305">
        <f>H25</f>
        <v>100</v>
      </c>
      <c r="V25" s="1304" t="s">
        <v>5</v>
      </c>
      <c r="W25" s="1305">
        <f>J25</f>
        <v>100</v>
      </c>
      <c r="X25" s="1299"/>
      <c r="Y25" s="3677"/>
      <c r="Z25" s="1306" t="str">
        <f>Q25</f>
        <v>区域土地利用方向</v>
      </c>
      <c r="AA25" s="1306">
        <f t="shared" si="3"/>
        <v>1</v>
      </c>
      <c r="AB25" s="1306">
        <f t="shared" si="4"/>
        <v>1</v>
      </c>
      <c r="AC25" s="1306">
        <f t="shared" si="5"/>
        <v>1</v>
      </c>
    </row>
    <row r="26" spans="1:29" ht="20.25">
      <c r="A26" s="464"/>
      <c r="B26" s="916"/>
      <c r="C26" s="502" t="s">
        <v>3346</v>
      </c>
      <c r="D26" s="505"/>
      <c r="E26" s="506" t="s">
        <v>3346</v>
      </c>
      <c r="F26" s="503"/>
      <c r="G26" s="506" t="s">
        <v>3346</v>
      </c>
      <c r="H26" s="503"/>
      <c r="I26" s="506" t="s">
        <v>3346</v>
      </c>
      <c r="J26" s="503"/>
      <c r="K26" s="479"/>
      <c r="L26" s="1746"/>
      <c r="M26" s="1737"/>
      <c r="N26" s="1737"/>
      <c r="O26" s="1745"/>
      <c r="P26" s="3677"/>
      <c r="Q26" s="1303"/>
      <c r="R26" s="1304"/>
      <c r="S26" s="1305"/>
      <c r="T26" s="1304"/>
      <c r="U26" s="1305"/>
      <c r="V26" s="1304"/>
      <c r="W26" s="1305"/>
      <c r="X26" s="1299"/>
      <c r="Y26" s="3677"/>
      <c r="Z26" s="1306"/>
      <c r="AA26" s="1306"/>
      <c r="AB26" s="1306"/>
      <c r="AC26" s="1306"/>
    </row>
    <row r="27" spans="1:29" ht="27">
      <c r="A27" s="464"/>
      <c r="B27" s="526" t="s">
        <v>494</v>
      </c>
      <c r="C27" s="509">
        <f>估价对象房地状况!C20</f>
        <v>0</v>
      </c>
      <c r="D27" s="511">
        <v>100</v>
      </c>
      <c r="E27" s="512"/>
      <c r="F27" s="507">
        <f>SUMIF(99:99,E28,100:100)-SUMIF(99:99,C28,100:100)+100</f>
        <v>100</v>
      </c>
      <c r="G27" s="512"/>
      <c r="H27" s="507">
        <f>SUMIF(99:99,G28,100:100)-SUMIF(99:99,C28,100:100)+100</f>
        <v>101</v>
      </c>
      <c r="I27" s="512"/>
      <c r="J27" s="507">
        <f>SUMIF(99:99,I28,100:100)-SUMIF(99:99,C28,100:100)+100</f>
        <v>101</v>
      </c>
      <c r="K27" s="483">
        <v>1</v>
      </c>
      <c r="L27" s="1746"/>
      <c r="M27" s="1737"/>
      <c r="N27" s="1737"/>
      <c r="O27" s="1745"/>
      <c r="P27" s="3677"/>
      <c r="Q27" s="1303" t="str">
        <f t="shared" si="8"/>
        <v>自然及人文环境状况</v>
      </c>
      <c r="R27" s="1304" t="s">
        <v>5</v>
      </c>
      <c r="S27" s="1305">
        <f>F27</f>
        <v>100</v>
      </c>
      <c r="T27" s="1304" t="s">
        <v>5</v>
      </c>
      <c r="U27" s="1305">
        <f>H27</f>
        <v>101</v>
      </c>
      <c r="V27" s="1304" t="s">
        <v>5</v>
      </c>
      <c r="W27" s="1305">
        <f>J27</f>
        <v>101</v>
      </c>
      <c r="X27" s="1299"/>
      <c r="Y27" s="3677"/>
      <c r="Z27" s="1306" t="str">
        <f>Q27</f>
        <v>自然及人文环境状况</v>
      </c>
      <c r="AA27" s="1306">
        <f t="shared" si="3"/>
        <v>1</v>
      </c>
      <c r="AB27" s="1306">
        <f t="shared" si="4"/>
        <v>0.99009900990099009</v>
      </c>
      <c r="AC27" s="1306">
        <f t="shared" si="5"/>
        <v>0.99009900990099009</v>
      </c>
    </row>
    <row r="28" spans="1:29" ht="20.25">
      <c r="A28" s="464"/>
      <c r="B28" s="514"/>
      <c r="C28" s="502" t="s">
        <v>3343</v>
      </c>
      <c r="D28" s="505"/>
      <c r="E28" s="524" t="s">
        <v>3343</v>
      </c>
      <c r="F28" s="503"/>
      <c r="G28" s="524" t="s">
        <v>3342</v>
      </c>
      <c r="H28" s="503"/>
      <c r="I28" s="524" t="s">
        <v>3342</v>
      </c>
      <c r="J28" s="503"/>
      <c r="K28" s="479"/>
      <c r="L28" s="1746"/>
      <c r="M28" s="1737"/>
      <c r="N28" s="1737"/>
      <c r="O28" s="1745"/>
      <c r="P28" s="3677"/>
      <c r="Q28" s="1303"/>
      <c r="R28" s="1304"/>
      <c r="S28" s="1305"/>
      <c r="T28" s="1304"/>
      <c r="U28" s="1305"/>
      <c r="V28" s="1304"/>
      <c r="W28" s="1305"/>
      <c r="X28" s="1299"/>
      <c r="Y28" s="3677"/>
      <c r="Z28" s="1306"/>
      <c r="AA28" s="1306">
        <v>1</v>
      </c>
      <c r="AB28" s="1306">
        <v>1</v>
      </c>
      <c r="AC28" s="1306">
        <v>1</v>
      </c>
    </row>
    <row r="29" spans="1:29" s="1057" customFormat="1" ht="20.25">
      <c r="A29" s="525"/>
      <c r="B29" s="2047" t="s">
        <v>1829</v>
      </c>
      <c r="C29" s="521">
        <f>估价对象房地状况!C21</f>
        <v>0</v>
      </c>
      <c r="D29" s="511">
        <v>100</v>
      </c>
      <c r="E29" s="512"/>
      <c r="F29" s="507">
        <f>SUMIF(101:101,E30,102:102)-SUMIF(101:101,C30,102:102)+100</f>
        <v>100</v>
      </c>
      <c r="G29" s="512"/>
      <c r="H29" s="507">
        <f>SUMIF(101:101,G30,102:102)-SUMIF(101:101,C30,102:102)+100</f>
        <v>100</v>
      </c>
      <c r="I29" s="512"/>
      <c r="J29" s="507">
        <f>SUMIF(101:101,I30,102:102)-SUMIF(101:101,C30,102:102)+100</f>
        <v>100</v>
      </c>
      <c r="K29" s="483">
        <v>1</v>
      </c>
      <c r="L29" s="1740"/>
      <c r="M29" s="1737"/>
      <c r="N29" s="1737"/>
      <c r="O29" s="1741"/>
      <c r="P29" s="3677"/>
      <c r="Q29" s="815" t="str">
        <f t="shared" si="8"/>
        <v>公共配套设施</v>
      </c>
      <c r="R29" s="1300" t="s">
        <v>5</v>
      </c>
      <c r="S29" s="1301">
        <f>F29</f>
        <v>100</v>
      </c>
      <c r="T29" s="1300" t="s">
        <v>5</v>
      </c>
      <c r="U29" s="1301">
        <f>H29</f>
        <v>100</v>
      </c>
      <c r="V29" s="1300" t="s">
        <v>5</v>
      </c>
      <c r="W29" s="1301">
        <f>J29</f>
        <v>100</v>
      </c>
      <c r="X29" s="1302"/>
      <c r="Y29" s="3677"/>
      <c r="Z29" s="994" t="str">
        <f>Q29</f>
        <v>公共配套设施</v>
      </c>
      <c r="AA29" s="1306">
        <f>D29/F29</f>
        <v>1</v>
      </c>
      <c r="AB29" s="1306">
        <f>D29/H29</f>
        <v>1</v>
      </c>
      <c r="AC29" s="1306">
        <f>D29/J29</f>
        <v>1</v>
      </c>
    </row>
    <row r="30" spans="1:29" s="1057" customFormat="1" ht="20.25">
      <c r="A30" s="525"/>
      <c r="B30" s="514"/>
      <c r="C30" s="3463" t="s">
        <v>3342</v>
      </c>
      <c r="D30" s="505"/>
      <c r="E30" s="3460" t="s">
        <v>3342</v>
      </c>
      <c r="F30" s="503"/>
      <c r="G30" s="524" t="s">
        <v>3342</v>
      </c>
      <c r="H30" s="503"/>
      <c r="I30" s="524" t="s">
        <v>3342</v>
      </c>
      <c r="J30" s="503"/>
      <c r="K30" s="479"/>
      <c r="L30" s="1740"/>
      <c r="M30" s="1737"/>
      <c r="N30" s="1737"/>
      <c r="O30" s="1741"/>
      <c r="P30" s="3677"/>
      <c r="Q30" s="815"/>
      <c r="R30" s="1300"/>
      <c r="S30" s="1301"/>
      <c r="T30" s="1300"/>
      <c r="U30" s="1301"/>
      <c r="V30" s="1300"/>
      <c r="W30" s="1301"/>
      <c r="X30" s="1302"/>
      <c r="Y30" s="3677"/>
      <c r="Z30" s="994"/>
      <c r="AA30" s="1306">
        <v>1</v>
      </c>
      <c r="AB30" s="1306">
        <v>1</v>
      </c>
      <c r="AC30" s="1306">
        <v>1</v>
      </c>
    </row>
    <row r="31" spans="1:29" s="1057" customFormat="1" ht="20.25">
      <c r="A31" s="525"/>
      <c r="B31" s="2047" t="s">
        <v>1830</v>
      </c>
      <c r="C31" s="521" t="str">
        <f>估价对象房地状况!C22</f>
        <v>七通</v>
      </c>
      <c r="D31" s="511">
        <v>100</v>
      </c>
      <c r="E31" s="512"/>
      <c r="F31" s="507">
        <f>SUMIF(103:103,E32,104:104)-SUMIF(103:103,C32,104:104)+100</f>
        <v>100</v>
      </c>
      <c r="G31" s="512"/>
      <c r="H31" s="507">
        <f>SUMIF(103:103,G32,104:104)-SUMIF(103:103,C32,104:104)+100</f>
        <v>100</v>
      </c>
      <c r="I31" s="512"/>
      <c r="J31" s="507">
        <f>SUMIF(103:103,I32,104:104)-SUMIF(103:103,C32,104:104)+100</f>
        <v>100</v>
      </c>
      <c r="K31" s="483">
        <v>1</v>
      </c>
      <c r="L31" s="1740"/>
      <c r="M31" s="1737"/>
      <c r="N31" s="1737"/>
      <c r="O31" s="1741"/>
      <c r="P31" s="3677"/>
      <c r="Q31" s="815" t="str">
        <f>B31</f>
        <v>基础设施水平</v>
      </c>
      <c r="R31" s="1300" t="s">
        <v>5</v>
      </c>
      <c r="S31" s="1301">
        <f>F31</f>
        <v>100</v>
      </c>
      <c r="T31" s="1300" t="s">
        <v>5</v>
      </c>
      <c r="U31" s="1301">
        <f>H31</f>
        <v>100</v>
      </c>
      <c r="V31" s="1300" t="s">
        <v>5</v>
      </c>
      <c r="W31" s="1301">
        <f>J31</f>
        <v>100</v>
      </c>
      <c r="X31" s="1302"/>
      <c r="Y31" s="3677"/>
      <c r="Z31" s="994" t="str">
        <f>Q31</f>
        <v>基础设施水平</v>
      </c>
      <c r="AA31" s="1306">
        <f>D31/F31</f>
        <v>1</v>
      </c>
      <c r="AB31" s="1306">
        <f>D31/H31</f>
        <v>1</v>
      </c>
      <c r="AC31" s="1306">
        <f>D31/J31</f>
        <v>1</v>
      </c>
    </row>
    <row r="32" spans="1:29" s="1057" customFormat="1" ht="20.25">
      <c r="A32" s="525"/>
      <c r="B32" s="514"/>
      <c r="C32" s="527" t="s">
        <v>3344</v>
      </c>
      <c r="D32" s="505"/>
      <c r="E32" s="2048" t="s">
        <v>3344</v>
      </c>
      <c r="F32" s="503"/>
      <c r="G32" s="2048" t="s">
        <v>3344</v>
      </c>
      <c r="H32" s="503"/>
      <c r="I32" s="2048" t="s">
        <v>3344</v>
      </c>
      <c r="J32" s="503"/>
      <c r="K32" s="479"/>
      <c r="L32" s="1740"/>
      <c r="M32" s="1737"/>
      <c r="N32" s="1737"/>
      <c r="O32" s="1741"/>
      <c r="P32" s="3677"/>
      <c r="Q32" s="815"/>
      <c r="R32" s="1300"/>
      <c r="S32" s="1301"/>
      <c r="T32" s="1300"/>
      <c r="U32" s="1301"/>
      <c r="V32" s="1300"/>
      <c r="W32" s="1301"/>
      <c r="X32" s="1302"/>
      <c r="Y32" s="3677"/>
      <c r="Z32" s="994"/>
      <c r="AA32" s="1306">
        <v>1</v>
      </c>
      <c r="AB32" s="1306">
        <v>1</v>
      </c>
      <c r="AC32" s="1306">
        <v>1</v>
      </c>
    </row>
    <row r="33" spans="1:29" ht="20.25" hidden="1">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6"/>
      <c r="M33" s="1737"/>
      <c r="N33" s="1737"/>
      <c r="O33" s="1745"/>
      <c r="P33" s="3677"/>
      <c r="Q33" s="1303" t="str">
        <f t="shared" si="8"/>
        <v>临街状况</v>
      </c>
      <c r="R33" s="1304" t="s">
        <v>5</v>
      </c>
      <c r="S33" s="1305">
        <f t="shared" ref="S33:S47" si="9">F33</f>
        <v>100</v>
      </c>
      <c r="T33" s="1304" t="s">
        <v>5</v>
      </c>
      <c r="U33" s="1305">
        <f t="shared" ref="U33:U47" si="10">H33</f>
        <v>100</v>
      </c>
      <c r="V33" s="1304" t="s">
        <v>5</v>
      </c>
      <c r="W33" s="1305">
        <f t="shared" ref="W33:W47" si="11">J33</f>
        <v>100</v>
      </c>
      <c r="X33" s="1299"/>
      <c r="Y33" s="3677"/>
      <c r="Z33" s="1306" t="str">
        <f t="shared" ref="Z33:Z47" si="12">Q33</f>
        <v>临街状况</v>
      </c>
      <c r="AA33" s="1306">
        <f t="shared" si="3"/>
        <v>1</v>
      </c>
      <c r="AB33" s="1306">
        <f t="shared" si="4"/>
        <v>1</v>
      </c>
      <c r="AC33" s="1306">
        <f t="shared" si="5"/>
        <v>1</v>
      </c>
    </row>
    <row r="34" spans="1:29" ht="27" hidden="1">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6"/>
      <c r="M34" s="1737"/>
      <c r="N34" s="1737"/>
      <c r="O34" s="1745"/>
      <c r="P34" s="3677"/>
      <c r="Q34" s="1303" t="str">
        <f t="shared" si="8"/>
        <v>毗邻道路的类型与等级</v>
      </c>
      <c r="R34" s="1304" t="s">
        <v>5</v>
      </c>
      <c r="S34" s="1305">
        <f t="shared" si="9"/>
        <v>100</v>
      </c>
      <c r="T34" s="1304" t="s">
        <v>5</v>
      </c>
      <c r="U34" s="1305">
        <f t="shared" si="10"/>
        <v>100</v>
      </c>
      <c r="V34" s="1304" t="s">
        <v>5</v>
      </c>
      <c r="W34" s="1305">
        <f t="shared" si="11"/>
        <v>100</v>
      </c>
      <c r="X34" s="1299"/>
      <c r="Y34" s="3677"/>
      <c r="Z34" s="1306" t="str">
        <f t="shared" si="12"/>
        <v>毗邻道路的类型与等级</v>
      </c>
      <c r="AA34" s="1306">
        <f t="shared" si="3"/>
        <v>1</v>
      </c>
      <c r="AB34" s="1306">
        <f t="shared" si="4"/>
        <v>1</v>
      </c>
      <c r="AC34" s="1306">
        <f t="shared" si="5"/>
        <v>1</v>
      </c>
    </row>
    <row r="35" spans="1:29" ht="20.25" hidden="1">
      <c r="A35" s="480"/>
      <c r="B35" s="514"/>
      <c r="C35" s="502"/>
      <c r="D35" s="505"/>
      <c r="E35" s="524"/>
      <c r="F35" s="503"/>
      <c r="G35" s="502"/>
      <c r="H35" s="503"/>
      <c r="I35" s="524"/>
      <c r="J35" s="503"/>
      <c r="K35" s="529"/>
      <c r="L35" s="1746"/>
      <c r="M35" s="1737"/>
      <c r="N35" s="1737"/>
      <c r="O35" s="1745"/>
      <c r="P35" s="3677"/>
      <c r="Q35" s="1303"/>
      <c r="R35" s="1304"/>
      <c r="S35" s="1305"/>
      <c r="T35" s="1304"/>
      <c r="U35" s="1305"/>
      <c r="V35" s="1304"/>
      <c r="W35" s="1305"/>
      <c r="X35" s="1299"/>
      <c r="Y35" s="3677"/>
      <c r="Z35" s="1306"/>
      <c r="AA35" s="1306">
        <v>1</v>
      </c>
      <c r="AB35" s="1306">
        <v>1</v>
      </c>
      <c r="AC35" s="1306">
        <v>1</v>
      </c>
    </row>
    <row r="36" spans="1:29" ht="20.25">
      <c r="A36" s="480"/>
      <c r="B36" s="233" t="s">
        <v>498</v>
      </c>
      <c r="C36" s="528" t="s">
        <v>1156</v>
      </c>
      <c r="D36" s="523">
        <v>100</v>
      </c>
      <c r="E36" s="528" t="s">
        <v>1156</v>
      </c>
      <c r="F36" s="488">
        <f>SUMIF(109:109,E36,110:110)-SUMIF(109:109,C36,110:110)+100</f>
        <v>100</v>
      </c>
      <c r="G36" s="528" t="s">
        <v>1156</v>
      </c>
      <c r="H36" s="488">
        <f>SUMIF(109:109,G36,110:110)-SUMIF(109:109,C36,110:110)+100</f>
        <v>100</v>
      </c>
      <c r="I36" s="530" t="s">
        <v>1157</v>
      </c>
      <c r="J36" s="488">
        <f>SUMIF(109:109,I36,110:110)-SUMIF(109:109,C36,110:110)+100</f>
        <v>96</v>
      </c>
      <c r="K36" s="3795">
        <v>4</v>
      </c>
      <c r="L36" s="1746">
        <v>0.1</v>
      </c>
      <c r="M36" s="1737"/>
      <c r="N36" s="1737"/>
      <c r="O36" s="1745"/>
      <c r="P36" s="3677"/>
      <c r="Q36" s="1303" t="str">
        <f t="shared" si="8"/>
        <v>土地级别</v>
      </c>
      <c r="R36" s="1304" t="s">
        <v>5</v>
      </c>
      <c r="S36" s="1305">
        <f t="shared" si="9"/>
        <v>100</v>
      </c>
      <c r="T36" s="1304" t="s">
        <v>5</v>
      </c>
      <c r="U36" s="1305">
        <f t="shared" si="10"/>
        <v>100</v>
      </c>
      <c r="V36" s="1304" t="s">
        <v>5</v>
      </c>
      <c r="W36" s="1305">
        <f t="shared" si="11"/>
        <v>96</v>
      </c>
      <c r="X36" s="1299"/>
      <c r="Y36" s="3677"/>
      <c r="Z36" s="1306" t="str">
        <f t="shared" si="12"/>
        <v>土地级别</v>
      </c>
      <c r="AA36" s="1306">
        <f t="shared" si="3"/>
        <v>1</v>
      </c>
      <c r="AB36" s="1306">
        <f t="shared" si="4"/>
        <v>1</v>
      </c>
      <c r="AC36" s="1306">
        <f t="shared" si="5"/>
        <v>1.0416666666666667</v>
      </c>
    </row>
    <row r="37" spans="1:29" ht="21" thickBot="1">
      <c r="A37" s="464"/>
      <c r="B37" s="3405" t="s">
        <v>4103</v>
      </c>
      <c r="C37" s="3406" t="s">
        <v>4105</v>
      </c>
      <c r="D37" s="523">
        <v>100</v>
      </c>
      <c r="E37" s="3406" t="s">
        <v>4105</v>
      </c>
      <c r="F37" s="488">
        <f>SUMIF(111:111,E37,112:112)-SUMIF(111:111,C37,112:112)+100</f>
        <v>100</v>
      </c>
      <c r="G37" s="3406" t="s">
        <v>4106</v>
      </c>
      <c r="H37" s="488">
        <f>SUMIF(111:111,G37,112:112)-SUMIF(111:111,C37,112:112)+100</f>
        <v>96</v>
      </c>
      <c r="I37" s="3406" t="s">
        <v>4106</v>
      </c>
      <c r="J37" s="488">
        <f>SUMIF(111:111,I37,112:112)-SUMIF(111:111,C37,112:112)+100</f>
        <v>96</v>
      </c>
      <c r="K37" s="529"/>
      <c r="L37" s="1746"/>
      <c r="M37" s="1737"/>
      <c r="N37" s="1737"/>
      <c r="O37" s="1745"/>
      <c r="P37" s="3677"/>
      <c r="Q37" s="1303" t="str">
        <f t="shared" si="8"/>
        <v>远景规划</v>
      </c>
      <c r="R37" s="1304" t="s">
        <v>5</v>
      </c>
      <c r="S37" s="1305">
        <f t="shared" si="9"/>
        <v>100</v>
      </c>
      <c r="T37" s="1304" t="s">
        <v>5</v>
      </c>
      <c r="U37" s="1305">
        <f t="shared" si="10"/>
        <v>96</v>
      </c>
      <c r="V37" s="1304" t="s">
        <v>5</v>
      </c>
      <c r="W37" s="1305">
        <f t="shared" si="11"/>
        <v>96</v>
      </c>
      <c r="X37" s="1299"/>
      <c r="Y37" s="3677"/>
      <c r="Z37" s="1306" t="str">
        <f t="shared" si="12"/>
        <v>远景规划</v>
      </c>
      <c r="AA37" s="1306">
        <f t="shared" si="3"/>
        <v>1</v>
      </c>
      <c r="AB37" s="1306">
        <f t="shared" si="4"/>
        <v>1.0416666666666667</v>
      </c>
      <c r="AC37" s="1306">
        <f t="shared" si="5"/>
        <v>1.0416666666666667</v>
      </c>
    </row>
    <row r="38" spans="1:29" ht="20.25" hidden="1">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6"/>
      <c r="M38" s="1737"/>
      <c r="N38" s="1737"/>
      <c r="O38" s="1745"/>
      <c r="P38" s="3678" t="s">
        <v>499</v>
      </c>
      <c r="Q38" s="1303">
        <f t="shared" si="8"/>
        <v>111</v>
      </c>
      <c r="R38" s="1304" t="s">
        <v>5</v>
      </c>
      <c r="S38" s="1305">
        <f t="shared" si="9"/>
        <v>100</v>
      </c>
      <c r="T38" s="1304" t="s">
        <v>5</v>
      </c>
      <c r="U38" s="1305">
        <f t="shared" si="10"/>
        <v>100</v>
      </c>
      <c r="V38" s="1304" t="s">
        <v>5</v>
      </c>
      <c r="W38" s="1305">
        <f t="shared" si="11"/>
        <v>100</v>
      </c>
      <c r="X38" s="1299"/>
      <c r="Y38" s="3679" t="s">
        <v>499</v>
      </c>
      <c r="Z38" s="1306">
        <f t="shared" si="12"/>
        <v>111</v>
      </c>
      <c r="AA38" s="1306">
        <f t="shared" si="3"/>
        <v>1</v>
      </c>
      <c r="AB38" s="1306">
        <f t="shared" si="4"/>
        <v>1</v>
      </c>
      <c r="AC38" s="1306">
        <f t="shared" si="5"/>
        <v>1</v>
      </c>
    </row>
    <row r="39" spans="1:29" s="1131" customFormat="1" ht="21" hidden="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4"/>
      <c r="M39" s="1737"/>
      <c r="N39" s="1737"/>
      <c r="O39" s="1747"/>
      <c r="P39" s="3679"/>
      <c r="Q39" s="1303">
        <f t="shared" si="8"/>
        <v>111</v>
      </c>
      <c r="R39" s="1307" t="s">
        <v>5</v>
      </c>
      <c r="S39" s="1308">
        <f t="shared" si="9"/>
        <v>100</v>
      </c>
      <c r="T39" s="1307" t="s">
        <v>5</v>
      </c>
      <c r="U39" s="1308">
        <f t="shared" si="10"/>
        <v>100</v>
      </c>
      <c r="V39" s="1307" t="s">
        <v>5</v>
      </c>
      <c r="W39" s="1308">
        <f t="shared" si="11"/>
        <v>100</v>
      </c>
      <c r="X39" s="1309"/>
      <c r="Y39" s="3679"/>
      <c r="Z39" s="1310">
        <f t="shared" si="12"/>
        <v>111</v>
      </c>
      <c r="AA39" s="1306">
        <f t="shared" si="3"/>
        <v>1</v>
      </c>
      <c r="AB39" s="1306">
        <f t="shared" si="4"/>
        <v>1</v>
      </c>
      <c r="AC39" s="1306">
        <f t="shared" si="5"/>
        <v>1</v>
      </c>
    </row>
    <row r="40" spans="1:29" ht="20.25">
      <c r="A40" s="2201" t="s">
        <v>2035</v>
      </c>
      <c r="B40" s="542" t="s">
        <v>501</v>
      </c>
      <c r="C40" s="543">
        <f>'数据-基础表'!A3</f>
        <v>21672.98</v>
      </c>
      <c r="D40" s="544">
        <v>100</v>
      </c>
      <c r="E40" s="543">
        <f>土地案例!I2</f>
        <v>19113.12</v>
      </c>
      <c r="F40" s="544">
        <f>LOOKUP(E40,118:118,119:119)-LOOKUP(C40,118:118,119:119)+100</f>
        <v>100</v>
      </c>
      <c r="G40" s="543">
        <f>土地案例!I3</f>
        <v>69837.09</v>
      </c>
      <c r="H40" s="544">
        <f>LOOKUP(G40,118:118,119:119)-LOOKUP(C40,118:118,119:119)+100</f>
        <v>102</v>
      </c>
      <c r="I40" s="545">
        <f>土地案例!I4</f>
        <v>31558.240000000002</v>
      </c>
      <c r="J40" s="544">
        <f>LOOKUP(I40,118:118,119:119)-LOOKUP(C40,118:118,119:119)+100</f>
        <v>101</v>
      </c>
      <c r="K40" s="529"/>
      <c r="L40" s="1746"/>
      <c r="M40" s="1737"/>
      <c r="N40" s="1737"/>
      <c r="O40" s="1745"/>
      <c r="P40" s="3679"/>
      <c r="Q40" s="1303" t="str">
        <f>B40</f>
        <v>宗地面积</v>
      </c>
      <c r="R40" s="1304" t="s">
        <v>5</v>
      </c>
      <c r="S40" s="1305">
        <f t="shared" si="9"/>
        <v>100</v>
      </c>
      <c r="T40" s="1304" t="s">
        <v>5</v>
      </c>
      <c r="U40" s="1305">
        <f t="shared" si="10"/>
        <v>102</v>
      </c>
      <c r="V40" s="1304" t="s">
        <v>5</v>
      </c>
      <c r="W40" s="1305">
        <f t="shared" si="11"/>
        <v>101</v>
      </c>
      <c r="X40" s="1299"/>
      <c r="Y40" s="3679"/>
      <c r="Z40" s="1306" t="str">
        <f t="shared" si="12"/>
        <v>宗地面积</v>
      </c>
      <c r="AA40" s="1306">
        <f t="shared" si="3"/>
        <v>1</v>
      </c>
      <c r="AB40" s="1306">
        <f t="shared" si="4"/>
        <v>0.98039215686274506</v>
      </c>
      <c r="AC40" s="1306">
        <f t="shared" si="5"/>
        <v>0.99009900990099009</v>
      </c>
    </row>
    <row r="41" spans="1:29" ht="20.25">
      <c r="A41" s="541"/>
      <c r="B41" s="475" t="s">
        <v>502</v>
      </c>
      <c r="C41" s="3449" t="s">
        <v>4303</v>
      </c>
      <c r="D41" s="488">
        <v>100</v>
      </c>
      <c r="E41" s="3449" t="s">
        <v>4303</v>
      </c>
      <c r="F41" s="488">
        <f>SUMIF(120:120,E41,121:121)-SUMIF(120:120,C41,121:121)+100</f>
        <v>100</v>
      </c>
      <c r="G41" s="546" t="s">
        <v>4020</v>
      </c>
      <c r="H41" s="488">
        <f>SUMIF(120:120,G41,121:121)-SUMIF(120:120,C41,121:121)+100</f>
        <v>98</v>
      </c>
      <c r="I41" s="546" t="s">
        <v>4020</v>
      </c>
      <c r="J41" s="488">
        <f>SUMIF(120:120,I41,121:121)-SUMIF(120:120,C41,121:121)+100</f>
        <v>98</v>
      </c>
      <c r="K41" s="531">
        <v>2</v>
      </c>
      <c r="L41" s="1746"/>
      <c r="M41" s="1737"/>
      <c r="N41" s="1737"/>
      <c r="O41" s="1745"/>
      <c r="P41" s="3679"/>
      <c r="Q41" s="1303" t="str">
        <f t="shared" ref="Q41:Q47" si="13">B41</f>
        <v>宗地形状</v>
      </c>
      <c r="R41" s="1304" t="s">
        <v>5</v>
      </c>
      <c r="S41" s="1305">
        <f t="shared" si="9"/>
        <v>100</v>
      </c>
      <c r="T41" s="1304" t="s">
        <v>5</v>
      </c>
      <c r="U41" s="1305">
        <f t="shared" si="10"/>
        <v>98</v>
      </c>
      <c r="V41" s="1304" t="s">
        <v>5</v>
      </c>
      <c r="W41" s="1305">
        <f t="shared" si="11"/>
        <v>98</v>
      </c>
      <c r="X41" s="1299"/>
      <c r="Y41" s="3679"/>
      <c r="Z41" s="1306" t="str">
        <f t="shared" si="12"/>
        <v>宗地形状</v>
      </c>
      <c r="AA41" s="1306">
        <f t="shared" si="3"/>
        <v>1</v>
      </c>
      <c r="AB41" s="1306">
        <f t="shared" si="4"/>
        <v>1.0204081632653061</v>
      </c>
      <c r="AC41" s="1306">
        <f t="shared" si="5"/>
        <v>1.0204081632653061</v>
      </c>
    </row>
    <row r="42" spans="1:29" ht="20.25" hidden="1">
      <c r="A42" s="541"/>
      <c r="B42" s="475" t="s">
        <v>503</v>
      </c>
      <c r="C42" s="546" t="s">
        <v>4024</v>
      </c>
      <c r="D42" s="488">
        <v>100</v>
      </c>
      <c r="E42" s="546" t="s">
        <v>4024</v>
      </c>
      <c r="F42" s="488">
        <f>SUMIF(122:122,E42,123:123)-SUMIF(122:122,C42,123:123)+100</f>
        <v>100</v>
      </c>
      <c r="G42" s="546" t="s">
        <v>4024</v>
      </c>
      <c r="H42" s="488">
        <f>SUMIF(122:122,G42,123:123)-SUMIF(122:122,C42,123:123)+100</f>
        <v>100</v>
      </c>
      <c r="I42" s="546" t="s">
        <v>4024</v>
      </c>
      <c r="J42" s="488">
        <f>SUMIF(122:122,I42,123:123)-SUMIF(122:122,C42,123:123)+100</f>
        <v>100</v>
      </c>
      <c r="K42" s="531">
        <v>0</v>
      </c>
      <c r="L42" s="1746"/>
      <c r="M42" s="1737"/>
      <c r="N42" s="1737"/>
      <c r="O42" s="1745"/>
      <c r="P42" s="3679"/>
      <c r="Q42" s="1303" t="str">
        <f t="shared" si="13"/>
        <v>临街宽度及深度</v>
      </c>
      <c r="R42" s="1304" t="s">
        <v>5</v>
      </c>
      <c r="S42" s="1305">
        <f t="shared" si="9"/>
        <v>100</v>
      </c>
      <c r="T42" s="1304" t="s">
        <v>5</v>
      </c>
      <c r="U42" s="1305">
        <f t="shared" si="10"/>
        <v>100</v>
      </c>
      <c r="V42" s="1304" t="s">
        <v>5</v>
      </c>
      <c r="W42" s="1305">
        <f t="shared" si="11"/>
        <v>100</v>
      </c>
      <c r="X42" s="1299"/>
      <c r="Y42" s="3679"/>
      <c r="Z42" s="1306" t="str">
        <f t="shared" si="12"/>
        <v>临街宽度及深度</v>
      </c>
      <c r="AA42" s="1306">
        <f t="shared" si="3"/>
        <v>1</v>
      </c>
      <c r="AB42" s="1306">
        <f t="shared" si="4"/>
        <v>1</v>
      </c>
      <c r="AC42" s="1306">
        <f t="shared" si="5"/>
        <v>1</v>
      </c>
    </row>
    <row r="43" spans="1:29" s="1057" customFormat="1" ht="20.25">
      <c r="A43" s="547"/>
      <c r="B43" s="1551" t="s">
        <v>1774</v>
      </c>
      <c r="C43" s="548" t="s">
        <v>4027</v>
      </c>
      <c r="D43" s="233">
        <v>100</v>
      </c>
      <c r="E43" s="548" t="s">
        <v>4027</v>
      </c>
      <c r="F43" s="488">
        <f>SUMIF(124:124,E43,125:125)-SUMIF(124:124,C43,125:125)+100</f>
        <v>100</v>
      </c>
      <c r="G43" s="548" t="s">
        <v>4027</v>
      </c>
      <c r="H43" s="488">
        <f>SUMIF(124:124,G43,125:125)-SUMIF(124:124,C43,125:125)+100</f>
        <v>100</v>
      </c>
      <c r="I43" s="548" t="s">
        <v>3344</v>
      </c>
      <c r="J43" s="488">
        <f>SUMIF(124:124,I43,125:125)-SUMIF(124:124,C43,125:125)+100</f>
        <v>101</v>
      </c>
      <c r="K43" s="531">
        <v>1</v>
      </c>
      <c r="L43" s="1740"/>
      <c r="M43" s="1737"/>
      <c r="N43" s="1737"/>
      <c r="O43" s="1741"/>
      <c r="P43" s="3679"/>
      <c r="Q43" s="1303" t="str">
        <f t="shared" si="13"/>
        <v>宗地开发程度</v>
      </c>
      <c r="R43" s="1300" t="s">
        <v>5</v>
      </c>
      <c r="S43" s="1301">
        <f t="shared" si="9"/>
        <v>100</v>
      </c>
      <c r="T43" s="1300" t="s">
        <v>5</v>
      </c>
      <c r="U43" s="1301">
        <f t="shared" si="10"/>
        <v>100</v>
      </c>
      <c r="V43" s="1300" t="s">
        <v>5</v>
      </c>
      <c r="W43" s="1301">
        <f t="shared" si="11"/>
        <v>101</v>
      </c>
      <c r="X43" s="1302"/>
      <c r="Y43" s="3679"/>
      <c r="Z43" s="994" t="str">
        <f t="shared" si="12"/>
        <v>宗地开发程度</v>
      </c>
      <c r="AA43" s="994">
        <f t="shared" si="3"/>
        <v>1</v>
      </c>
      <c r="AB43" s="994">
        <f t="shared" si="4"/>
        <v>1</v>
      </c>
      <c r="AC43" s="994">
        <f t="shared" si="5"/>
        <v>0.99009900990099009</v>
      </c>
    </row>
    <row r="44" spans="1:29" ht="20.25">
      <c r="A44" s="541"/>
      <c r="B44" s="475" t="s">
        <v>504</v>
      </c>
      <c r="C44" s="546" t="s">
        <v>3346</v>
      </c>
      <c r="D44" s="488">
        <v>100</v>
      </c>
      <c r="E44" s="546" t="s">
        <v>3346</v>
      </c>
      <c r="F44" s="488">
        <f>SUMIF(126:126,E44,127:127)-SUMIF(126:126,C44,127:127)+100</f>
        <v>100</v>
      </c>
      <c r="G44" s="546" t="s">
        <v>3346</v>
      </c>
      <c r="H44" s="488">
        <f>SUMIF(126:126,G44,127:127)-SUMIF(126:126,C44,127:127)+100</f>
        <v>100</v>
      </c>
      <c r="I44" s="546" t="s">
        <v>3346</v>
      </c>
      <c r="J44" s="488">
        <f>SUMIF(126:126,I44,127:127)-SUMIF(126:126,C44,127:127)+100</f>
        <v>100</v>
      </c>
      <c r="K44" s="531">
        <v>1</v>
      </c>
      <c r="L44" s="1746"/>
      <c r="M44" s="1737">
        <v>5500</v>
      </c>
      <c r="N44" s="1737">
        <f>'数据-汇总表'!E19</f>
        <v>34475.879999999997</v>
      </c>
      <c r="O44" s="1745">
        <f>N44*M44</f>
        <v>189617340</v>
      </c>
      <c r="P44" s="3679" t="s">
        <v>499</v>
      </c>
      <c r="Q44" s="1303" t="str">
        <f t="shared" si="13"/>
        <v>工程地质条件</v>
      </c>
      <c r="R44" s="1304" t="s">
        <v>5</v>
      </c>
      <c r="S44" s="1305">
        <f t="shared" si="9"/>
        <v>100</v>
      </c>
      <c r="T44" s="1304" t="s">
        <v>5</v>
      </c>
      <c r="U44" s="1305">
        <f t="shared" si="10"/>
        <v>100</v>
      </c>
      <c r="V44" s="1304" t="s">
        <v>5</v>
      </c>
      <c r="W44" s="1305">
        <f t="shared" si="11"/>
        <v>100</v>
      </c>
      <c r="X44" s="1299"/>
      <c r="Y44" s="3679" t="s">
        <v>499</v>
      </c>
      <c r="Z44" s="1306" t="str">
        <f t="shared" si="12"/>
        <v>工程地质条件</v>
      </c>
      <c r="AA44" s="1306">
        <f t="shared" si="3"/>
        <v>1</v>
      </c>
      <c r="AB44" s="1306">
        <f t="shared" si="4"/>
        <v>1</v>
      </c>
      <c r="AC44" s="1306">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6"/>
      <c r="M45" s="1737"/>
      <c r="N45" s="1737"/>
      <c r="O45" s="1745"/>
      <c r="P45" s="3679"/>
      <c r="Q45" s="1303">
        <f t="shared" si="13"/>
        <v>111</v>
      </c>
      <c r="R45" s="1304" t="s">
        <v>5</v>
      </c>
      <c r="S45" s="1305">
        <f t="shared" si="9"/>
        <v>100</v>
      </c>
      <c r="T45" s="1304" t="s">
        <v>5</v>
      </c>
      <c r="U45" s="1305">
        <f t="shared" si="10"/>
        <v>100</v>
      </c>
      <c r="V45" s="1304" t="s">
        <v>5</v>
      </c>
      <c r="W45" s="1305">
        <f t="shared" si="11"/>
        <v>100</v>
      </c>
      <c r="X45" s="1299"/>
      <c r="Y45" s="3679"/>
      <c r="Z45" s="1306">
        <f t="shared" si="12"/>
        <v>111</v>
      </c>
      <c r="AA45" s="1306">
        <f t="shared" si="3"/>
        <v>1</v>
      </c>
      <c r="AB45" s="1306">
        <f t="shared" si="4"/>
        <v>1</v>
      </c>
      <c r="AC45" s="1306">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6"/>
      <c r="M46" s="1737"/>
      <c r="N46" s="1737"/>
      <c r="O46" s="1745"/>
      <c r="P46" s="3679"/>
      <c r="Q46" s="1303">
        <f t="shared" si="13"/>
        <v>111</v>
      </c>
      <c r="R46" s="1304" t="s">
        <v>5</v>
      </c>
      <c r="S46" s="1305">
        <f t="shared" si="9"/>
        <v>100</v>
      </c>
      <c r="T46" s="1304" t="s">
        <v>5</v>
      </c>
      <c r="U46" s="1305">
        <f t="shared" si="10"/>
        <v>100</v>
      </c>
      <c r="V46" s="1304" t="s">
        <v>5</v>
      </c>
      <c r="W46" s="1305">
        <f t="shared" si="11"/>
        <v>100</v>
      </c>
      <c r="X46" s="1299"/>
      <c r="Y46" s="3679"/>
      <c r="Z46" s="1306">
        <f t="shared" si="12"/>
        <v>111</v>
      </c>
      <c r="AA46" s="1306">
        <f t="shared" si="3"/>
        <v>1</v>
      </c>
      <c r="AB46" s="1306">
        <f t="shared" si="4"/>
        <v>1</v>
      </c>
      <c r="AC46" s="1306">
        <f t="shared" si="5"/>
        <v>1</v>
      </c>
    </row>
    <row r="47" spans="1:29" s="1131" customFormat="1" ht="21" thickBot="1">
      <c r="A47" s="550"/>
      <c r="B47" s="549">
        <v>111</v>
      </c>
      <c r="C47" s="551"/>
      <c r="D47" s="552">
        <v>100</v>
      </c>
      <c r="E47" s="3436" t="s">
        <v>4291</v>
      </c>
      <c r="F47" s="494">
        <f>SUMIF(132:132,E47,133:133)-SUMIF(132:132,C47,133:133)+100</f>
        <v>100</v>
      </c>
      <c r="G47" s="490"/>
      <c r="H47" s="494">
        <f>SUMIF(132:132,G47,133:133)-SUMIF(132:132,C47,133:133)+100</f>
        <v>100</v>
      </c>
      <c r="I47" s="490"/>
      <c r="J47" s="494">
        <f>SUMIF(132:132,I47,133:133)-SUMIF(132:132,C47,133:133)+100</f>
        <v>100</v>
      </c>
      <c r="K47" s="553"/>
      <c r="L47" s="1744"/>
      <c r="M47" s="1737"/>
      <c r="N47" s="1737"/>
      <c r="O47" s="1747"/>
      <c r="P47" s="3679"/>
      <c r="Q47" s="1303">
        <f t="shared" si="13"/>
        <v>111</v>
      </c>
      <c r="R47" s="1307" t="s">
        <v>5</v>
      </c>
      <c r="S47" s="1308">
        <f t="shared" si="9"/>
        <v>100</v>
      </c>
      <c r="T47" s="1307" t="s">
        <v>5</v>
      </c>
      <c r="U47" s="1308">
        <f t="shared" si="10"/>
        <v>100</v>
      </c>
      <c r="V47" s="1307" t="s">
        <v>5</v>
      </c>
      <c r="W47" s="1308">
        <f t="shared" si="11"/>
        <v>100</v>
      </c>
      <c r="X47" s="1309"/>
      <c r="Y47" s="3679"/>
      <c r="Z47" s="1310">
        <f t="shared" si="12"/>
        <v>111</v>
      </c>
      <c r="AA47" s="1306">
        <f t="shared" si="3"/>
        <v>1</v>
      </c>
      <c r="AB47" s="1306">
        <f t="shared" si="4"/>
        <v>1</v>
      </c>
      <c r="AC47" s="1306">
        <f t="shared" si="5"/>
        <v>1</v>
      </c>
    </row>
    <row r="48" spans="1:29" ht="20.25">
      <c r="A48" s="554" t="s">
        <v>505</v>
      </c>
      <c r="B48" s="555" t="s">
        <v>4026</v>
      </c>
      <c r="C48" s="556" t="s">
        <v>0</v>
      </c>
      <c r="D48" s="557"/>
      <c r="E48" s="3456">
        <f>土地案例!BH247</f>
        <v>12220</v>
      </c>
      <c r="F48" s="559"/>
      <c r="G48" s="3470">
        <f>土地案例!AW3</f>
        <v>11455</v>
      </c>
      <c r="H48" s="561"/>
      <c r="I48" s="3471">
        <f>土地案例!AW4</f>
        <v>9970</v>
      </c>
      <c r="J48" s="561"/>
      <c r="K48" s="1132"/>
      <c r="L48" s="1748"/>
      <c r="M48" s="1737">
        <v>4800</v>
      </c>
      <c r="N48" s="1737">
        <f>'数据-汇总表'!F20+'数据-汇总表'!F21</f>
        <v>8069.2</v>
      </c>
      <c r="O48" s="1745">
        <f>N48*M48</f>
        <v>38732160</v>
      </c>
      <c r="P48" s="3642" t="str">
        <f>A48</f>
        <v>成交单价</v>
      </c>
      <c r="Q48" s="3642"/>
      <c r="R48" s="3643">
        <f>E48</f>
        <v>12220</v>
      </c>
      <c r="S48" s="3643"/>
      <c r="T48" s="3643">
        <f>G48</f>
        <v>11455</v>
      </c>
      <c r="U48" s="3643"/>
      <c r="V48" s="3643">
        <f>I48</f>
        <v>9970</v>
      </c>
      <c r="W48" s="3643"/>
      <c r="X48" s="797"/>
      <c r="Y48" s="1311"/>
      <c r="Z48" s="797"/>
      <c r="AA48" s="797"/>
      <c r="AB48" s="797"/>
      <c r="AC48" s="797"/>
    </row>
    <row r="49" spans="1:29" ht="21" thickBot="1">
      <c r="A49" s="562" t="s">
        <v>1973</v>
      </c>
      <c r="B49" s="563"/>
      <c r="C49" s="564">
        <f>R50</f>
        <v>11396</v>
      </c>
      <c r="D49" s="3797" t="s">
        <v>2254</v>
      </c>
      <c r="E49" s="564">
        <f>R49</f>
        <v>12220</v>
      </c>
      <c r="F49" s="2547">
        <v>0.5</v>
      </c>
      <c r="G49" s="565">
        <f>T49</f>
        <v>11358</v>
      </c>
      <c r="H49" s="2547">
        <v>0.25</v>
      </c>
      <c r="I49" s="564">
        <f>V49</f>
        <v>10609</v>
      </c>
      <c r="J49" s="2547">
        <v>0.25</v>
      </c>
      <c r="K49" s="2548">
        <f>F49+H49+J49</f>
        <v>1</v>
      </c>
      <c r="L49" s="1748"/>
      <c r="M49" s="1737"/>
      <c r="N49" s="1737"/>
      <c r="O49" s="1739">
        <f>O48+O44</f>
        <v>228349500</v>
      </c>
      <c r="P49" s="3642" t="str">
        <f>A49</f>
        <v>比较价格（元/平方米）</v>
      </c>
      <c r="Q49" s="3642"/>
      <c r="R49" s="3644">
        <f>ROUND(PRODUCT(R48,AA9:AA47),0)</f>
        <v>12220</v>
      </c>
      <c r="S49" s="3644"/>
      <c r="T49" s="3644">
        <f>ROUND(PRODUCT(T48,AB9:AB47),0)</f>
        <v>11358</v>
      </c>
      <c r="U49" s="3644"/>
      <c r="V49" s="3644">
        <f>ROUND(PRODUCT(V48,AC9:AC47),0)</f>
        <v>10609</v>
      </c>
      <c r="W49" s="3644"/>
      <c r="X49" s="797"/>
      <c r="Y49" s="797"/>
      <c r="Z49" s="797"/>
      <c r="AA49" s="797"/>
      <c r="AB49" s="797"/>
      <c r="AC49" s="797"/>
    </row>
    <row r="50" spans="1:29" ht="21" thickBot="1">
      <c r="A50" s="566" t="s">
        <v>2191</v>
      </c>
      <c r="B50" s="567"/>
      <c r="C50" s="568">
        <f>R50</f>
        <v>11396</v>
      </c>
      <c r="D50" s="568"/>
      <c r="E50" s="568"/>
      <c r="F50" s="568"/>
      <c r="G50" s="568"/>
      <c r="H50" s="568"/>
      <c r="I50" s="568"/>
      <c r="J50" s="568"/>
      <c r="K50" s="1133"/>
      <c r="L50" s="1748"/>
      <c r="M50" s="1737">
        <v>5500</v>
      </c>
      <c r="N50" s="1737">
        <f>'数据-汇总表'!F27</f>
        <v>42545.079999999994</v>
      </c>
      <c r="O50" s="1745">
        <f>N50*M50</f>
        <v>233997939.99999997</v>
      </c>
      <c r="P50" s="3680" t="str">
        <f>A50</f>
        <v>估价对象XX用房的比较价格（楼面单价，元/平方米）</v>
      </c>
      <c r="Q50" s="3681"/>
      <c r="R50" s="3641">
        <f>ROUND(IF(D49="简单平均",AVERAGE(R49:W49),R49*F49+T49*H49+V49*J49),0)</f>
        <v>11396</v>
      </c>
      <c r="S50" s="3641"/>
      <c r="T50" s="3641"/>
      <c r="U50" s="3641"/>
      <c r="V50" s="3641"/>
      <c r="W50" s="3641"/>
      <c r="X50" s="797"/>
      <c r="Y50" s="797"/>
      <c r="Z50" s="797"/>
      <c r="AA50" s="797"/>
      <c r="AB50" s="797"/>
      <c r="AC50" s="797"/>
    </row>
    <row r="51" spans="1:29" ht="20.25">
      <c r="A51" s="2715"/>
      <c r="B51" s="2715"/>
      <c r="C51" s="2715">
        <f>('数据-汇总表'!F20+'数据-汇总表'!F21)/'数据-汇总表'!E8</f>
        <v>0.18966235343781235</v>
      </c>
      <c r="D51" s="2715"/>
      <c r="E51" s="2717">
        <v>0.16</v>
      </c>
      <c r="F51" s="2715"/>
      <c r="G51" s="2717"/>
      <c r="H51" s="2715"/>
      <c r="I51" s="2715"/>
      <c r="J51" s="2715"/>
      <c r="K51" s="2718"/>
      <c r="L51" s="1752"/>
      <c r="M51" s="1737"/>
      <c r="N51" s="1737"/>
      <c r="O51" s="1739">
        <f>O50-O49</f>
        <v>5648439.9999999702</v>
      </c>
      <c r="P51" s="1739"/>
      <c r="Q51" s="1739"/>
      <c r="R51" s="1739"/>
      <c r="S51" s="1739"/>
      <c r="T51" s="1739"/>
      <c r="U51" s="1739"/>
      <c r="V51" s="1739"/>
      <c r="W51" s="1739"/>
      <c r="X51" s="1739"/>
      <c r="Y51" s="1739"/>
      <c r="Z51" s="1739"/>
      <c r="AA51" s="1739"/>
      <c r="AB51" s="1739"/>
      <c r="AC51" s="1739"/>
    </row>
    <row r="52" spans="1:29" ht="20.25">
      <c r="A52" s="2715"/>
      <c r="B52" s="2715"/>
      <c r="C52" s="2715"/>
      <c r="D52" s="2715"/>
      <c r="E52" s="2715"/>
      <c r="F52" s="2715"/>
      <c r="G52" s="2715"/>
      <c r="H52" s="2715"/>
      <c r="I52" s="2715"/>
      <c r="J52" s="2715"/>
      <c r="K52" s="2718"/>
      <c r="L52" s="1752"/>
      <c r="M52" s="1737"/>
      <c r="N52" s="1737"/>
      <c r="O52" s="1739">
        <f>O51/O49</f>
        <v>2.4735942053737671E-2</v>
      </c>
      <c r="P52" s="1739"/>
      <c r="Q52" s="1739"/>
      <c r="R52" s="1739"/>
      <c r="S52" s="1739"/>
      <c r="T52" s="1739"/>
      <c r="U52" s="1739"/>
      <c r="V52" s="1739"/>
      <c r="W52" s="1739"/>
      <c r="X52" s="1739"/>
      <c r="Y52" s="1739"/>
      <c r="Z52" s="1739"/>
      <c r="AA52" s="1739"/>
      <c r="AB52" s="1739"/>
      <c r="AC52" s="1739"/>
    </row>
    <row r="53" spans="1:29" ht="13.5" customHeight="1">
      <c r="A53" s="2715"/>
      <c r="B53" s="2715"/>
      <c r="C53" s="569" t="s">
        <v>506</v>
      </c>
      <c r="D53" s="570"/>
      <c r="E53" s="571">
        <f>IF(E48&lt;E49,E49/E48-1,E48/E49-1)</f>
        <v>0</v>
      </c>
      <c r="F53" s="572" t="str">
        <f>IF(OR(E53&gt;=0.3,E53&lt;=-0.3),"超过30%","")</f>
        <v/>
      </c>
      <c r="G53" s="571">
        <f>IF(G48&lt;G49,G49/G48-1,G48/G49-1)</f>
        <v>8.5402359570347919E-3</v>
      </c>
      <c r="H53" s="572" t="str">
        <f>IF(OR(G53&gt;=0.3,G53&lt;=-0.3),"超过30%","")</f>
        <v/>
      </c>
      <c r="I53" s="571">
        <f>IF(I48&lt;I49,I49/I48-1,I48/I49-1)</f>
        <v>6.4092276830491457E-2</v>
      </c>
      <c r="J53" s="572" t="str">
        <f>IF(OR(I53&gt;=0.3,I53&lt;=-0.3),"超过30%","")</f>
        <v/>
      </c>
      <c r="K53" s="2718"/>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5"/>
      <c r="B54" s="2715"/>
      <c r="C54" s="569" t="s">
        <v>507</v>
      </c>
      <c r="D54" s="573"/>
      <c r="E54" s="571">
        <f>IF(E49&lt;G49,G49/E49-1,E49/G49-1)</f>
        <v>7.5893643247050502E-2</v>
      </c>
      <c r="F54" s="572" t="str">
        <f>IF(OR(E54&gt;=0.2,E54&lt;=-0.2),"超过20%","")</f>
        <v/>
      </c>
      <c r="G54" s="571">
        <f>IF(G49&lt;I49,I49/G49-1,G49/I49-1)</f>
        <v>7.0600433594118162E-2</v>
      </c>
      <c r="H54" s="572" t="str">
        <f>IF(OR(G54&gt;=0.2,G54&lt;=-0.2),"超过20%","")</f>
        <v/>
      </c>
      <c r="I54" s="571">
        <f>IF(I49&lt;E49,E49/I49-1,I49/E49-1)</f>
        <v>0.1518522009614478</v>
      </c>
      <c r="J54" s="572" t="str">
        <f>IF(OR(I54&gt;=0.2,I54&lt;=-0.2),"超过20%","")</f>
        <v/>
      </c>
      <c r="K54" s="2718"/>
      <c r="L54" s="1752"/>
      <c r="M54" s="1737"/>
      <c r="N54" s="1737"/>
      <c r="O54" s="1739"/>
      <c r="P54" s="1739"/>
      <c r="Q54" s="1739"/>
      <c r="R54" s="1739"/>
      <c r="S54" s="1739"/>
      <c r="T54" s="1739"/>
      <c r="U54" s="1739"/>
      <c r="V54" s="1739"/>
      <c r="W54" s="1739"/>
      <c r="X54" s="1739"/>
      <c r="Y54" s="1739"/>
      <c r="Z54" s="1739"/>
      <c r="AA54" s="1739"/>
      <c r="AB54" s="1739"/>
      <c r="AC54" s="1739"/>
    </row>
    <row r="55" spans="1:29" s="1136" customFormat="1" ht="13.5" customHeight="1">
      <c r="A55" s="2716"/>
      <c r="B55" s="2716"/>
      <c r="C55" s="569" t="s">
        <v>508</v>
      </c>
      <c r="D55" s="573"/>
      <c r="E55" s="571">
        <f>IF(E48&lt;G48,G48/E48-1,E48/G48-1)</f>
        <v>6.6783064164120498E-2</v>
      </c>
      <c r="F55" s="572" t="str">
        <f>IF(OR(E55&gt;=0.3,E55&lt;=-0.3),"超过30%","")</f>
        <v/>
      </c>
      <c r="G55" s="571">
        <f>IF(G48&lt;I48,I48/G48-1,G48/I48-1)</f>
        <v>0.14894684052156459</v>
      </c>
      <c r="H55" s="572" t="str">
        <f>IF(OR(G55&gt;=0.3,G55&lt;=-0.3),"超过30%","")</f>
        <v/>
      </c>
      <c r="I55" s="571">
        <f>IF(I48&lt;E48,E48/I48-1,I48/E48-1)</f>
        <v>0.22567703109327986</v>
      </c>
      <c r="J55" s="572" t="str">
        <f>IF(OR(I55&gt;=0.3,I55&lt;=-0.3),"超过30%","")</f>
        <v/>
      </c>
      <c r="K55" s="2719"/>
      <c r="L55" s="1755"/>
      <c r="M55" s="1737"/>
      <c r="N55" s="1737"/>
      <c r="O55" s="1749"/>
      <c r="P55" s="1749"/>
      <c r="Q55" s="1749"/>
      <c r="R55" s="1749"/>
      <c r="S55" s="1749"/>
      <c r="T55" s="1749"/>
      <c r="U55" s="1749"/>
      <c r="V55" s="1749"/>
      <c r="W55" s="1749"/>
      <c r="X55" s="1749"/>
      <c r="Y55" s="1749"/>
      <c r="Z55" s="1749"/>
      <c r="AA55" s="1749"/>
      <c r="AB55" s="1749"/>
      <c r="AC55" s="1749"/>
    </row>
    <row r="56" spans="1:29" s="1136" customFormat="1" ht="21" thickBot="1">
      <c r="A56" s="1749"/>
      <c r="B56" s="1750"/>
      <c r="C56" s="1753"/>
      <c r="D56" s="1749"/>
      <c r="E56" s="1749"/>
      <c r="F56" s="1749"/>
      <c r="G56" s="1749"/>
      <c r="H56" s="1749"/>
      <c r="I56" s="1749"/>
      <c r="J56" s="1749"/>
      <c r="K56" s="2719"/>
      <c r="L56" s="1755"/>
      <c r="M56" s="3465" t="s">
        <v>4318</v>
      </c>
      <c r="N56" s="1737">
        <f>N48/N44</f>
        <v>0.23405348898998374</v>
      </c>
      <c r="O56" s="1749"/>
      <c r="P56" s="1749"/>
      <c r="Q56" s="1749"/>
      <c r="R56" s="1749"/>
      <c r="S56" s="1749"/>
      <c r="T56" s="1749"/>
      <c r="U56" s="1749"/>
      <c r="V56" s="1749"/>
      <c r="W56" s="1749"/>
      <c r="X56" s="1749"/>
      <c r="Y56" s="1749"/>
      <c r="Z56" s="1749"/>
      <c r="AA56" s="1749"/>
      <c r="AB56" s="1749"/>
      <c r="AC56" s="1749"/>
    </row>
    <row r="57" spans="1:29" ht="26.25" customHeight="1">
      <c r="A57" s="574" t="s">
        <v>509</v>
      </c>
      <c r="B57" s="575" t="s">
        <v>510</v>
      </c>
      <c r="C57" s="1297" t="s">
        <v>1253</v>
      </c>
      <c r="D57" s="1818" t="s">
        <v>1648</v>
      </c>
      <c r="E57" s="576" t="s">
        <v>511</v>
      </c>
      <c r="F57" s="577" t="s">
        <v>512</v>
      </c>
      <c r="G57" s="3669" t="s">
        <v>1637</v>
      </c>
      <c r="H57" s="3670"/>
      <c r="I57" s="1294" t="s">
        <v>1251</v>
      </c>
      <c r="J57" s="1294">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7" customFormat="1" ht="20.25">
      <c r="A58" s="578" t="s">
        <v>513</v>
      </c>
      <c r="B58" s="579">
        <f>C50</f>
        <v>11396</v>
      </c>
      <c r="C58" s="580">
        <v>1</v>
      </c>
      <c r="D58" s="1819">
        <v>1</v>
      </c>
      <c r="E58" s="580">
        <f>'数据-汇总表'!E8+'数据-汇总表'!E9</f>
        <v>42645.099999999991</v>
      </c>
      <c r="F58" s="581">
        <f t="shared" ref="F58:F66" si="14">ROUND(B58*E58/10000,0)</f>
        <v>48598</v>
      </c>
      <c r="G58" s="3671"/>
      <c r="H58" s="3672"/>
      <c r="I58" s="1295">
        <v>1</v>
      </c>
      <c r="J58" s="1295">
        <v>1</v>
      </c>
      <c r="K58" s="2720"/>
      <c r="L58" s="1757"/>
      <c r="M58" s="3466"/>
      <c r="N58" s="1671"/>
      <c r="O58" s="1757"/>
      <c r="P58" s="1757"/>
      <c r="Q58" s="1757"/>
      <c r="R58" s="1757"/>
      <c r="S58" s="1757"/>
      <c r="T58" s="1757"/>
      <c r="U58" s="1757"/>
      <c r="V58" s="1757"/>
      <c r="W58" s="1757"/>
      <c r="X58" s="1757"/>
      <c r="Y58" s="1757"/>
      <c r="Z58" s="1757"/>
      <c r="AA58" s="1757"/>
      <c r="AB58" s="1757"/>
      <c r="AC58" s="1757"/>
    </row>
    <row r="59" spans="1:29" s="1137" customFormat="1" ht="12.75">
      <c r="A59" s="582" t="s">
        <v>514</v>
      </c>
      <c r="B59" s="583">
        <f>ROUND($C$50*C59*D59,0)</f>
        <v>1425</v>
      </c>
      <c r="C59" s="346">
        <f t="shared" ref="C59:C66" si="15">IF($C$57="北京市系数",I59,J59)</f>
        <v>0.5</v>
      </c>
      <c r="D59" s="1820">
        <v>0.25</v>
      </c>
      <c r="E59" s="584">
        <v>0</v>
      </c>
      <c r="F59" s="581">
        <f t="shared" si="14"/>
        <v>0</v>
      </c>
      <c r="G59" s="3021" t="s">
        <v>1638</v>
      </c>
      <c r="H59" s="1604" t="str">
        <f>项目基本情况!B43</f>
        <v>九级</v>
      </c>
      <c r="I59" s="1295">
        <f>SUMIF(修正!$A$57:$A$68,H59,修正!B57:B68)</f>
        <v>0.5</v>
      </c>
      <c r="J59" s="1296"/>
      <c r="K59" s="2720"/>
      <c r="L59" s="1757"/>
      <c r="M59" s="1757"/>
      <c r="N59" s="1757"/>
      <c r="O59" s="1757"/>
      <c r="P59" s="1757"/>
      <c r="Q59" s="1757"/>
      <c r="R59" s="1757"/>
      <c r="S59" s="1757"/>
      <c r="T59" s="1757"/>
      <c r="U59" s="1757"/>
      <c r="V59" s="1757"/>
      <c r="W59" s="1757"/>
      <c r="X59" s="1757"/>
      <c r="Y59" s="1757"/>
      <c r="Z59" s="1757"/>
      <c r="AA59" s="1757"/>
      <c r="AB59" s="1757"/>
      <c r="AC59" s="1757"/>
    </row>
    <row r="60" spans="1:29" s="1137" customFormat="1" ht="12.75">
      <c r="A60" s="582" t="s">
        <v>515</v>
      </c>
      <c r="B60" s="583">
        <f t="shared" ref="B60:B66" si="16">ROUND($C$50*C60*D60,0)</f>
        <v>570</v>
      </c>
      <c r="C60" s="346">
        <f t="shared" si="15"/>
        <v>0.2</v>
      </c>
      <c r="D60" s="1820">
        <v>0.25</v>
      </c>
      <c r="E60" s="584">
        <v>0</v>
      </c>
      <c r="F60" s="581">
        <f t="shared" si="14"/>
        <v>0</v>
      </c>
      <c r="G60" s="3022"/>
      <c r="H60" s="1604" t="str">
        <f>项目基本情况!B43</f>
        <v>九级</v>
      </c>
      <c r="I60" s="1295">
        <f>SUMIF(修正!$A$57:$A$68,H60,修正!C57:C68)</f>
        <v>0.2</v>
      </c>
      <c r="J60" s="1296"/>
      <c r="K60" s="2720"/>
      <c r="L60" s="1757"/>
      <c r="M60" s="1757"/>
      <c r="N60" s="1757"/>
      <c r="O60" s="1757"/>
      <c r="P60" s="1757"/>
      <c r="Q60" s="1757"/>
      <c r="R60" s="1757"/>
      <c r="S60" s="1757"/>
      <c r="T60" s="1757"/>
      <c r="U60" s="1757"/>
      <c r="V60" s="1757"/>
      <c r="W60" s="1757"/>
      <c r="X60" s="1757"/>
      <c r="Y60" s="1757"/>
      <c r="Z60" s="1757"/>
      <c r="AA60" s="1757"/>
      <c r="AB60" s="1757"/>
      <c r="AC60" s="1757"/>
    </row>
    <row r="61" spans="1:29" s="1137" customFormat="1" ht="12.75">
      <c r="A61" s="582" t="s">
        <v>516</v>
      </c>
      <c r="B61" s="583">
        <f t="shared" si="16"/>
        <v>570</v>
      </c>
      <c r="C61" s="346">
        <f t="shared" si="15"/>
        <v>0.2</v>
      </c>
      <c r="D61" s="1820">
        <v>0.25</v>
      </c>
      <c r="E61" s="584">
        <v>0</v>
      </c>
      <c r="F61" s="581">
        <f t="shared" si="14"/>
        <v>0</v>
      </c>
      <c r="G61" s="3022"/>
      <c r="H61" s="1604" t="str">
        <f>项目基本情况!B43</f>
        <v>九级</v>
      </c>
      <c r="I61" s="1295">
        <f>SUMIF(修正!$A$57:$A$68,H61,修正!D57:D68)</f>
        <v>0.2</v>
      </c>
      <c r="J61" s="1296"/>
      <c r="K61" s="2720"/>
      <c r="L61" s="1757"/>
      <c r="M61" s="1757"/>
      <c r="N61" s="1757"/>
      <c r="O61" s="1757"/>
      <c r="P61" s="1757"/>
      <c r="Q61" s="1757"/>
      <c r="R61" s="1757"/>
      <c r="S61" s="1757"/>
      <c r="T61" s="1757"/>
      <c r="U61" s="1757"/>
      <c r="V61" s="1757"/>
      <c r="W61" s="1757"/>
      <c r="X61" s="1757"/>
      <c r="Y61" s="1757"/>
      <c r="Z61" s="1757"/>
      <c r="AA61" s="1757"/>
      <c r="AB61" s="1757"/>
      <c r="AC61" s="1757"/>
    </row>
    <row r="62" spans="1:29" s="1137" customFormat="1" ht="12.75">
      <c r="A62" s="1916" t="s">
        <v>1683</v>
      </c>
      <c r="B62" s="583">
        <f t="shared" si="16"/>
        <v>570</v>
      </c>
      <c r="C62" s="346">
        <f t="shared" si="15"/>
        <v>0.2</v>
      </c>
      <c r="D62" s="1820">
        <v>0.25</v>
      </c>
      <c r="E62" s="586">
        <f>'数据-汇总表'!E11</f>
        <v>50.08</v>
      </c>
      <c r="F62" s="581">
        <f t="shared" si="14"/>
        <v>3</v>
      </c>
      <c r="G62" s="1601" t="s">
        <v>1639</v>
      </c>
      <c r="H62" s="1604" t="str">
        <f>项目基本情况!C43</f>
        <v>九级</v>
      </c>
      <c r="I62" s="1295">
        <f>SUMIF(修正!$A$57:$A$68,H62,修正!E57:E68)</f>
        <v>0.2</v>
      </c>
      <c r="J62" s="1296"/>
      <c r="K62" s="2720"/>
      <c r="L62" s="1757"/>
      <c r="M62" s="1757"/>
      <c r="N62" s="1757"/>
      <c r="O62" s="1757"/>
      <c r="P62" s="1757"/>
      <c r="Q62" s="1757"/>
      <c r="R62" s="1757"/>
      <c r="S62" s="1757"/>
      <c r="T62" s="1757"/>
      <c r="U62" s="1757"/>
      <c r="V62" s="1757"/>
      <c r="W62" s="1757"/>
      <c r="X62" s="1757"/>
      <c r="Y62" s="1757"/>
      <c r="Z62" s="1757"/>
      <c r="AA62" s="1757"/>
      <c r="AB62" s="1757"/>
      <c r="AC62" s="1757"/>
    </row>
    <row r="63" spans="1:29" s="1137" customFormat="1" ht="12.75">
      <c r="A63" s="582" t="s">
        <v>517</v>
      </c>
      <c r="B63" s="583">
        <f t="shared" si="16"/>
        <v>570</v>
      </c>
      <c r="C63" s="346">
        <f t="shared" si="15"/>
        <v>0.2</v>
      </c>
      <c r="D63" s="1820">
        <v>0.25</v>
      </c>
      <c r="E63" s="586">
        <f>'数据-汇总表'!E12</f>
        <v>0</v>
      </c>
      <c r="F63" s="581">
        <f t="shared" si="14"/>
        <v>0</v>
      </c>
      <c r="G63" s="1602" t="s">
        <v>1212</v>
      </c>
      <c r="H63" s="1600" t="str">
        <f>IF(G63="商业",项目基本情况!B43,IF(G63="办公",项目基本情况!C43,IF(G63="住宅",项目基本情况!D43,项目基本情况!E43)))</f>
        <v>九级</v>
      </c>
      <c r="I63" s="1295">
        <f>SUMIF(修正!$A$57:$A$68,H63,修正!F57:F68)</f>
        <v>0.2</v>
      </c>
      <c r="J63" s="1296"/>
      <c r="K63" s="2720"/>
      <c r="L63" s="1757"/>
      <c r="M63" s="1757"/>
      <c r="N63" s="1757"/>
      <c r="O63" s="1757"/>
      <c r="P63" s="1757"/>
      <c r="Q63" s="1757"/>
      <c r="R63" s="1757"/>
      <c r="S63" s="1757"/>
      <c r="T63" s="1757"/>
      <c r="U63" s="1757"/>
      <c r="V63" s="1757"/>
      <c r="W63" s="1757"/>
      <c r="X63" s="1757"/>
      <c r="Y63" s="1757"/>
      <c r="Z63" s="1757"/>
      <c r="AA63" s="1757"/>
      <c r="AB63" s="1757"/>
      <c r="AC63" s="1757"/>
    </row>
    <row r="64" spans="1:29" s="1137" customFormat="1" ht="12.75">
      <c r="A64" s="582" t="s">
        <v>518</v>
      </c>
      <c r="B64" s="583">
        <f t="shared" si="16"/>
        <v>285</v>
      </c>
      <c r="C64" s="346">
        <f t="shared" si="15"/>
        <v>0.1</v>
      </c>
      <c r="D64" s="1820">
        <v>0.25</v>
      </c>
      <c r="E64" s="586">
        <f>'数据-汇总表'!E13</f>
        <v>11328.62</v>
      </c>
      <c r="F64" s="581">
        <f t="shared" si="14"/>
        <v>323</v>
      </c>
      <c r="G64" s="1602" t="s">
        <v>851</v>
      </c>
      <c r="H64" s="1600" t="str">
        <f>IF(G64="商业",项目基本情况!B43,IF(G64="办公",项目基本情况!C43,IF(G64="住宅",项目基本情况!D43,项目基本情况!E43)))</f>
        <v>九级</v>
      </c>
      <c r="I64" s="1295">
        <f>SUMIF(修正!$A$57:$A$68,H64,修正!G57:G68)</f>
        <v>0.1</v>
      </c>
      <c r="J64" s="1296"/>
      <c r="K64" s="2720"/>
      <c r="L64" s="1757"/>
      <c r="M64" s="1757"/>
      <c r="N64" s="1757"/>
      <c r="O64" s="1757"/>
      <c r="P64" s="1757"/>
      <c r="Q64" s="1757"/>
      <c r="R64" s="1757"/>
      <c r="S64" s="1757"/>
      <c r="T64" s="1757"/>
      <c r="U64" s="1757"/>
      <c r="V64" s="1757"/>
      <c r="W64" s="1757"/>
      <c r="X64" s="1757"/>
      <c r="Y64" s="1757"/>
      <c r="Z64" s="1757"/>
      <c r="AA64" s="1757"/>
      <c r="AB64" s="1757"/>
      <c r="AC64" s="1757"/>
    </row>
    <row r="65" spans="1:29" s="1137" customFormat="1" ht="12.75">
      <c r="A65" s="582" t="s">
        <v>519</v>
      </c>
      <c r="B65" s="583">
        <f t="shared" si="16"/>
        <v>285</v>
      </c>
      <c r="C65" s="346">
        <f t="shared" si="15"/>
        <v>0.1</v>
      </c>
      <c r="D65" s="1820">
        <v>0.25</v>
      </c>
      <c r="E65" s="586">
        <f>'数据-汇总表'!E14</f>
        <v>0</v>
      </c>
      <c r="F65" s="581">
        <f t="shared" si="14"/>
        <v>0</v>
      </c>
      <c r="G65" s="1601" t="s">
        <v>1638</v>
      </c>
      <c r="H65" s="1604" t="str">
        <f>项目基本情况!B43</f>
        <v>九级</v>
      </c>
      <c r="I65" s="1295">
        <f>SUMIF(修正!$A$57:$A$68,H65,修正!G57:G68)</f>
        <v>0.1</v>
      </c>
      <c r="J65" s="1296"/>
      <c r="K65" s="2720"/>
      <c r="L65" s="1757"/>
      <c r="M65" s="1757"/>
      <c r="N65" s="1757"/>
      <c r="O65" s="1757"/>
      <c r="P65" s="1757"/>
      <c r="Q65" s="1757"/>
      <c r="R65" s="1757"/>
      <c r="S65" s="1757"/>
      <c r="T65" s="1757"/>
      <c r="U65" s="1757"/>
      <c r="V65" s="1757"/>
      <c r="W65" s="1757"/>
      <c r="X65" s="1757"/>
      <c r="Y65" s="1757"/>
      <c r="Z65" s="1757"/>
      <c r="AA65" s="1757"/>
      <c r="AB65" s="1757"/>
      <c r="AC65" s="1757"/>
    </row>
    <row r="66" spans="1:29" s="1137" customFormat="1" ht="13.5" thickBot="1">
      <c r="A66" s="582" t="s">
        <v>520</v>
      </c>
      <c r="B66" s="583">
        <f t="shared" si="16"/>
        <v>285</v>
      </c>
      <c r="C66" s="346">
        <f t="shared" si="15"/>
        <v>0.1</v>
      </c>
      <c r="D66" s="1820">
        <v>0.25</v>
      </c>
      <c r="E66" s="586">
        <f>'数据-汇总表'!E15</f>
        <v>0</v>
      </c>
      <c r="F66" s="581">
        <f t="shared" si="14"/>
        <v>0</v>
      </c>
      <c r="G66" s="1603" t="s">
        <v>1639</v>
      </c>
      <c r="H66" s="1605" t="str">
        <f>项目基本情况!C43</f>
        <v>九级</v>
      </c>
      <c r="I66" s="1295">
        <f>SUMIF(修正!$A$57:$A$68,H66,修正!G57:G68)</f>
        <v>0.1</v>
      </c>
      <c r="J66" s="1296"/>
      <c r="K66" s="2720"/>
      <c r="L66" s="1757"/>
      <c r="M66" s="1757"/>
      <c r="N66" s="1757"/>
      <c r="O66" s="1757"/>
      <c r="P66" s="1757"/>
      <c r="Q66" s="1757"/>
      <c r="R66" s="1757"/>
      <c r="S66" s="1757"/>
      <c r="T66" s="1757"/>
      <c r="U66" s="1757"/>
      <c r="V66" s="1757"/>
      <c r="W66" s="1757"/>
      <c r="X66" s="1757"/>
      <c r="Y66" s="1757"/>
      <c r="Z66" s="1757"/>
      <c r="AA66" s="1757"/>
      <c r="AB66" s="1757"/>
      <c r="AC66" s="1757"/>
    </row>
    <row r="67" spans="1:29" s="1137" customFormat="1" ht="13.5" thickBot="1">
      <c r="A67" s="587" t="s">
        <v>521</v>
      </c>
      <c r="B67" s="588" t="s">
        <v>11</v>
      </c>
      <c r="C67" s="588" t="s">
        <v>12</v>
      </c>
      <c r="D67" s="588" t="s">
        <v>1649</v>
      </c>
      <c r="E67" s="588">
        <f>IF(B48="楼面地价",SUM(E58:E66),'数据-汇总表'!D3)</f>
        <v>54023.799999999996</v>
      </c>
      <c r="F67" s="589">
        <f>IF(B48="楼面地价",SUM(F58:F66),ROUND(C50*E67/10000,0))</f>
        <v>48924</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2024-11-1</v>
      </c>
      <c r="D69" s="2108">
        <f>EDATE(C69,-3)</f>
        <v>45505</v>
      </c>
      <c r="E69" s="2108">
        <f t="shared" ref="E69:N69" si="17">EDATE(D69,-3)</f>
        <v>45413</v>
      </c>
      <c r="F69" s="2108">
        <f t="shared" si="17"/>
        <v>45323</v>
      </c>
      <c r="G69" s="2108">
        <f t="shared" si="17"/>
        <v>45231</v>
      </c>
      <c r="H69" s="2108">
        <f t="shared" si="17"/>
        <v>45139</v>
      </c>
      <c r="I69" s="2108">
        <f t="shared" si="17"/>
        <v>45047</v>
      </c>
      <c r="J69" s="2108">
        <f t="shared" si="17"/>
        <v>44958</v>
      </c>
      <c r="K69" s="2108">
        <f t="shared" si="17"/>
        <v>44866</v>
      </c>
      <c r="L69" s="2108">
        <f t="shared" si="17"/>
        <v>44774</v>
      </c>
      <c r="M69" s="2108">
        <f t="shared" si="17"/>
        <v>44682</v>
      </c>
      <c r="N69" s="2108">
        <f t="shared" si="17"/>
        <v>44593</v>
      </c>
      <c r="O69" s="1739"/>
      <c r="P69" s="1739"/>
      <c r="Q69" s="1739"/>
      <c r="R69" s="1739"/>
      <c r="S69" s="1739"/>
      <c r="T69" s="1739"/>
      <c r="U69" s="1739"/>
      <c r="V69" s="1739"/>
      <c r="W69" s="1739"/>
      <c r="X69" s="1739"/>
      <c r="Y69" s="1739"/>
      <c r="Z69" s="1739"/>
      <c r="AA69" s="1739"/>
      <c r="AB69" s="1739"/>
      <c r="AC69" s="1739"/>
    </row>
    <row r="70" spans="1:29" ht="21.75" thickBot="1">
      <c r="A70" s="1314" t="s">
        <v>522</v>
      </c>
      <c r="B70" s="797"/>
      <c r="C70" s="1313"/>
      <c r="D70" s="1313"/>
      <c r="E70" s="1313"/>
      <c r="F70" s="1315"/>
      <c r="G70" s="1315"/>
      <c r="H70" s="1313"/>
      <c r="I70" s="1313"/>
      <c r="J70" s="1313"/>
      <c r="K70" s="1316"/>
      <c r="L70" s="1312"/>
      <c r="M70" s="1313"/>
      <c r="N70" s="1313"/>
      <c r="O70" s="1759"/>
      <c r="P70" s="1759"/>
      <c r="Q70" s="1760"/>
      <c r="R70" s="1739"/>
      <c r="S70" s="1739"/>
      <c r="T70" s="1739"/>
      <c r="U70" s="1739"/>
      <c r="V70" s="1739"/>
      <c r="W70" s="1739"/>
      <c r="X70" s="1739"/>
      <c r="Y70" s="1739"/>
      <c r="Z70" s="1739"/>
      <c r="AA70" s="1739"/>
      <c r="AB70" s="1739"/>
      <c r="AC70" s="1739"/>
    </row>
    <row r="71" spans="1:29" s="1138" customFormat="1" ht="15">
      <c r="A71" s="2039" t="s">
        <v>1813</v>
      </c>
      <c r="B71" s="2040"/>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1"/>
      <c r="P71" s="1762"/>
      <c r="Q71" s="1762"/>
      <c r="R71" s="1762"/>
      <c r="S71" s="1762"/>
      <c r="T71" s="1762"/>
      <c r="U71" s="1762"/>
      <c r="V71" s="1762"/>
      <c r="W71" s="1762"/>
      <c r="X71" s="1762"/>
      <c r="Y71" s="1762"/>
      <c r="Z71" s="1762"/>
      <c r="AA71" s="1762"/>
      <c r="AB71" s="1762"/>
      <c r="AC71" s="1762"/>
    </row>
    <row r="72" spans="1:29" s="1057" customFormat="1" ht="27" customHeight="1">
      <c r="A72" s="2114" t="s">
        <v>1927</v>
      </c>
      <c r="B72" s="446" t="str">
        <f>"北京市平均增长率"&amp;TEXT(SUMIF(基准地价!N25:N29,A72,基准地价!P25:P29),"0.00%")</f>
        <v>北京市平均增长率0.00%</v>
      </c>
      <c r="C72" s="815">
        <v>100</v>
      </c>
      <c r="D72" s="79">
        <v>100</v>
      </c>
      <c r="E72" s="79">
        <v>100</v>
      </c>
      <c r="F72" s="79">
        <v>100</v>
      </c>
      <c r="G72" s="79">
        <v>100</v>
      </c>
      <c r="H72" s="79">
        <v>100</v>
      </c>
      <c r="I72" s="79">
        <v>100</v>
      </c>
      <c r="J72" s="79">
        <v>100</v>
      </c>
      <c r="K72" s="79">
        <v>100</v>
      </c>
      <c r="L72" s="79">
        <v>100</v>
      </c>
      <c r="M72" s="91">
        <v>100</v>
      </c>
      <c r="N72" s="532">
        <v>100</v>
      </c>
      <c r="O72" s="1763"/>
      <c r="P72" s="1760"/>
      <c r="Q72" s="1637"/>
      <c r="R72" s="1637"/>
      <c r="S72" s="1637"/>
      <c r="T72" s="1637"/>
      <c r="U72" s="1637"/>
      <c r="V72" s="1637"/>
      <c r="W72" s="1637"/>
      <c r="X72" s="1637"/>
      <c r="Y72" s="1637"/>
      <c r="Z72" s="1637"/>
      <c r="AA72" s="1637"/>
      <c r="AB72" s="1637"/>
      <c r="AC72" s="1637"/>
    </row>
    <row r="73" spans="1:29" s="1057" customFormat="1" ht="15" customHeight="1" thickBot="1">
      <c r="A73" s="2106" t="s">
        <v>1926</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7" customFormat="1" ht="15">
      <c r="A74" s="601" t="s">
        <v>480</v>
      </c>
      <c r="B74" s="592"/>
      <c r="C74" s="602" t="s">
        <v>524</v>
      </c>
      <c r="D74" s="80"/>
      <c r="E74" s="80"/>
      <c r="F74" s="80"/>
      <c r="G74" s="80"/>
      <c r="H74" s="80"/>
      <c r="I74" s="80"/>
      <c r="J74" s="80"/>
      <c r="K74" s="80"/>
      <c r="L74" s="603"/>
      <c r="M74" s="604"/>
      <c r="N74" s="1763"/>
      <c r="O74" s="1763"/>
      <c r="P74" s="1644"/>
      <c r="Q74" s="1760"/>
      <c r="R74" s="1637"/>
      <c r="S74" s="1637"/>
      <c r="T74" s="1637"/>
      <c r="U74" s="1637"/>
      <c r="V74" s="1637"/>
      <c r="W74" s="1637"/>
      <c r="X74" s="1637"/>
      <c r="Y74" s="1637"/>
      <c r="Z74" s="1637"/>
      <c r="AA74" s="1637"/>
      <c r="AB74" s="1637"/>
      <c r="AC74" s="1637"/>
    </row>
    <row r="75" spans="1:29" s="1057" customFormat="1" ht="15.75" thickBot="1">
      <c r="A75" s="601"/>
      <c r="B75" s="592"/>
      <c r="C75" s="593">
        <v>100</v>
      </c>
      <c r="D75" s="594"/>
      <c r="E75" s="594"/>
      <c r="F75" s="594"/>
      <c r="G75" s="594"/>
      <c r="H75" s="594"/>
      <c r="I75" s="594"/>
      <c r="J75" s="594"/>
      <c r="K75" s="594"/>
      <c r="L75" s="594"/>
      <c r="M75" s="595"/>
      <c r="N75" s="1763"/>
      <c r="O75" s="1763"/>
      <c r="P75" s="1760"/>
      <c r="Q75" s="1760"/>
      <c r="R75" s="1637"/>
      <c r="S75" s="1637"/>
      <c r="T75" s="1637"/>
      <c r="U75" s="1637"/>
      <c r="V75" s="1637"/>
      <c r="W75" s="1637"/>
      <c r="X75" s="1637"/>
      <c r="Y75" s="1637"/>
      <c r="Z75" s="1637"/>
      <c r="AA75" s="1637"/>
      <c r="AB75" s="1637"/>
      <c r="AC75" s="1637"/>
    </row>
    <row r="76" spans="1:29">
      <c r="A76" s="605" t="s">
        <v>525</v>
      </c>
      <c r="B76" s="606" t="s">
        <v>483</v>
      </c>
      <c r="C76" s="3457" t="s">
        <v>4013</v>
      </c>
      <c r="D76" s="3457" t="s">
        <v>4015</v>
      </c>
      <c r="E76" s="3457" t="s">
        <v>4016</v>
      </c>
      <c r="F76" s="545"/>
      <c r="G76" s="545"/>
      <c r="H76" s="545"/>
      <c r="I76" s="545"/>
      <c r="J76" s="545"/>
      <c r="K76" s="607"/>
      <c r="L76" s="608"/>
      <c r="M76" s="609"/>
      <c r="N76" s="1764"/>
      <c r="O76" s="1764"/>
      <c r="P76" s="1763"/>
      <c r="Q76" s="1760"/>
      <c r="R76" s="1739"/>
      <c r="S76" s="1739"/>
      <c r="T76" s="1739"/>
      <c r="U76" s="1739"/>
      <c r="V76" s="1739"/>
      <c r="W76" s="1739"/>
      <c r="X76" s="1739"/>
      <c r="Y76" s="1739"/>
      <c r="Z76" s="1739"/>
      <c r="AA76" s="1739"/>
      <c r="AB76" s="1739"/>
      <c r="AC76" s="1739"/>
    </row>
    <row r="77" spans="1:29" ht="15.75" thickBot="1">
      <c r="A77" s="480"/>
      <c r="B77" s="610"/>
      <c r="C77" s="3458">
        <v>100</v>
      </c>
      <c r="D77" s="3458">
        <v>100</v>
      </c>
      <c r="E77" s="3458">
        <v>101</v>
      </c>
      <c r="F77" s="611"/>
      <c r="G77" s="611"/>
      <c r="H77" s="611"/>
      <c r="I77" s="611"/>
      <c r="J77" s="611"/>
      <c r="K77" s="611"/>
      <c r="L77" s="611"/>
      <c r="M77" s="612"/>
      <c r="N77" s="1765"/>
      <c r="O77" s="1765"/>
      <c r="P77" s="1763"/>
      <c r="Q77" s="1760"/>
      <c r="R77" s="1739"/>
      <c r="S77" s="1739"/>
      <c r="T77" s="1739"/>
      <c r="U77" s="1739"/>
      <c r="V77" s="1739"/>
      <c r="W77" s="1739"/>
      <c r="X77" s="1739"/>
      <c r="Y77" s="1739"/>
      <c r="Z77" s="1739"/>
      <c r="AA77" s="1739"/>
      <c r="AB77" s="1739"/>
      <c r="AC77" s="1739"/>
    </row>
    <row r="78" spans="1:29" ht="27.75" thickTop="1">
      <c r="A78" s="480"/>
      <c r="B78" s="613" t="s">
        <v>486</v>
      </c>
      <c r="C78" s="614"/>
      <c r="D78" s="614"/>
      <c r="E78" s="614"/>
      <c r="F78" s="614"/>
      <c r="G78" s="614"/>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c r="D79" s="619"/>
      <c r="E79" s="619"/>
      <c r="F79" s="619"/>
      <c r="G79" s="619"/>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621" t="s">
        <v>487</v>
      </c>
      <c r="C80" s="622" t="str">
        <f>C81&amp;"（含）"&amp;"-"&amp;D81</f>
        <v>0（含）-1</v>
      </c>
      <c r="D80" s="622" t="str">
        <f t="shared" ref="D80:L80" si="19">D81&amp;"（含）"&amp;"-"&amp;E81</f>
        <v>1（含）-2</v>
      </c>
      <c r="E80" s="622" t="str">
        <f t="shared" si="19"/>
        <v>2（含）-3</v>
      </c>
      <c r="F80" s="622" t="str">
        <f t="shared" si="19"/>
        <v>3（含）-4</v>
      </c>
      <c r="G80" s="622" t="str">
        <f t="shared" si="19"/>
        <v>4（含）-</v>
      </c>
      <c r="H80" s="622" t="str">
        <f t="shared" si="19"/>
        <v>（含）-</v>
      </c>
      <c r="I80" s="622" t="str">
        <f t="shared" si="19"/>
        <v>（含）-</v>
      </c>
      <c r="J80" s="622" t="str">
        <f t="shared" si="19"/>
        <v>（含）-</v>
      </c>
      <c r="K80" s="622" t="str">
        <f t="shared" si="19"/>
        <v>（含）-</v>
      </c>
      <c r="L80" s="622" t="str">
        <f t="shared" si="19"/>
        <v>（含）-</v>
      </c>
      <c r="M80" s="503" t="str">
        <f>M81&amp;"（含）"&amp;"-"&amp;P81</f>
        <v>（含）-</v>
      </c>
      <c r="N80" s="1765"/>
      <c r="O80" s="1765"/>
      <c r="P80" s="1763"/>
      <c r="Q80" s="1760"/>
      <c r="R80" s="1739"/>
      <c r="S80" s="1739"/>
      <c r="T80" s="1739"/>
      <c r="U80" s="1739"/>
      <c r="V80" s="1739"/>
      <c r="W80" s="1739"/>
      <c r="X80" s="1739"/>
      <c r="Y80" s="1739"/>
      <c r="Z80" s="1739"/>
      <c r="AA80" s="1739"/>
      <c r="AB80" s="1739"/>
      <c r="AC80" s="1739"/>
    </row>
    <row r="81" spans="1:29" ht="15">
      <c r="A81" s="480"/>
      <c r="B81" s="623"/>
      <c r="C81" s="489">
        <v>0</v>
      </c>
      <c r="D81" s="489">
        <v>1</v>
      </c>
      <c r="E81" s="489">
        <v>2</v>
      </c>
      <c r="F81" s="489">
        <v>3</v>
      </c>
      <c r="G81" s="489">
        <v>4</v>
      </c>
      <c r="H81" s="489"/>
      <c r="I81" s="489"/>
      <c r="J81" s="489"/>
      <c r="K81" s="624"/>
      <c r="L81" s="625"/>
      <c r="M81" s="626"/>
      <c r="N81" s="1764"/>
      <c r="O81" s="1764"/>
      <c r="P81" s="1763"/>
      <c r="Q81" s="1760"/>
      <c r="R81" s="1739"/>
      <c r="S81" s="1739"/>
      <c r="T81" s="1739"/>
      <c r="U81" s="1739"/>
      <c r="V81" s="1739"/>
      <c r="W81" s="1739"/>
      <c r="X81" s="1739"/>
      <c r="Y81" s="1739"/>
      <c r="Z81" s="1739"/>
      <c r="AA81" s="1739"/>
      <c r="AB81" s="1739"/>
      <c r="AC81" s="1739"/>
    </row>
    <row r="82" spans="1:29" ht="15.75" thickBot="1">
      <c r="A82" s="480"/>
      <c r="B82" s="610"/>
      <c r="C82" s="619">
        <v>100</v>
      </c>
      <c r="D82" s="619">
        <f t="shared" ref="D82:M82" si="20">IF($B$48="单位面积地价",C82+$K13,C82-$K13)</f>
        <v>99</v>
      </c>
      <c r="E82" s="619">
        <f t="shared" si="20"/>
        <v>98</v>
      </c>
      <c r="F82" s="619">
        <f t="shared" si="20"/>
        <v>97</v>
      </c>
      <c r="G82" s="619">
        <f t="shared" si="20"/>
        <v>96</v>
      </c>
      <c r="H82" s="619">
        <f t="shared" si="20"/>
        <v>95</v>
      </c>
      <c r="I82" s="619">
        <f t="shared" si="20"/>
        <v>94</v>
      </c>
      <c r="J82" s="619">
        <f t="shared" si="20"/>
        <v>93</v>
      </c>
      <c r="K82" s="619">
        <f t="shared" si="20"/>
        <v>92</v>
      </c>
      <c r="L82" s="619">
        <f t="shared" si="20"/>
        <v>91</v>
      </c>
      <c r="M82" s="619">
        <f t="shared" si="20"/>
        <v>90</v>
      </c>
      <c r="N82" s="1765"/>
      <c r="O82" s="1765"/>
      <c r="P82" s="1763"/>
      <c r="Q82" s="1760"/>
      <c r="R82" s="1739"/>
      <c r="S82" s="1739"/>
      <c r="T82" s="1739"/>
      <c r="U82" s="1739"/>
      <c r="V82" s="1739"/>
      <c r="W82" s="1739"/>
      <c r="X82" s="1739"/>
      <c r="Y82" s="1739"/>
      <c r="Z82" s="1739"/>
      <c r="AA82" s="1739"/>
      <c r="AB82" s="1739"/>
      <c r="AC82" s="1739"/>
    </row>
    <row r="83" spans="1:29" s="1131" customFormat="1" ht="15.75" thickTop="1">
      <c r="A83" s="627"/>
      <c r="B83" s="613" t="str">
        <f>B14</f>
        <v>配建</v>
      </c>
      <c r="C83" s="628"/>
      <c r="D83" s="1164"/>
      <c r="E83" s="1165"/>
      <c r="F83" s="628"/>
      <c r="G83" s="628"/>
      <c r="H83" s="629"/>
      <c r="I83" s="629"/>
      <c r="J83" s="629"/>
      <c r="K83" s="629"/>
      <c r="L83" s="630"/>
      <c r="M83" s="631"/>
      <c r="N83" s="1766"/>
      <c r="O83" s="1766"/>
      <c r="P83" s="1766"/>
      <c r="Q83" s="1767"/>
      <c r="R83" s="1768"/>
      <c r="S83" s="1768"/>
      <c r="T83" s="1768"/>
      <c r="U83" s="1768"/>
      <c r="V83" s="1768"/>
      <c r="W83" s="1768"/>
      <c r="X83" s="1768"/>
      <c r="Y83" s="1768"/>
      <c r="Z83" s="1768"/>
      <c r="AA83" s="1768"/>
      <c r="AB83" s="1768"/>
      <c r="AC83" s="1768"/>
    </row>
    <row r="84" spans="1:29" s="1131" customFormat="1" ht="15.75" thickBot="1">
      <c r="A84" s="627"/>
      <c r="B84" s="618"/>
      <c r="C84" s="632"/>
      <c r="D84" s="611"/>
      <c r="E84" s="611"/>
      <c r="F84" s="611"/>
      <c r="G84" s="611"/>
      <c r="H84" s="611"/>
      <c r="I84" s="611"/>
      <c r="J84" s="611"/>
      <c r="K84" s="611"/>
      <c r="L84" s="611"/>
      <c r="M84" s="612"/>
      <c r="N84" s="1765"/>
      <c r="O84" s="1765"/>
      <c r="P84" s="1766"/>
      <c r="Q84" s="1767"/>
      <c r="R84" s="1768"/>
      <c r="S84" s="1768"/>
      <c r="T84" s="1768"/>
      <c r="U84" s="1768"/>
      <c r="V84" s="1768"/>
      <c r="W84" s="1768"/>
      <c r="X84" s="1768"/>
      <c r="Y84" s="1768"/>
      <c r="Z84" s="1768"/>
      <c r="AA84" s="1768"/>
      <c r="AB84" s="1768"/>
      <c r="AC84" s="1768"/>
    </row>
    <row r="85" spans="1:29" s="1131" customFormat="1" ht="15.75" thickTop="1">
      <c r="A85" s="627"/>
      <c r="B85" s="613" t="str">
        <f>B15</f>
        <v>限价</v>
      </c>
      <c r="C85" s="3796">
        <v>37000</v>
      </c>
      <c r="D85" s="3796">
        <v>30000</v>
      </c>
      <c r="E85" s="3796">
        <v>27000</v>
      </c>
      <c r="F85" s="628"/>
      <c r="G85" s="628"/>
      <c r="H85" s="629"/>
      <c r="I85" s="629"/>
      <c r="J85" s="629"/>
      <c r="K85" s="629"/>
      <c r="L85" s="630"/>
      <c r="M85" s="631"/>
      <c r="N85" s="1766"/>
      <c r="O85" s="1766"/>
      <c r="P85" s="1768"/>
      <c r="Q85" s="1769"/>
      <c r="R85" s="1768"/>
      <c r="S85" s="1768"/>
      <c r="T85" s="1768"/>
      <c r="U85" s="1768"/>
      <c r="V85" s="1768"/>
      <c r="W85" s="1768"/>
      <c r="X85" s="1768"/>
      <c r="Y85" s="1768"/>
      <c r="Z85" s="1768"/>
      <c r="AA85" s="1768"/>
      <c r="AB85" s="1768"/>
      <c r="AC85" s="1768"/>
    </row>
    <row r="86" spans="1:29" s="1131" customFormat="1" ht="15.75" thickBot="1">
      <c r="A86" s="627"/>
      <c r="B86" s="618"/>
      <c r="C86" s="3438">
        <v>101</v>
      </c>
      <c r="D86" s="3438">
        <v>100</v>
      </c>
      <c r="E86" s="3438">
        <v>99</v>
      </c>
      <c r="F86" s="632"/>
      <c r="G86" s="632"/>
      <c r="H86" s="633"/>
      <c r="I86" s="633"/>
      <c r="J86" s="633"/>
      <c r="K86" s="633"/>
      <c r="L86" s="633"/>
      <c r="M86" s="634"/>
      <c r="N86" s="1766"/>
      <c r="O86" s="1766"/>
      <c r="P86" s="1766"/>
      <c r="Q86" s="1767"/>
      <c r="R86" s="1768"/>
      <c r="S86" s="1768"/>
      <c r="T86" s="1768"/>
      <c r="U86" s="1768"/>
      <c r="V86" s="1768"/>
      <c r="W86" s="1768"/>
      <c r="X86" s="1768"/>
      <c r="Y86" s="1768"/>
      <c r="Z86" s="1768"/>
      <c r="AA86" s="1768"/>
      <c r="AB86" s="1768"/>
      <c r="AC86" s="1768"/>
    </row>
    <row r="87" spans="1:29" s="1131" customFormat="1" ht="15.75" thickTop="1">
      <c r="A87" s="627"/>
      <c r="B87" s="621">
        <f>B16</f>
        <v>111</v>
      </c>
      <c r="C87" s="80"/>
      <c r="D87" s="80"/>
      <c r="E87" s="80"/>
      <c r="F87" s="80"/>
      <c r="G87" s="80"/>
      <c r="H87" s="635"/>
      <c r="I87" s="635"/>
      <c r="J87" s="635"/>
      <c r="K87" s="635"/>
      <c r="L87" s="636"/>
      <c r="M87" s="637"/>
      <c r="N87" s="1766"/>
      <c r="O87" s="1766"/>
      <c r="P87" s="1770"/>
      <c r="Q87" s="1767"/>
      <c r="R87" s="1768"/>
      <c r="S87" s="1768"/>
      <c r="T87" s="1768"/>
      <c r="U87" s="1768"/>
      <c r="V87" s="1768"/>
      <c r="W87" s="1768"/>
      <c r="X87" s="1768"/>
      <c r="Y87" s="1768"/>
      <c r="Z87" s="1768"/>
      <c r="AA87" s="1768"/>
      <c r="AB87" s="1768"/>
      <c r="AC87" s="1768"/>
    </row>
    <row r="88" spans="1:29" s="1131" customFormat="1" ht="15.75" thickBot="1">
      <c r="A88" s="638"/>
      <c r="B88" s="639"/>
      <c r="C88" s="640"/>
      <c r="D88" s="640"/>
      <c r="E88" s="640"/>
      <c r="F88" s="640"/>
      <c r="G88" s="640"/>
      <c r="H88" s="641"/>
      <c r="I88" s="641"/>
      <c r="J88" s="641"/>
      <c r="K88" s="641"/>
      <c r="L88" s="641"/>
      <c r="M88" s="642"/>
      <c r="N88" s="1766"/>
      <c r="O88" s="1766"/>
      <c r="P88" s="1766"/>
      <c r="Q88" s="1767"/>
      <c r="R88" s="1768"/>
      <c r="S88" s="1768"/>
      <c r="T88" s="1768"/>
      <c r="U88" s="1768"/>
      <c r="V88" s="1768"/>
      <c r="W88" s="1768"/>
      <c r="X88" s="1768"/>
      <c r="Y88" s="1768"/>
      <c r="Z88" s="1768"/>
      <c r="AA88" s="1768"/>
      <c r="AB88" s="1768"/>
      <c r="AC88" s="1768"/>
    </row>
    <row r="89" spans="1:29">
      <c r="A89" s="605" t="s">
        <v>488</v>
      </c>
      <c r="B89" s="606" t="s">
        <v>526</v>
      </c>
      <c r="C89" s="143" t="s">
        <v>527</v>
      </c>
      <c r="D89" s="143" t="s">
        <v>528</v>
      </c>
      <c r="E89" s="143" t="s">
        <v>529</v>
      </c>
      <c r="F89" s="143" t="s">
        <v>530</v>
      </c>
      <c r="G89" s="143" t="s">
        <v>531</v>
      </c>
      <c r="H89" s="643"/>
      <c r="I89" s="643"/>
      <c r="J89" s="643"/>
      <c r="K89" s="644"/>
      <c r="L89" s="645"/>
      <c r="M89" s="646"/>
      <c r="N89" s="1764"/>
      <c r="O89" s="1764"/>
      <c r="P89" s="1771"/>
      <c r="Q89" s="1760"/>
      <c r="R89" s="1739"/>
      <c r="S89" s="1739"/>
      <c r="T89" s="1739"/>
      <c r="U89" s="1739"/>
      <c r="V89" s="1739"/>
      <c r="W89" s="1739"/>
      <c r="X89" s="1739"/>
      <c r="Y89" s="1739"/>
      <c r="Z89" s="1739"/>
      <c r="AA89" s="1739"/>
      <c r="AB89" s="1739"/>
      <c r="AC89" s="1739"/>
    </row>
    <row r="90" spans="1:29" ht="15.75" thickBot="1">
      <c r="A90" s="480"/>
      <c r="B90" s="618"/>
      <c r="C90" s="619">
        <v>100</v>
      </c>
      <c r="D90" s="619">
        <f>C90-$K17</f>
        <v>99</v>
      </c>
      <c r="E90" s="619">
        <f>D90-$K17</f>
        <v>98</v>
      </c>
      <c r="F90" s="619">
        <f>E90-$K17</f>
        <v>97</v>
      </c>
      <c r="G90" s="619">
        <f>F90-$K17</f>
        <v>96</v>
      </c>
      <c r="H90" s="619"/>
      <c r="I90" s="619"/>
      <c r="J90" s="619"/>
      <c r="K90" s="619"/>
      <c r="L90" s="619"/>
      <c r="M90" s="620"/>
      <c r="N90" s="1765"/>
      <c r="O90" s="1765"/>
      <c r="P90" s="1763"/>
      <c r="Q90" s="1760"/>
      <c r="R90" s="1739"/>
      <c r="S90" s="1739"/>
      <c r="T90" s="1739"/>
      <c r="U90" s="1739"/>
      <c r="V90" s="1739"/>
      <c r="W90" s="1739"/>
      <c r="X90" s="1739"/>
      <c r="Y90" s="1739"/>
      <c r="Z90" s="1739"/>
      <c r="AA90" s="1739"/>
      <c r="AB90" s="1739"/>
      <c r="AC90" s="1739"/>
    </row>
    <row r="91" spans="1:29" ht="15.75" thickTop="1">
      <c r="A91" s="480"/>
      <c r="B91" s="613" t="s">
        <v>532</v>
      </c>
      <c r="C91" s="647" t="s">
        <v>527</v>
      </c>
      <c r="D91" s="647" t="s">
        <v>528</v>
      </c>
      <c r="E91" s="647" t="s">
        <v>529</v>
      </c>
      <c r="F91" s="647" t="s">
        <v>530</v>
      </c>
      <c r="G91" s="647" t="s">
        <v>531</v>
      </c>
      <c r="H91" s="614"/>
      <c r="I91" s="614"/>
      <c r="J91" s="614"/>
      <c r="K91" s="615"/>
      <c r="L91" s="616"/>
      <c r="M91" s="617"/>
      <c r="N91" s="1764"/>
      <c r="O91" s="1764"/>
      <c r="P91" s="1763"/>
      <c r="Q91" s="1760"/>
      <c r="R91" s="1739"/>
      <c r="S91" s="1739"/>
      <c r="T91" s="1739"/>
      <c r="U91" s="1739"/>
      <c r="V91" s="1739"/>
      <c r="W91" s="1739"/>
      <c r="X91" s="1739"/>
      <c r="Y91" s="1739"/>
      <c r="Z91" s="1739"/>
      <c r="AA91" s="1739"/>
      <c r="AB91" s="1739"/>
      <c r="AC91" s="1739"/>
    </row>
    <row r="92" spans="1:29" ht="15.75" thickBot="1">
      <c r="A92" s="480"/>
      <c r="B92" s="618"/>
      <c r="C92" s="619">
        <v>100</v>
      </c>
      <c r="D92" s="619">
        <f>C92-$K19</f>
        <v>99</v>
      </c>
      <c r="E92" s="619">
        <f>D92-$K19</f>
        <v>98</v>
      </c>
      <c r="F92" s="619">
        <f>E92-$K19</f>
        <v>97</v>
      </c>
      <c r="G92" s="619">
        <f>F92-$K19</f>
        <v>96</v>
      </c>
      <c r="H92" s="619"/>
      <c r="I92" s="619"/>
      <c r="J92" s="619"/>
      <c r="K92" s="619"/>
      <c r="L92" s="619"/>
      <c r="M92" s="620"/>
      <c r="N92" s="1765"/>
      <c r="O92" s="1765"/>
      <c r="P92" s="1763"/>
      <c r="Q92" s="1760"/>
      <c r="R92" s="1739"/>
      <c r="S92" s="1739"/>
      <c r="T92" s="1739"/>
      <c r="U92" s="1739"/>
      <c r="V92" s="1739"/>
      <c r="W92" s="1739"/>
      <c r="X92" s="1739"/>
      <c r="Y92" s="1739"/>
      <c r="Z92" s="1739"/>
      <c r="AA92" s="1739"/>
      <c r="AB92" s="1739"/>
      <c r="AC92" s="1739"/>
    </row>
    <row r="93" spans="1:29" ht="15.75" thickTop="1">
      <c r="A93" s="480"/>
      <c r="B93" s="613" t="s">
        <v>533</v>
      </c>
      <c r="C93" s="647" t="s">
        <v>527</v>
      </c>
      <c r="D93" s="647" t="s">
        <v>528</v>
      </c>
      <c r="E93" s="647" t="s">
        <v>529</v>
      </c>
      <c r="F93" s="647" t="s">
        <v>530</v>
      </c>
      <c r="G93" s="647" t="s">
        <v>531</v>
      </c>
      <c r="H93" s="614"/>
      <c r="I93" s="614"/>
      <c r="J93" s="614"/>
      <c r="K93" s="615"/>
      <c r="L93" s="616"/>
      <c r="M93" s="617"/>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5"/>
      <c r="O94" s="1765"/>
      <c r="P94" s="1763"/>
      <c r="Q94" s="1760"/>
      <c r="R94" s="1739"/>
      <c r="S94" s="1739"/>
      <c r="T94" s="1739"/>
      <c r="U94" s="1739"/>
      <c r="V94" s="1739"/>
      <c r="W94" s="1739"/>
      <c r="X94" s="1739"/>
      <c r="Y94" s="1739"/>
      <c r="Z94" s="1739"/>
      <c r="AA94" s="1739"/>
      <c r="AB94" s="1739"/>
      <c r="AC94" s="1739"/>
    </row>
    <row r="95" spans="1:29" ht="15.75" thickTop="1">
      <c r="A95" s="480"/>
      <c r="B95" s="613" t="s">
        <v>534</v>
      </c>
      <c r="C95" s="647" t="s">
        <v>527</v>
      </c>
      <c r="D95" s="647" t="s">
        <v>528</v>
      </c>
      <c r="E95" s="647" t="s">
        <v>529</v>
      </c>
      <c r="F95" s="647" t="s">
        <v>530</v>
      </c>
      <c r="G95" s="647" t="s">
        <v>531</v>
      </c>
      <c r="H95" s="614"/>
      <c r="I95" s="614"/>
      <c r="J95" s="614"/>
      <c r="K95" s="615"/>
      <c r="L95" s="616"/>
      <c r="M95" s="617"/>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C96-$K23</f>
        <v>99</v>
      </c>
      <c r="E96" s="619">
        <f>D96-$K23</f>
        <v>98</v>
      </c>
      <c r="F96" s="619">
        <f>E96-$K23</f>
        <v>97</v>
      </c>
      <c r="G96" s="619">
        <f>F96-$K23</f>
        <v>96</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s="1057" customFormat="1" ht="27.75" thickTop="1">
      <c r="A97" s="484"/>
      <c r="B97" s="613" t="s">
        <v>535</v>
      </c>
      <c r="C97" s="647" t="s">
        <v>527</v>
      </c>
      <c r="D97" s="647" t="s">
        <v>528</v>
      </c>
      <c r="E97" s="647" t="s">
        <v>529</v>
      </c>
      <c r="F97" s="647" t="s">
        <v>530</v>
      </c>
      <c r="G97" s="647" t="s">
        <v>531</v>
      </c>
      <c r="H97" s="647"/>
      <c r="I97" s="647"/>
      <c r="J97" s="647"/>
      <c r="K97" s="647"/>
      <c r="L97" s="648"/>
      <c r="M97" s="649"/>
      <c r="N97" s="1763"/>
      <c r="O97" s="1763"/>
      <c r="P97" s="1763"/>
      <c r="Q97" s="1760"/>
      <c r="R97" s="1637"/>
      <c r="S97" s="1637"/>
      <c r="T97" s="1637"/>
      <c r="U97" s="1637"/>
      <c r="V97" s="1637"/>
      <c r="W97" s="1637"/>
      <c r="X97" s="1637"/>
      <c r="Y97" s="1637"/>
      <c r="Z97" s="1637"/>
      <c r="AA97" s="1637"/>
      <c r="AB97" s="1637"/>
      <c r="AC97" s="1637"/>
    </row>
    <row r="98" spans="1:29" s="1057" customFormat="1" ht="15.75" thickBot="1">
      <c r="A98" s="484"/>
      <c r="B98" s="618"/>
      <c r="C98" s="650">
        <v>100</v>
      </c>
      <c r="D98" s="619">
        <f>C98-$K25</f>
        <v>99</v>
      </c>
      <c r="E98" s="619">
        <f>D98-$K25</f>
        <v>98</v>
      </c>
      <c r="F98" s="619">
        <f>E98-$K25</f>
        <v>97</v>
      </c>
      <c r="G98" s="619">
        <f>F98-$K25</f>
        <v>96</v>
      </c>
      <c r="H98" s="619"/>
      <c r="I98" s="619"/>
      <c r="J98" s="619"/>
      <c r="K98" s="619"/>
      <c r="L98" s="619"/>
      <c r="M98" s="620"/>
      <c r="N98" s="1765"/>
      <c r="O98" s="1765"/>
      <c r="P98" s="1763"/>
      <c r="Q98" s="1760"/>
      <c r="R98" s="1637"/>
      <c r="S98" s="1637"/>
      <c r="T98" s="1637"/>
      <c r="U98" s="1637"/>
      <c r="V98" s="1637"/>
      <c r="W98" s="1637"/>
      <c r="X98" s="1637"/>
      <c r="Y98" s="1637"/>
      <c r="Z98" s="1637"/>
      <c r="AA98" s="1637"/>
      <c r="AB98" s="1637"/>
      <c r="AC98" s="1637"/>
    </row>
    <row r="99" spans="1:29" s="1057" customFormat="1" ht="27.75" thickTop="1">
      <c r="A99" s="484"/>
      <c r="B99" s="613" t="s">
        <v>536</v>
      </c>
      <c r="C99" s="143" t="s">
        <v>527</v>
      </c>
      <c r="D99" s="143" t="s">
        <v>528</v>
      </c>
      <c r="E99" s="143" t="s">
        <v>529</v>
      </c>
      <c r="F99" s="143" t="s">
        <v>530</v>
      </c>
      <c r="G99" s="143" t="s">
        <v>531</v>
      </c>
      <c r="H99" s="647"/>
      <c r="I99" s="647"/>
      <c r="J99" s="647"/>
      <c r="K99" s="647"/>
      <c r="L99" s="647"/>
      <c r="M99" s="649"/>
      <c r="N99" s="1763"/>
      <c r="O99" s="1763"/>
      <c r="P99" s="1763"/>
      <c r="Q99" s="1760"/>
      <c r="R99" s="1637"/>
      <c r="S99" s="1637"/>
      <c r="T99" s="1637"/>
      <c r="U99" s="1637"/>
      <c r="V99" s="1637"/>
      <c r="W99" s="1637"/>
      <c r="X99" s="1637"/>
      <c r="Y99" s="1637"/>
      <c r="Z99" s="1637"/>
      <c r="AA99" s="1637"/>
      <c r="AB99" s="1637"/>
      <c r="AC99" s="1637"/>
    </row>
    <row r="100" spans="1:29" s="1057" customFormat="1" ht="15.75" thickBot="1">
      <c r="A100" s="484"/>
      <c r="B100" s="618"/>
      <c r="C100" s="619">
        <v>100</v>
      </c>
      <c r="D100" s="619">
        <f>C100-$K27</f>
        <v>99</v>
      </c>
      <c r="E100" s="619">
        <f>D100-$K27</f>
        <v>98</v>
      </c>
      <c r="F100" s="619">
        <f>E100-$K27</f>
        <v>97</v>
      </c>
      <c r="G100" s="619">
        <f>F100-$K27</f>
        <v>96</v>
      </c>
      <c r="H100" s="619"/>
      <c r="I100" s="619"/>
      <c r="J100" s="619"/>
      <c r="K100" s="619"/>
      <c r="L100" s="619"/>
      <c r="M100" s="620"/>
      <c r="N100" s="1765"/>
      <c r="O100" s="1765"/>
      <c r="P100" s="1763"/>
      <c r="Q100" s="1760"/>
      <c r="R100" s="1637"/>
      <c r="S100" s="1637"/>
      <c r="T100" s="1637"/>
      <c r="U100" s="1637"/>
      <c r="V100" s="1637"/>
      <c r="W100" s="1637"/>
      <c r="X100" s="1637"/>
      <c r="Y100" s="1637"/>
      <c r="Z100" s="1637"/>
      <c r="AA100" s="1637"/>
      <c r="AB100" s="1637"/>
      <c r="AC100" s="1637"/>
    </row>
    <row r="101" spans="1:29" s="1131" customFormat="1" ht="15.75" thickTop="1">
      <c r="A101" s="627"/>
      <c r="B101" s="1552" t="s">
        <v>1829</v>
      </c>
      <c r="C101" s="143" t="s">
        <v>527</v>
      </c>
      <c r="D101" s="143" t="s">
        <v>528</v>
      </c>
      <c r="E101" s="143" t="s">
        <v>529</v>
      </c>
      <c r="F101" s="143" t="s">
        <v>530</v>
      </c>
      <c r="G101" s="143" t="s">
        <v>531</v>
      </c>
      <c r="H101" s="651"/>
      <c r="I101" s="651"/>
      <c r="J101" s="651"/>
      <c r="K101" s="651"/>
      <c r="L101" s="652"/>
      <c r="M101" s="653"/>
      <c r="N101" s="1766"/>
      <c r="O101" s="1766"/>
      <c r="P101" s="1766"/>
      <c r="Q101" s="1767"/>
      <c r="R101" s="1768"/>
      <c r="S101" s="1768"/>
      <c r="T101" s="1768"/>
      <c r="U101" s="1768"/>
      <c r="V101" s="1768"/>
      <c r="W101" s="1768"/>
      <c r="X101" s="1768"/>
      <c r="Y101" s="1768"/>
      <c r="Z101" s="1768"/>
      <c r="AA101" s="1768"/>
      <c r="AB101" s="1768"/>
      <c r="AC101" s="1768"/>
    </row>
    <row r="102" spans="1:29" s="1131" customFormat="1" ht="15.75" thickBot="1">
      <c r="A102" s="627"/>
      <c r="B102" s="618"/>
      <c r="C102" s="619">
        <v>100</v>
      </c>
      <c r="D102" s="619">
        <f>C102-$K29</f>
        <v>99</v>
      </c>
      <c r="E102" s="619">
        <f>D102-$K29</f>
        <v>98</v>
      </c>
      <c r="F102" s="619">
        <f>E102-$K29</f>
        <v>97</v>
      </c>
      <c r="G102" s="619">
        <f>F102-$K29</f>
        <v>96</v>
      </c>
      <c r="H102" s="654"/>
      <c r="I102" s="654"/>
      <c r="J102" s="654"/>
      <c r="K102" s="654"/>
      <c r="L102" s="654"/>
      <c r="M102" s="655"/>
      <c r="N102" s="1766"/>
      <c r="O102" s="1766"/>
      <c r="P102" s="1766"/>
      <c r="Q102" s="1767"/>
      <c r="R102" s="1768"/>
      <c r="S102" s="1768"/>
      <c r="T102" s="1768"/>
      <c r="U102" s="1768"/>
      <c r="V102" s="1768"/>
      <c r="W102" s="1768"/>
      <c r="X102" s="1768"/>
      <c r="Y102" s="1768"/>
      <c r="Z102" s="1768"/>
      <c r="AA102" s="1768"/>
      <c r="AB102" s="1768"/>
      <c r="AC102" s="1768"/>
    </row>
    <row r="103" spans="1:29" s="1131" customFormat="1" ht="15.75" thickTop="1">
      <c r="A103" s="627"/>
      <c r="B103" s="2053" t="s">
        <v>1831</v>
      </c>
      <c r="C103" s="2054" t="s">
        <v>1832</v>
      </c>
      <c r="D103" s="2054" t="s">
        <v>1833</v>
      </c>
      <c r="E103" s="2054" t="s">
        <v>1834</v>
      </c>
      <c r="F103" s="2054" t="s">
        <v>1835</v>
      </c>
      <c r="G103" s="2054" t="s">
        <v>1836</v>
      </c>
      <c r="H103" s="651"/>
      <c r="I103" s="651"/>
      <c r="J103" s="651"/>
      <c r="K103" s="651"/>
      <c r="L103" s="651"/>
      <c r="M103" s="653"/>
      <c r="N103" s="1766"/>
      <c r="O103" s="1766"/>
      <c r="P103" s="1766"/>
      <c r="Q103" s="1767"/>
      <c r="R103" s="1768"/>
      <c r="S103" s="1768"/>
      <c r="T103" s="1768"/>
      <c r="U103" s="1768"/>
      <c r="V103" s="1768"/>
      <c r="W103" s="1768"/>
      <c r="X103" s="1768"/>
      <c r="Y103" s="1768"/>
      <c r="Z103" s="1768"/>
      <c r="AA103" s="1768"/>
      <c r="AB103" s="1768"/>
      <c r="AC103" s="1768"/>
    </row>
    <row r="104" spans="1:29" s="1131" customFormat="1" ht="15.75" thickBot="1">
      <c r="A104" s="627"/>
      <c r="B104" s="621"/>
      <c r="C104" s="619">
        <v>100</v>
      </c>
      <c r="D104" s="619">
        <f>C104-$K31</f>
        <v>99</v>
      </c>
      <c r="E104" s="619">
        <f>D104-$K31</f>
        <v>98</v>
      </c>
      <c r="F104" s="619">
        <f>E104-$K31</f>
        <v>97</v>
      </c>
      <c r="G104" s="619">
        <f>F104-$K31</f>
        <v>96</v>
      </c>
      <c r="H104" s="623"/>
      <c r="I104" s="623"/>
      <c r="J104" s="623"/>
      <c r="K104" s="623"/>
      <c r="L104" s="623"/>
      <c r="M104" s="2046"/>
      <c r="N104" s="1766"/>
      <c r="O104" s="1766"/>
      <c r="P104" s="1766"/>
      <c r="Q104" s="1767"/>
      <c r="R104" s="1768"/>
      <c r="S104" s="1768"/>
      <c r="T104" s="1768"/>
      <c r="U104" s="1768"/>
      <c r="V104" s="1768"/>
      <c r="W104" s="1768"/>
      <c r="X104" s="1768"/>
      <c r="Y104" s="1768"/>
      <c r="Z104" s="1768"/>
      <c r="AA104" s="1768"/>
      <c r="AB104" s="1768"/>
      <c r="AC104" s="1768"/>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5"/>
      <c r="O106" s="1765"/>
      <c r="P106" s="1763"/>
      <c r="Q106" s="1760"/>
      <c r="R106" s="1739"/>
      <c r="S106" s="1739"/>
      <c r="T106" s="1739"/>
      <c r="U106" s="1739"/>
      <c r="V106" s="1739"/>
      <c r="W106" s="1739"/>
      <c r="X106" s="1739"/>
      <c r="Y106" s="1739"/>
      <c r="Z106" s="1739"/>
      <c r="AA106" s="1739"/>
      <c r="AB106" s="1739"/>
      <c r="AC106" s="1739"/>
    </row>
    <row r="107" spans="1:29" ht="27.75" thickTop="1">
      <c r="A107" s="480"/>
      <c r="B107" s="613" t="s">
        <v>497</v>
      </c>
      <c r="C107" s="628"/>
      <c r="D107" s="628"/>
      <c r="E107" s="628"/>
      <c r="F107" s="628"/>
      <c r="G107" s="628"/>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5"/>
      <c r="O108" s="1765"/>
      <c r="P108" s="1763"/>
      <c r="Q108" s="1760"/>
      <c r="R108" s="1739"/>
      <c r="S108" s="1739"/>
      <c r="T108" s="1739"/>
      <c r="U108" s="1739"/>
      <c r="V108" s="1739"/>
      <c r="W108" s="1739"/>
      <c r="X108" s="1739"/>
      <c r="Y108" s="1739"/>
      <c r="Z108" s="1739"/>
      <c r="AA108" s="1739"/>
      <c r="AB108" s="1739"/>
      <c r="AC108" s="1739"/>
    </row>
    <row r="109" spans="1:29" ht="15.75" thickTop="1">
      <c r="A109" s="480"/>
      <c r="B109" s="613" t="s">
        <v>498</v>
      </c>
      <c r="C109" s="3392" t="s">
        <v>4017</v>
      </c>
      <c r="D109" s="3392" t="s">
        <v>4018</v>
      </c>
      <c r="E109" s="656"/>
      <c r="F109" s="656"/>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19">
        <v>100</v>
      </c>
      <c r="D110" s="619">
        <f t="shared" ref="D110:M110" si="23">C110-$K36</f>
        <v>96</v>
      </c>
      <c r="E110" s="619">
        <f t="shared" si="23"/>
        <v>92</v>
      </c>
      <c r="F110" s="619">
        <f t="shared" si="23"/>
        <v>88</v>
      </c>
      <c r="G110" s="619">
        <f t="shared" si="23"/>
        <v>84</v>
      </c>
      <c r="H110" s="619">
        <f t="shared" si="23"/>
        <v>80</v>
      </c>
      <c r="I110" s="619">
        <f t="shared" si="23"/>
        <v>76</v>
      </c>
      <c r="J110" s="619">
        <f t="shared" si="23"/>
        <v>72</v>
      </c>
      <c r="K110" s="619">
        <f t="shared" si="23"/>
        <v>68</v>
      </c>
      <c r="L110" s="619">
        <f t="shared" si="23"/>
        <v>64</v>
      </c>
      <c r="M110" s="619">
        <f t="shared" si="23"/>
        <v>60</v>
      </c>
      <c r="N110" s="1765"/>
      <c r="O110" s="1765"/>
      <c r="P110" s="1763"/>
      <c r="Q110" s="1760"/>
      <c r="R110" s="1739"/>
      <c r="S110" s="1739"/>
      <c r="T110" s="1739"/>
      <c r="U110" s="1739"/>
      <c r="V110" s="1739"/>
      <c r="W110" s="1739"/>
      <c r="X110" s="1739"/>
      <c r="Y110" s="1739"/>
      <c r="Z110" s="1739"/>
      <c r="AA110" s="1739"/>
      <c r="AB110" s="1739"/>
      <c r="AC110" s="1739"/>
    </row>
    <row r="111" spans="1:29" ht="15.75" thickTop="1">
      <c r="A111" s="480"/>
      <c r="B111" s="621" t="str">
        <f>B37</f>
        <v>远景规划</v>
      </c>
      <c r="C111" s="3442" t="s">
        <v>4105</v>
      </c>
      <c r="D111" s="3442" t="s">
        <v>4106</v>
      </c>
      <c r="E111" s="628"/>
      <c r="F111" s="628"/>
      <c r="G111" s="660"/>
      <c r="H111" s="660"/>
      <c r="I111" s="660"/>
      <c r="J111" s="660"/>
      <c r="K111" s="661"/>
      <c r="L111" s="662"/>
      <c r="M111" s="663"/>
      <c r="N111" s="1764"/>
      <c r="O111" s="1764"/>
      <c r="P111" s="1763"/>
      <c r="Q111" s="1760"/>
      <c r="R111" s="1739"/>
      <c r="S111" s="1739"/>
      <c r="T111" s="1739"/>
      <c r="U111" s="1739"/>
      <c r="V111" s="1739"/>
      <c r="W111" s="1739"/>
      <c r="X111" s="1739"/>
      <c r="Y111" s="1739"/>
      <c r="Z111" s="1739"/>
      <c r="AA111" s="1739"/>
      <c r="AB111" s="1739"/>
      <c r="AC111" s="1739"/>
    </row>
    <row r="112" spans="1:29" ht="15.75" thickBot="1">
      <c r="A112" s="480"/>
      <c r="B112" s="639"/>
      <c r="C112" s="3438">
        <v>100</v>
      </c>
      <c r="D112" s="3438">
        <v>96</v>
      </c>
      <c r="E112" s="632"/>
      <c r="F112" s="632"/>
      <c r="G112" s="664"/>
      <c r="H112" s="664"/>
      <c r="I112" s="664"/>
      <c r="J112" s="664"/>
      <c r="K112" s="664"/>
      <c r="L112" s="664"/>
      <c r="M112" s="665"/>
      <c r="N112" s="1765"/>
      <c r="O112" s="1765"/>
      <c r="P112" s="1763"/>
      <c r="Q112" s="1760"/>
      <c r="R112" s="1739"/>
      <c r="S112" s="1739"/>
      <c r="T112" s="1739"/>
      <c r="U112" s="1739"/>
      <c r="V112" s="1739"/>
      <c r="W112" s="1739"/>
      <c r="X112" s="1739"/>
      <c r="Y112" s="1739"/>
      <c r="Z112" s="1739"/>
      <c r="AA112" s="1739"/>
      <c r="AB112" s="1739"/>
      <c r="AC112" s="1739"/>
    </row>
    <row r="113" spans="1:29" ht="15" thickTop="1">
      <c r="A113" s="534"/>
      <c r="B113" s="613">
        <f>B38</f>
        <v>111</v>
      </c>
      <c r="C113" s="80"/>
      <c r="D113" s="80"/>
      <c r="E113" s="80"/>
      <c r="F113" s="80"/>
      <c r="G113" s="656"/>
      <c r="H113" s="656"/>
      <c r="I113" s="656"/>
      <c r="J113" s="656"/>
      <c r="K113" s="657"/>
      <c r="L113" s="658"/>
      <c r="M113" s="659"/>
      <c r="N113" s="1764"/>
      <c r="O113" s="1764"/>
      <c r="P113" s="1763"/>
      <c r="Q113" s="1760"/>
      <c r="R113" s="1739"/>
      <c r="S113" s="1739"/>
      <c r="T113" s="1739"/>
      <c r="U113" s="1739"/>
      <c r="V113" s="1739"/>
      <c r="W113" s="1739"/>
      <c r="X113" s="1739"/>
      <c r="Y113" s="1739"/>
      <c r="Z113" s="1739"/>
      <c r="AA113" s="1739"/>
      <c r="AB113" s="1739"/>
      <c r="AC113" s="1739"/>
    </row>
    <row r="114" spans="1:29" ht="15.75" thickBot="1">
      <c r="A114" s="480"/>
      <c r="B114" s="618"/>
      <c r="C114" s="640"/>
      <c r="D114" s="640"/>
      <c r="E114" s="640"/>
      <c r="F114" s="640"/>
      <c r="G114" s="611"/>
      <c r="H114" s="611"/>
      <c r="I114" s="611"/>
      <c r="J114" s="611"/>
      <c r="K114" s="611"/>
      <c r="L114" s="611"/>
      <c r="M114" s="612"/>
      <c r="N114" s="1765"/>
      <c r="O114" s="1765"/>
      <c r="P114" s="1763"/>
      <c r="Q114" s="1760"/>
      <c r="R114" s="1739"/>
      <c r="S114" s="1739"/>
      <c r="T114" s="1739"/>
      <c r="U114" s="1739"/>
      <c r="V114" s="1739"/>
      <c r="W114" s="1739"/>
      <c r="X114" s="1739"/>
      <c r="Y114" s="1739"/>
      <c r="Z114" s="1739"/>
      <c r="AA114" s="1739"/>
      <c r="AB114" s="1739"/>
      <c r="AC114" s="1739"/>
    </row>
    <row r="115" spans="1:29" s="1131" customFormat="1" ht="15" thickTop="1">
      <c r="A115" s="550"/>
      <c r="B115" s="666">
        <f>B39</f>
        <v>111</v>
      </c>
      <c r="C115" s="79"/>
      <c r="D115" s="79"/>
      <c r="E115" s="79"/>
      <c r="F115" s="79"/>
      <c r="G115" s="79"/>
      <c r="H115" s="79"/>
      <c r="I115" s="79"/>
      <c r="J115" s="667"/>
      <c r="K115" s="667"/>
      <c r="L115" s="668"/>
      <c r="M115" s="669"/>
      <c r="N115" s="1766"/>
      <c r="O115" s="1766"/>
      <c r="P115" s="1766"/>
      <c r="Q115" s="1767"/>
      <c r="R115" s="1768"/>
      <c r="S115" s="1768"/>
      <c r="T115" s="1768"/>
      <c r="U115" s="1768"/>
      <c r="V115" s="1768"/>
      <c r="W115" s="1768"/>
      <c r="X115" s="1768"/>
      <c r="Y115" s="1768"/>
      <c r="Z115" s="1768"/>
      <c r="AA115" s="1768"/>
      <c r="AB115" s="1768"/>
      <c r="AC115" s="1768"/>
    </row>
    <row r="116" spans="1:29" s="1131" customFormat="1" ht="15.75" thickBot="1">
      <c r="A116" s="627"/>
      <c r="B116" s="621"/>
      <c r="C116" s="594"/>
      <c r="D116" s="539"/>
      <c r="E116" s="539"/>
      <c r="F116" s="539"/>
      <c r="G116" s="539"/>
      <c r="H116" s="539"/>
      <c r="I116" s="539"/>
      <c r="J116" s="539"/>
      <c r="K116" s="539"/>
      <c r="L116" s="539"/>
      <c r="M116" s="670"/>
      <c r="N116" s="1765"/>
      <c r="O116" s="1765"/>
      <c r="P116" s="1766"/>
      <c r="Q116" s="1767"/>
      <c r="R116" s="1768"/>
      <c r="S116" s="1768"/>
      <c r="T116" s="1768"/>
      <c r="U116" s="1768"/>
      <c r="V116" s="1768"/>
      <c r="W116" s="1768"/>
      <c r="X116" s="1768"/>
      <c r="Y116" s="1768"/>
      <c r="Z116" s="1768"/>
      <c r="AA116" s="1768"/>
      <c r="AB116" s="1768"/>
      <c r="AC116" s="1768"/>
    </row>
    <row r="117" spans="1:29" ht="28.5">
      <c r="A117" s="605" t="s">
        <v>500</v>
      </c>
      <c r="B117" s="606" t="s">
        <v>541</v>
      </c>
      <c r="C117" s="643" t="str">
        <f t="shared" ref="C117:L117" si="24">C118&amp;"(含)"&amp;"-"&amp;D118</f>
        <v>0(含)-10000</v>
      </c>
      <c r="D117" s="643" t="str">
        <f t="shared" si="24"/>
        <v>10000(含)-30000</v>
      </c>
      <c r="E117" s="643" t="str">
        <f t="shared" si="24"/>
        <v>30000(含)-50000</v>
      </c>
      <c r="F117" s="643" t="str">
        <f t="shared" si="24"/>
        <v>50000(含)-70000</v>
      </c>
      <c r="G117" s="643" t="str">
        <f t="shared" si="24"/>
        <v>70000(含)-</v>
      </c>
      <c r="H117" s="643" t="str">
        <f t="shared" si="24"/>
        <v>(含)-</v>
      </c>
      <c r="I117" s="643" t="str">
        <f t="shared" si="24"/>
        <v>(含)-</v>
      </c>
      <c r="J117" s="2344" t="str">
        <f t="shared" si="24"/>
        <v>(含)-</v>
      </c>
      <c r="K117" s="2344" t="str">
        <f t="shared" si="24"/>
        <v>(含)-</v>
      </c>
      <c r="L117" s="2345"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ht="15">
      <c r="A118" s="480"/>
      <c r="B118" s="621"/>
      <c r="C118" s="3439">
        <v>0</v>
      </c>
      <c r="D118" s="3439">
        <v>10000</v>
      </c>
      <c r="E118" s="3439">
        <v>30000</v>
      </c>
      <c r="F118" s="3439">
        <v>50000</v>
      </c>
      <c r="G118" s="3439">
        <v>70000</v>
      </c>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3440">
        <v>100</v>
      </c>
      <c r="D119" s="3441">
        <f>C119+1</f>
        <v>101</v>
      </c>
      <c r="E119" s="3441">
        <f t="shared" ref="E119:G119" si="25">D119+1</f>
        <v>102</v>
      </c>
      <c r="F119" s="3441">
        <f t="shared" si="25"/>
        <v>103</v>
      </c>
      <c r="G119" s="3441">
        <f t="shared" si="25"/>
        <v>104</v>
      </c>
      <c r="H119" s="664"/>
      <c r="I119" s="664"/>
      <c r="J119" s="664"/>
      <c r="K119" s="664"/>
      <c r="L119" s="664"/>
      <c r="M119" s="665"/>
      <c r="N119" s="1765"/>
      <c r="O119" s="1765"/>
      <c r="P119" s="1763"/>
      <c r="Q119" s="1760"/>
      <c r="R119" s="1739"/>
      <c r="S119" s="1739"/>
      <c r="T119" s="1739"/>
      <c r="U119" s="1739"/>
      <c r="V119" s="1739"/>
      <c r="W119" s="1739"/>
      <c r="X119" s="1739"/>
      <c r="Y119" s="1739"/>
      <c r="Z119" s="1739"/>
      <c r="AA119" s="1739"/>
      <c r="AB119" s="1739"/>
      <c r="AC119" s="1739"/>
    </row>
    <row r="120" spans="1:29" ht="15" thickTop="1">
      <c r="A120" s="541"/>
      <c r="B120" s="613" t="s">
        <v>542</v>
      </c>
      <c r="C120" s="3392" t="s">
        <v>4019</v>
      </c>
      <c r="D120" s="3392" t="s">
        <v>4021</v>
      </c>
      <c r="E120" s="3392" t="s">
        <v>4022</v>
      </c>
      <c r="F120" s="3392" t="s">
        <v>4292</v>
      </c>
      <c r="G120" s="656"/>
      <c r="H120" s="656"/>
      <c r="I120" s="656"/>
      <c r="J120" s="656"/>
      <c r="K120" s="657"/>
      <c r="L120" s="658"/>
      <c r="M120" s="659"/>
      <c r="N120" s="1764"/>
      <c r="O120" s="1764"/>
      <c r="P120" s="1763"/>
      <c r="Q120" s="1760"/>
      <c r="R120" s="1739"/>
      <c r="S120" s="1739"/>
      <c r="T120" s="1739"/>
      <c r="U120" s="1739"/>
      <c r="V120" s="1739"/>
      <c r="W120" s="1739"/>
      <c r="X120" s="1739"/>
      <c r="Y120" s="1739"/>
      <c r="Z120" s="1739"/>
      <c r="AA120" s="1739"/>
      <c r="AB120" s="1739"/>
      <c r="AC120" s="1739"/>
    </row>
    <row r="121" spans="1:29" ht="15.75" thickBot="1">
      <c r="A121" s="480"/>
      <c r="B121" s="618"/>
      <c r="C121" s="619">
        <v>100</v>
      </c>
      <c r="D121" s="619">
        <f t="shared" ref="D121:M121" si="26">C121-$K41</f>
        <v>98</v>
      </c>
      <c r="E121" s="619">
        <f t="shared" si="26"/>
        <v>96</v>
      </c>
      <c r="F121" s="619">
        <f t="shared" si="26"/>
        <v>94</v>
      </c>
      <c r="G121" s="619">
        <f t="shared" si="26"/>
        <v>92</v>
      </c>
      <c r="H121" s="619">
        <f t="shared" si="26"/>
        <v>90</v>
      </c>
      <c r="I121" s="619">
        <f t="shared" si="26"/>
        <v>88</v>
      </c>
      <c r="J121" s="619">
        <f t="shared" si="26"/>
        <v>86</v>
      </c>
      <c r="K121" s="619">
        <f t="shared" si="26"/>
        <v>84</v>
      </c>
      <c r="L121" s="619">
        <f t="shared" si="26"/>
        <v>82</v>
      </c>
      <c r="M121" s="620">
        <f t="shared" si="26"/>
        <v>80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1"/>
      <c r="B122" s="613" t="s">
        <v>543</v>
      </c>
      <c r="C122" s="3393" t="s">
        <v>4023</v>
      </c>
      <c r="D122" s="3393" t="s">
        <v>4025</v>
      </c>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7">C123-$K42</f>
        <v>100</v>
      </c>
      <c r="E123" s="619">
        <f t="shared" si="27"/>
        <v>100</v>
      </c>
      <c r="F123" s="619">
        <f t="shared" si="27"/>
        <v>100</v>
      </c>
      <c r="G123" s="619">
        <f t="shared" si="27"/>
        <v>100</v>
      </c>
      <c r="H123" s="619">
        <f t="shared" si="27"/>
        <v>100</v>
      </c>
      <c r="I123" s="619">
        <f t="shared" si="27"/>
        <v>100</v>
      </c>
      <c r="J123" s="619">
        <f t="shared" si="27"/>
        <v>100</v>
      </c>
      <c r="K123" s="619">
        <f t="shared" si="27"/>
        <v>100</v>
      </c>
      <c r="L123" s="619">
        <f t="shared" si="27"/>
        <v>100</v>
      </c>
      <c r="M123" s="620">
        <f t="shared" si="27"/>
        <v>100</v>
      </c>
      <c r="N123" s="1765"/>
      <c r="O123" s="1765"/>
      <c r="P123" s="1763"/>
      <c r="Q123" s="1760"/>
      <c r="R123" s="1739"/>
      <c r="S123" s="1739"/>
      <c r="T123" s="1739"/>
      <c r="U123" s="1739"/>
      <c r="V123" s="1739"/>
      <c r="W123" s="1739"/>
      <c r="X123" s="1739"/>
      <c r="Y123" s="1739"/>
      <c r="Z123" s="1739"/>
      <c r="AA123" s="1739"/>
      <c r="AB123" s="1739"/>
      <c r="AC123" s="1739"/>
    </row>
    <row r="124" spans="1:29" s="1131" customFormat="1" ht="15" thickTop="1">
      <c r="A124" s="550"/>
      <c r="B124" s="1552" t="s">
        <v>1775</v>
      </c>
      <c r="C124" s="1164" t="str">
        <f>C103</f>
        <v>七通</v>
      </c>
      <c r="D124" s="1164" t="str">
        <f>D103</f>
        <v>六通</v>
      </c>
      <c r="E124" s="1164" t="str">
        <f>E103</f>
        <v>五通</v>
      </c>
      <c r="F124" s="1164" t="str">
        <f>F103</f>
        <v>四通</v>
      </c>
      <c r="G124" s="1164" t="str">
        <f>G103</f>
        <v>三通</v>
      </c>
      <c r="H124" s="656"/>
      <c r="I124" s="656"/>
      <c r="J124" s="656"/>
      <c r="K124" s="657"/>
      <c r="L124" s="658"/>
      <c r="M124" s="659"/>
      <c r="N124" s="1766"/>
      <c r="O124" s="1766"/>
      <c r="P124" s="1766"/>
      <c r="Q124" s="1767"/>
      <c r="R124" s="1768"/>
      <c r="S124" s="1768"/>
      <c r="T124" s="1768"/>
      <c r="U124" s="1768"/>
      <c r="V124" s="1768"/>
      <c r="W124" s="1768"/>
      <c r="X124" s="1768"/>
      <c r="Y124" s="1768"/>
      <c r="Z124" s="1768"/>
      <c r="AA124" s="1768"/>
      <c r="AB124" s="1768"/>
      <c r="AC124" s="1768"/>
    </row>
    <row r="125" spans="1:29" s="1131" customFormat="1" ht="15.75" thickBot="1">
      <c r="A125" s="627"/>
      <c r="B125" s="618"/>
      <c r="C125" s="619">
        <v>100</v>
      </c>
      <c r="D125" s="619">
        <f t="shared" ref="D125:M125" si="28">C125-$K43</f>
        <v>99</v>
      </c>
      <c r="E125" s="619">
        <f t="shared" si="28"/>
        <v>98</v>
      </c>
      <c r="F125" s="619">
        <f t="shared" si="28"/>
        <v>97</v>
      </c>
      <c r="G125" s="619">
        <f t="shared" si="28"/>
        <v>96</v>
      </c>
      <c r="H125" s="619">
        <f t="shared" si="28"/>
        <v>95</v>
      </c>
      <c r="I125" s="619">
        <f t="shared" si="28"/>
        <v>94</v>
      </c>
      <c r="J125" s="619">
        <f t="shared" si="28"/>
        <v>93</v>
      </c>
      <c r="K125" s="619">
        <f t="shared" si="28"/>
        <v>92</v>
      </c>
      <c r="L125" s="619">
        <f t="shared" si="28"/>
        <v>91</v>
      </c>
      <c r="M125" s="620">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1"/>
      <c r="B126" s="613" t="s">
        <v>544</v>
      </c>
      <c r="C126" s="628" t="str">
        <f>C101</f>
        <v>好</v>
      </c>
      <c r="D126" s="628" t="str">
        <f>D101</f>
        <v>较好</v>
      </c>
      <c r="E126" s="628" t="str">
        <f>E101</f>
        <v>一般</v>
      </c>
      <c r="F126" s="628" t="str">
        <f>F101</f>
        <v>较差</v>
      </c>
      <c r="G126" s="628" t="str">
        <f>G101</f>
        <v>差</v>
      </c>
      <c r="H126" s="656"/>
      <c r="I126" s="656"/>
      <c r="J126" s="656"/>
      <c r="K126" s="657"/>
      <c r="L126" s="658"/>
      <c r="M126" s="659"/>
      <c r="N126" s="1764"/>
      <c r="O126" s="1764"/>
      <c r="P126" s="1763"/>
      <c r="Q126" s="1760"/>
      <c r="R126" s="1739"/>
      <c r="S126" s="1739"/>
      <c r="T126" s="1739"/>
      <c r="U126" s="1739"/>
      <c r="V126" s="1739"/>
      <c r="W126" s="1739"/>
      <c r="X126" s="1739"/>
      <c r="Y126" s="1739"/>
      <c r="Z126" s="1739"/>
      <c r="AA126" s="1739"/>
      <c r="AB126" s="1739"/>
      <c r="AC126" s="1739"/>
    </row>
    <row r="127" spans="1:29" ht="15.75" thickBot="1">
      <c r="A127" s="480"/>
      <c r="B127" s="618"/>
      <c r="C127" s="619">
        <v>100</v>
      </c>
      <c r="D127" s="619">
        <f t="shared" ref="D127:M127" si="29">C127-$K44</f>
        <v>99</v>
      </c>
      <c r="E127" s="619">
        <f t="shared" si="29"/>
        <v>98</v>
      </c>
      <c r="F127" s="619">
        <f t="shared" si="29"/>
        <v>97</v>
      </c>
      <c r="G127" s="619">
        <f t="shared" si="29"/>
        <v>96</v>
      </c>
      <c r="H127" s="619">
        <f t="shared" si="29"/>
        <v>95</v>
      </c>
      <c r="I127" s="619">
        <f t="shared" si="29"/>
        <v>94</v>
      </c>
      <c r="J127" s="619">
        <f t="shared" si="29"/>
        <v>93</v>
      </c>
      <c r="K127" s="619">
        <f t="shared" si="29"/>
        <v>92</v>
      </c>
      <c r="L127" s="619">
        <f t="shared" si="29"/>
        <v>91</v>
      </c>
      <c r="M127" s="620">
        <f t="shared" si="29"/>
        <v>90</v>
      </c>
      <c r="N127" s="1765"/>
      <c r="O127" s="1765"/>
      <c r="P127" s="1763"/>
      <c r="Q127" s="1760"/>
      <c r="R127" s="1739"/>
      <c r="S127" s="1739"/>
      <c r="T127" s="1739"/>
      <c r="U127" s="1739"/>
      <c r="V127" s="1739"/>
      <c r="W127" s="1739"/>
      <c r="X127" s="1739"/>
      <c r="Y127" s="1739"/>
      <c r="Z127" s="1739"/>
      <c r="AA127" s="1739"/>
      <c r="AB127" s="1739"/>
      <c r="AC127" s="1739"/>
    </row>
    <row r="128" spans="1:29" ht="15" thickTop="1">
      <c r="A128" s="541"/>
      <c r="B128" s="613">
        <f>B45</f>
        <v>111</v>
      </c>
      <c r="C128" s="628"/>
      <c r="D128" s="628"/>
      <c r="E128" s="628"/>
      <c r="F128" s="628"/>
      <c r="G128" s="628"/>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13">
        <f>B46</f>
        <v>111</v>
      </c>
      <c r="C130" s="80"/>
      <c r="D130" s="80"/>
      <c r="E130" s="80"/>
      <c r="F130" s="80"/>
      <c r="G130" s="656"/>
      <c r="H130" s="656"/>
      <c r="I130" s="656"/>
      <c r="J130" s="656"/>
      <c r="K130" s="657"/>
      <c r="L130" s="658"/>
      <c r="M130" s="659"/>
      <c r="N130" s="1764"/>
      <c r="O130" s="1764"/>
      <c r="P130" s="1763"/>
      <c r="Q130" s="1760"/>
      <c r="R130" s="1739"/>
      <c r="S130" s="1739"/>
      <c r="T130" s="1739"/>
      <c r="U130" s="1739"/>
      <c r="V130" s="1739"/>
      <c r="W130" s="1739"/>
      <c r="X130" s="1739"/>
      <c r="Y130" s="1739"/>
      <c r="Z130" s="1739"/>
      <c r="AA130" s="1739"/>
      <c r="AB130" s="1739"/>
      <c r="AC130" s="1739"/>
    </row>
    <row r="131" spans="1:29" ht="15.75" thickBot="1">
      <c r="A131" s="480"/>
      <c r="B131" s="618"/>
      <c r="C131" s="640"/>
      <c r="D131" s="640"/>
      <c r="E131" s="640"/>
      <c r="F131" s="640"/>
      <c r="G131" s="611"/>
      <c r="H131" s="611"/>
      <c r="I131" s="611"/>
      <c r="J131" s="611"/>
      <c r="K131" s="611"/>
      <c r="L131" s="611"/>
      <c r="M131" s="612"/>
      <c r="N131" s="1765"/>
      <c r="O131" s="1765"/>
      <c r="P131" s="1763"/>
      <c r="Q131" s="1760"/>
      <c r="R131" s="1739"/>
      <c r="S131" s="1739"/>
      <c r="T131" s="1739"/>
      <c r="U131" s="1739"/>
      <c r="V131" s="1739"/>
      <c r="W131" s="1739"/>
      <c r="X131" s="1739"/>
      <c r="Y131" s="1739"/>
      <c r="Z131" s="1739"/>
      <c r="AA131" s="1739"/>
      <c r="AB131" s="1739"/>
      <c r="AC131" s="1739"/>
    </row>
    <row r="132" spans="1:29" s="1131" customFormat="1" ht="15" thickTop="1">
      <c r="A132" s="550"/>
      <c r="B132" s="613">
        <f>B47</f>
        <v>111</v>
      </c>
      <c r="C132" s="80"/>
      <c r="D132" s="80"/>
      <c r="E132" s="80"/>
      <c r="F132" s="80"/>
      <c r="G132" s="629"/>
      <c r="H132" s="629"/>
      <c r="I132" s="629"/>
      <c r="J132" s="629"/>
      <c r="K132" s="629"/>
      <c r="L132" s="630"/>
      <c r="M132" s="631"/>
      <c r="N132" s="1766"/>
      <c r="O132" s="1766"/>
      <c r="P132" s="1766"/>
      <c r="Q132" s="1767"/>
      <c r="R132" s="1768"/>
      <c r="S132" s="1768"/>
      <c r="T132" s="1768"/>
      <c r="U132" s="1768"/>
      <c r="V132" s="1768"/>
      <c r="W132" s="1768"/>
      <c r="X132" s="1768"/>
      <c r="Y132" s="1768"/>
      <c r="Z132" s="1768"/>
      <c r="AA132" s="1768"/>
      <c r="AB132" s="1768"/>
      <c r="AC132" s="1768"/>
    </row>
    <row r="133" spans="1:29" s="1131" customFormat="1" ht="15.75" thickBot="1">
      <c r="A133" s="638"/>
      <c r="B133" s="671"/>
      <c r="C133" s="640"/>
      <c r="D133" s="640"/>
      <c r="E133" s="640"/>
      <c r="F133" s="640"/>
      <c r="G133" s="664"/>
      <c r="H133" s="664"/>
      <c r="I133" s="664"/>
      <c r="J133" s="664"/>
      <c r="K133" s="664"/>
      <c r="L133" s="664"/>
      <c r="M133" s="665"/>
      <c r="N133" s="1766"/>
      <c r="O133" s="1766"/>
      <c r="P133" s="1766"/>
      <c r="Q133" s="1767"/>
      <c r="R133" s="1768"/>
      <c r="S133" s="1768"/>
      <c r="T133" s="1768"/>
      <c r="U133" s="1768"/>
      <c r="V133" s="1768"/>
      <c r="W133" s="1768"/>
      <c r="X133" s="1768"/>
      <c r="Y133" s="1768"/>
      <c r="Z133" s="1768"/>
      <c r="AA133" s="1768"/>
      <c r="AB133" s="1768"/>
      <c r="AC133" s="1768"/>
    </row>
    <row r="134" spans="1:29" s="1317"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7"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7"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7"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7"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7"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7"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7"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7"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7"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7"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7"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7"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7"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7"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7"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7"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7"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7"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7"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7"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7"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7"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7"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7"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7"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7"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7"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7"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7"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7"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7"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7"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7"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7"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7"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7"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7"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7"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7"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7"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7"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7"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7"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7"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7"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7"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7"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7"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7"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7"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7"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7"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7"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7"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7"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7"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7"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7"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7"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7"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7"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7"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7"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7"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7"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7"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7"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7"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7"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7"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7"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7"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7"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7"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7"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7"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7"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7"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7"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7"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7"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7"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7"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7"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7"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7"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7"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7"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7"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7"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7"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7"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7"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7"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7"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7"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7"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7"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7"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7"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7"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7"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7"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7"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7"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7"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7"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7"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7"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7"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7"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7"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7"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7"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7"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7"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7"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7"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7"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7"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7" customFormat="1">
      <c r="K255" s="1318"/>
      <c r="L255" s="1319"/>
    </row>
    <row r="256" spans="1:29" s="1317" customFormat="1">
      <c r="K256" s="1318"/>
      <c r="L256" s="1319"/>
    </row>
    <row r="257" spans="11:12" s="1317" customFormat="1">
      <c r="K257" s="1318"/>
      <c r="L257" s="1319"/>
    </row>
    <row r="258" spans="11:12" s="1317" customFormat="1">
      <c r="K258" s="1318"/>
      <c r="L258" s="131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N253"/>
  <sheetViews>
    <sheetView topLeftCell="I234" workbookViewId="0">
      <selection activeCell="BH247" sqref="BH247"/>
    </sheetView>
  </sheetViews>
  <sheetFormatPr defaultRowHeight="12"/>
  <cols>
    <col min="1" max="1" width="20" style="3417" customWidth="1"/>
    <col min="2" max="3" width="20" style="3417" hidden="1" customWidth="1"/>
    <col min="4" max="4" width="4.625" style="3417" customWidth="1"/>
    <col min="5" max="5" width="7.5" style="3417" customWidth="1"/>
    <col min="6" max="6" width="20" style="3417" hidden="1" customWidth="1"/>
    <col min="7" max="7" width="13.5" style="3417" customWidth="1"/>
    <col min="8" max="8" width="14.5" style="3417" hidden="1" customWidth="1"/>
    <col min="9" max="9" width="9.5" style="3417" customWidth="1"/>
    <col min="10" max="10" width="9.625" style="3417" customWidth="1"/>
    <col min="11" max="14" width="20" style="3417" hidden="1" customWidth="1"/>
    <col min="15" max="15" width="7.375" style="3417" customWidth="1"/>
    <col min="16" max="16" width="11.875" style="3417" customWidth="1"/>
    <col min="17" max="17" width="20" style="3417" hidden="1" customWidth="1"/>
    <col min="18" max="18" width="11.25" style="3417" customWidth="1"/>
    <col min="19" max="19" width="20" style="3417" hidden="1" customWidth="1"/>
    <col min="20" max="20" width="5.875" style="3417" customWidth="1"/>
    <col min="21" max="32" width="20" style="3417" hidden="1" customWidth="1"/>
    <col min="33" max="33" width="10.375" style="3417" customWidth="1"/>
    <col min="34" max="36" width="20" style="3417" hidden="1" customWidth="1"/>
    <col min="37" max="37" width="8.875" style="3417" customWidth="1"/>
    <col min="38" max="42" width="20" style="3417" hidden="1" customWidth="1"/>
    <col min="43" max="43" width="8.875" style="3417" customWidth="1"/>
    <col min="44" max="44" width="20" style="3417" hidden="1" customWidth="1"/>
    <col min="45" max="45" width="9" style="3417" customWidth="1"/>
    <col min="46" max="46" width="20" style="3417" hidden="1" customWidth="1"/>
    <col min="47" max="47" width="8.125" style="3417" customWidth="1"/>
    <col min="48" max="48" width="20" style="3417" hidden="1" customWidth="1"/>
    <col min="49" max="49" width="7.875" style="3417" customWidth="1"/>
    <col min="50" max="52" width="20" style="3417" hidden="1" customWidth="1"/>
    <col min="53" max="53" width="12.5" style="3417" hidden="1" customWidth="1"/>
    <col min="54" max="54" width="20" style="3417" hidden="1" customWidth="1"/>
    <col min="55" max="55" width="11.375" style="3417" customWidth="1"/>
    <col min="56" max="57" width="20" style="3417" hidden="1" customWidth="1"/>
    <col min="58" max="58" width="12.5" style="3417" customWidth="1"/>
    <col min="59" max="59" width="20" style="3417" hidden="1" customWidth="1"/>
    <col min="60" max="60" width="20" style="3417" customWidth="1"/>
    <col min="61" max="65" width="20" style="3417" hidden="1" customWidth="1"/>
    <col min="66" max="66" width="20" style="3417" customWidth="1"/>
    <col min="67" max="16384" width="9" style="3417"/>
  </cols>
  <sheetData>
    <row r="1" spans="1:65">
      <c r="A1" s="3417" t="s">
        <v>3360</v>
      </c>
      <c r="B1" s="3417" t="s">
        <v>3361</v>
      </c>
      <c r="C1" s="3417" t="s">
        <v>3362</v>
      </c>
      <c r="D1" s="3417" t="s">
        <v>3363</v>
      </c>
      <c r="E1" s="3417" t="s">
        <v>3364</v>
      </c>
      <c r="F1" s="3417" t="s">
        <v>3365</v>
      </c>
      <c r="G1" s="3417" t="s">
        <v>3366</v>
      </c>
      <c r="H1" s="3417" t="s">
        <v>3367</v>
      </c>
      <c r="I1" s="3417" t="s">
        <v>3368</v>
      </c>
      <c r="J1" s="3417" t="s">
        <v>3369</v>
      </c>
      <c r="K1" s="3417" t="s">
        <v>3370</v>
      </c>
      <c r="L1" s="3417" t="s">
        <v>3371</v>
      </c>
      <c r="M1" s="3417" t="s">
        <v>3372</v>
      </c>
      <c r="N1" s="3417" t="s">
        <v>3373</v>
      </c>
      <c r="O1" s="3417" t="s">
        <v>3374</v>
      </c>
      <c r="P1" s="3417" t="s">
        <v>3375</v>
      </c>
      <c r="Q1" s="3417" t="s">
        <v>3376</v>
      </c>
      <c r="R1" s="3417" t="s">
        <v>3377</v>
      </c>
      <c r="S1" s="3417" t="s">
        <v>1548</v>
      </c>
      <c r="T1" s="3417" t="s">
        <v>3378</v>
      </c>
      <c r="U1" s="3417" t="s">
        <v>3379</v>
      </c>
      <c r="V1" s="3417" t="s">
        <v>3380</v>
      </c>
      <c r="W1" s="3417" t="s">
        <v>3381</v>
      </c>
      <c r="X1" s="3417" t="s">
        <v>3382</v>
      </c>
      <c r="Y1" s="3417" t="s">
        <v>3383</v>
      </c>
      <c r="Z1" s="3417" t="s">
        <v>3384</v>
      </c>
      <c r="AA1" s="3417" t="s">
        <v>3385</v>
      </c>
      <c r="AB1" s="3417" t="s">
        <v>3386</v>
      </c>
      <c r="AC1" s="3417" t="s">
        <v>3387</v>
      </c>
      <c r="AD1" s="3417" t="s">
        <v>3388</v>
      </c>
      <c r="AE1" s="3417" t="s">
        <v>3389</v>
      </c>
      <c r="AF1" s="3417" t="s">
        <v>3390</v>
      </c>
      <c r="AG1" s="3417" t="s">
        <v>3391</v>
      </c>
      <c r="AH1" s="3417" t="s">
        <v>3392</v>
      </c>
      <c r="AI1" s="3417" t="s">
        <v>3393</v>
      </c>
      <c r="AJ1" s="3417" t="s">
        <v>3394</v>
      </c>
      <c r="AK1" s="3417" t="s">
        <v>3395</v>
      </c>
      <c r="AL1" s="3417" t="s">
        <v>3396</v>
      </c>
      <c r="AM1" s="3417" t="s">
        <v>3397</v>
      </c>
      <c r="AN1" s="3417" t="s">
        <v>3398</v>
      </c>
      <c r="AO1" s="3417" t="s">
        <v>3399</v>
      </c>
      <c r="AP1" s="3417" t="s">
        <v>3400</v>
      </c>
      <c r="AQ1" s="3417" t="s">
        <v>3401</v>
      </c>
      <c r="AR1" s="3417" t="s">
        <v>3402</v>
      </c>
      <c r="AS1" s="3417" t="s">
        <v>3403</v>
      </c>
      <c r="AT1" s="3417" t="s">
        <v>3404</v>
      </c>
      <c r="AU1" s="3417" t="s">
        <v>3405</v>
      </c>
      <c r="AV1" s="3417" t="s">
        <v>3406</v>
      </c>
      <c r="AW1" s="3417" t="s">
        <v>3407</v>
      </c>
      <c r="AX1" s="3417" t="s">
        <v>3408</v>
      </c>
      <c r="AY1" s="3417" t="s">
        <v>3409</v>
      </c>
      <c r="AZ1" s="3417" t="s">
        <v>3410</v>
      </c>
      <c r="BA1" s="3417" t="s">
        <v>3411</v>
      </c>
      <c r="BB1" s="3417" t="s">
        <v>3412</v>
      </c>
      <c r="BC1" s="3417" t="s">
        <v>3413</v>
      </c>
      <c r="BD1" s="3417" t="s">
        <v>3414</v>
      </c>
      <c r="BE1" s="3417" t="s">
        <v>3415</v>
      </c>
      <c r="BF1" s="3417" t="s">
        <v>3416</v>
      </c>
      <c r="BG1" s="3417" t="s">
        <v>3417</v>
      </c>
      <c r="BH1" s="3417" t="s">
        <v>3357</v>
      </c>
      <c r="BI1" s="3417" t="s">
        <v>3418</v>
      </c>
      <c r="BJ1" s="3417" t="s">
        <v>3419</v>
      </c>
      <c r="BK1" s="3417" t="s">
        <v>3420</v>
      </c>
      <c r="BL1" s="3417" t="s">
        <v>3421</v>
      </c>
      <c r="BM1" s="3417" t="s">
        <v>3422</v>
      </c>
    </row>
    <row r="2" spans="1:65" s="3418" customFormat="1">
      <c r="A2" s="3418" t="s">
        <v>3731</v>
      </c>
      <c r="B2" s="3418" t="s">
        <v>3424</v>
      </c>
      <c r="C2" s="3418" t="s">
        <v>1465</v>
      </c>
      <c r="D2" s="3418" t="s">
        <v>3505</v>
      </c>
      <c r="E2" s="3418" t="s">
        <v>3732</v>
      </c>
      <c r="F2" s="3418" t="s">
        <v>3733</v>
      </c>
      <c r="G2" s="3418" t="s">
        <v>4144</v>
      </c>
      <c r="H2" s="3418" t="s">
        <v>3734</v>
      </c>
      <c r="I2" s="3418">
        <v>19113.12</v>
      </c>
      <c r="J2" s="3418">
        <v>38226.239999999998</v>
      </c>
      <c r="K2" s="3418" t="s">
        <v>3433</v>
      </c>
      <c r="L2" s="3418" t="s">
        <v>3433</v>
      </c>
      <c r="M2" s="3418">
        <v>0</v>
      </c>
      <c r="N2" s="3418">
        <v>0</v>
      </c>
      <c r="O2" s="3418" t="s">
        <v>3490</v>
      </c>
      <c r="P2" s="3418" t="s">
        <v>3602</v>
      </c>
      <c r="Q2" s="3418" t="s">
        <v>3603</v>
      </c>
      <c r="R2" s="3418" t="s">
        <v>3604</v>
      </c>
      <c r="S2" s="3418" t="s">
        <v>3631</v>
      </c>
      <c r="T2" s="3418">
        <v>2</v>
      </c>
      <c r="U2" s="3418" t="s">
        <v>3433</v>
      </c>
      <c r="V2" s="3418">
        <v>30</v>
      </c>
      <c r="W2" s="3418">
        <v>45</v>
      </c>
      <c r="X2" s="3418" t="s">
        <v>3458</v>
      </c>
      <c r="Y2" s="3418" t="s">
        <v>3433</v>
      </c>
      <c r="Z2" s="3418" t="s">
        <v>3459</v>
      </c>
      <c r="AA2" s="3418" t="s">
        <v>3433</v>
      </c>
      <c r="AB2" s="3418" t="s">
        <v>3433</v>
      </c>
      <c r="AC2" s="3418" t="s">
        <v>3433</v>
      </c>
      <c r="AD2" s="3418" t="s">
        <v>3735</v>
      </c>
      <c r="AE2" s="3418" t="s">
        <v>3736</v>
      </c>
      <c r="AF2" s="3418" t="s">
        <v>3737</v>
      </c>
      <c r="AG2" s="3418" t="s">
        <v>3737</v>
      </c>
      <c r="AH2" s="3418" t="s">
        <v>3442</v>
      </c>
      <c r="AI2" s="3418" t="s">
        <v>3443</v>
      </c>
      <c r="AJ2" s="3418" t="s">
        <v>3738</v>
      </c>
      <c r="AK2" s="3418" t="s">
        <v>3739</v>
      </c>
      <c r="AL2" s="3418" t="s">
        <v>3740</v>
      </c>
      <c r="AM2" s="3418" t="s">
        <v>3433</v>
      </c>
      <c r="AN2" s="3418">
        <v>45000</v>
      </c>
      <c r="AO2" s="3418">
        <v>9000</v>
      </c>
      <c r="AP2" s="3418" t="s">
        <v>3741</v>
      </c>
      <c r="AQ2" s="3418">
        <v>45000</v>
      </c>
      <c r="AR2" s="3418">
        <v>23544.03</v>
      </c>
      <c r="AS2" s="3418">
        <v>23544.03</v>
      </c>
      <c r="AT2" s="3418">
        <v>1569.6</v>
      </c>
      <c r="AU2" s="3418">
        <v>1569.6</v>
      </c>
      <c r="AV2" s="3418">
        <v>11772</v>
      </c>
      <c r="AW2" s="3418">
        <v>11772</v>
      </c>
      <c r="AX2" s="3418" t="s">
        <v>3433</v>
      </c>
      <c r="AY2" s="3418" t="s">
        <v>3433</v>
      </c>
      <c r="AZ2" s="3418">
        <v>0</v>
      </c>
      <c r="BA2" s="3418">
        <v>51750</v>
      </c>
      <c r="BB2" s="3418" t="s">
        <v>3448</v>
      </c>
      <c r="BC2" s="3418">
        <v>30000</v>
      </c>
      <c r="BD2" s="3418">
        <v>30000</v>
      </c>
      <c r="BE2" s="3418">
        <v>13538</v>
      </c>
      <c r="BF2" s="3418">
        <v>15</v>
      </c>
      <c r="BG2" s="3418">
        <v>15284</v>
      </c>
      <c r="BH2" s="3418" t="s">
        <v>3433</v>
      </c>
      <c r="BI2" s="3418" t="s">
        <v>3433</v>
      </c>
      <c r="BJ2" s="3418" t="s">
        <v>3325</v>
      </c>
      <c r="BK2" s="3418" t="s">
        <v>3742</v>
      </c>
      <c r="BL2" s="3418" t="s">
        <v>3433</v>
      </c>
      <c r="BM2" s="3418" t="s">
        <v>3433</v>
      </c>
    </row>
    <row r="3" spans="1:65" s="3418" customFormat="1">
      <c r="A3" s="3418" t="s">
        <v>3815</v>
      </c>
      <c r="B3" s="3418" t="s">
        <v>3424</v>
      </c>
      <c r="C3" s="3418" t="s">
        <v>1465</v>
      </c>
      <c r="D3" s="3418" t="s">
        <v>3538</v>
      </c>
      <c r="E3" s="3418" t="s">
        <v>3816</v>
      </c>
      <c r="F3" s="3418" t="s">
        <v>3817</v>
      </c>
      <c r="G3" s="3418" t="s">
        <v>3817</v>
      </c>
      <c r="H3" s="3418" t="s">
        <v>3818</v>
      </c>
      <c r="I3" s="3418">
        <v>69837.09</v>
      </c>
      <c r="J3" s="3418">
        <v>104756</v>
      </c>
      <c r="K3" s="3418" t="s">
        <v>3433</v>
      </c>
      <c r="L3" s="3418" t="s">
        <v>3433</v>
      </c>
      <c r="M3" s="3418">
        <v>0</v>
      </c>
      <c r="N3" s="3418">
        <v>0</v>
      </c>
      <c r="O3" s="3418" t="s">
        <v>3429</v>
      </c>
      <c r="P3" s="3418" t="s">
        <v>3666</v>
      </c>
      <c r="Q3" s="3418" t="s">
        <v>3543</v>
      </c>
      <c r="R3" s="3418" t="s">
        <v>3431</v>
      </c>
      <c r="S3" s="3418" t="s">
        <v>3819</v>
      </c>
      <c r="T3" s="3418">
        <v>1.5</v>
      </c>
      <c r="U3" s="3418" t="s">
        <v>3433</v>
      </c>
      <c r="V3" s="3418">
        <v>0.3</v>
      </c>
      <c r="W3" s="3418">
        <v>24</v>
      </c>
      <c r="X3" s="3418" t="s">
        <v>3458</v>
      </c>
      <c r="Y3" s="3418" t="s">
        <v>3433</v>
      </c>
      <c r="Z3" s="3418" t="s">
        <v>3459</v>
      </c>
      <c r="AA3" s="3418" t="s">
        <v>3433</v>
      </c>
      <c r="AB3" s="3418" t="s">
        <v>3433</v>
      </c>
      <c r="AC3" s="3418" t="s">
        <v>3433</v>
      </c>
      <c r="AD3" s="3418" t="s">
        <v>3820</v>
      </c>
      <c r="AE3" s="3418" t="s">
        <v>3821</v>
      </c>
      <c r="AF3" s="3418" t="s">
        <v>3822</v>
      </c>
      <c r="AG3" s="3418" t="s">
        <v>3822</v>
      </c>
      <c r="AH3" s="3418" t="s">
        <v>3442</v>
      </c>
      <c r="AI3" s="3418" t="s">
        <v>3479</v>
      </c>
      <c r="AJ3" s="3418" t="s">
        <v>3823</v>
      </c>
      <c r="AK3" s="3418" t="s">
        <v>3823</v>
      </c>
      <c r="AL3" s="3418" t="s">
        <v>3534</v>
      </c>
      <c r="AM3" s="3418" t="s">
        <v>3433</v>
      </c>
      <c r="AN3" s="3418">
        <v>120000</v>
      </c>
      <c r="AO3" s="3418">
        <v>24000</v>
      </c>
      <c r="AP3" s="3418" t="s">
        <v>3433</v>
      </c>
      <c r="AQ3" s="3418">
        <v>120000</v>
      </c>
      <c r="AR3" s="3418">
        <v>17182.84</v>
      </c>
      <c r="AS3" s="3418">
        <v>17182.84</v>
      </c>
      <c r="AT3" s="3418">
        <v>1145.52</v>
      </c>
      <c r="AU3" s="3418">
        <v>1145.52</v>
      </c>
      <c r="AV3" s="3418">
        <v>11455</v>
      </c>
      <c r="AW3" s="3418">
        <v>11455</v>
      </c>
      <c r="AX3" s="3418" t="s">
        <v>3433</v>
      </c>
      <c r="AY3" s="3418" t="s">
        <v>3433</v>
      </c>
      <c r="AZ3" s="3418">
        <v>0</v>
      </c>
      <c r="BA3" s="3418">
        <v>138000</v>
      </c>
      <c r="BB3" s="3418" t="s">
        <v>3448</v>
      </c>
      <c r="BC3" s="3418">
        <v>37000</v>
      </c>
      <c r="BD3" s="3418">
        <v>37000</v>
      </c>
      <c r="BE3" s="3418">
        <v>13173</v>
      </c>
      <c r="BF3" s="3418">
        <v>15</v>
      </c>
      <c r="BG3" s="3418">
        <v>25544</v>
      </c>
      <c r="BH3" s="3418" t="s">
        <v>3484</v>
      </c>
      <c r="BI3" s="3418" t="s">
        <v>3824</v>
      </c>
      <c r="BJ3" s="3418" t="s">
        <v>3325</v>
      </c>
      <c r="BK3" s="3418" t="s">
        <v>3818</v>
      </c>
      <c r="BL3" s="3418" t="s">
        <v>3433</v>
      </c>
      <c r="BM3" s="3418" t="s">
        <v>3433</v>
      </c>
    </row>
    <row r="4" spans="1:65" s="3418" customFormat="1">
      <c r="A4" s="3418" t="s">
        <v>3893</v>
      </c>
      <c r="B4" s="3418" t="s">
        <v>3424</v>
      </c>
      <c r="C4" s="3418" t="s">
        <v>1465</v>
      </c>
      <c r="D4" s="3418" t="s">
        <v>3538</v>
      </c>
      <c r="E4" s="3418" t="s">
        <v>3894</v>
      </c>
      <c r="F4" s="3418" t="s">
        <v>3895</v>
      </c>
      <c r="G4" s="3418" t="s">
        <v>3895</v>
      </c>
      <c r="H4" s="3418" t="s">
        <v>3896</v>
      </c>
      <c r="I4" s="3418">
        <v>31558.240000000002</v>
      </c>
      <c r="J4" s="3418">
        <v>88363.07</v>
      </c>
      <c r="K4" s="3418" t="s">
        <v>3433</v>
      </c>
      <c r="L4" s="3418" t="s">
        <v>3433</v>
      </c>
      <c r="M4" s="3418">
        <v>0</v>
      </c>
      <c r="N4" s="3418">
        <v>0</v>
      </c>
      <c r="O4" s="3418" t="s">
        <v>3429</v>
      </c>
      <c r="P4" s="3418" t="s">
        <v>3666</v>
      </c>
      <c r="Q4" s="3418" t="s">
        <v>3543</v>
      </c>
      <c r="R4" s="3418" t="s">
        <v>3431</v>
      </c>
      <c r="S4" s="3418" t="s">
        <v>3897</v>
      </c>
      <c r="T4" s="3418">
        <v>2.8</v>
      </c>
      <c r="U4" s="3418" t="s">
        <v>3433</v>
      </c>
      <c r="V4" s="3418" t="s">
        <v>3433</v>
      </c>
      <c r="W4" s="3418">
        <v>60</v>
      </c>
      <c r="X4" s="3418" t="s">
        <v>3458</v>
      </c>
      <c r="Y4" s="3418" t="s">
        <v>3433</v>
      </c>
      <c r="Z4" s="3418" t="s">
        <v>3459</v>
      </c>
      <c r="AA4" s="3418" t="s">
        <v>3475</v>
      </c>
      <c r="AB4" s="3418" t="s">
        <v>3433</v>
      </c>
      <c r="AC4" s="3418" t="s">
        <v>3433</v>
      </c>
      <c r="AD4" s="3418" t="s">
        <v>3887</v>
      </c>
      <c r="AE4" s="3418" t="s">
        <v>3888</v>
      </c>
      <c r="AF4" s="3418" t="s">
        <v>3851</v>
      </c>
      <c r="AG4" s="3418" t="s">
        <v>3851</v>
      </c>
      <c r="AH4" s="3418" t="s">
        <v>3442</v>
      </c>
      <c r="AI4" s="3418" t="s">
        <v>3479</v>
      </c>
      <c r="AJ4" s="3418" t="s">
        <v>3633</v>
      </c>
      <c r="AK4" s="3418" t="s">
        <v>3550</v>
      </c>
      <c r="AL4" s="3418" t="s">
        <v>3446</v>
      </c>
      <c r="AM4" s="3418" t="s">
        <v>3482</v>
      </c>
      <c r="AN4" s="3418">
        <v>88100</v>
      </c>
      <c r="AO4" s="3418">
        <v>18000</v>
      </c>
      <c r="AP4" s="3418" t="s">
        <v>3890</v>
      </c>
      <c r="AQ4" s="3418">
        <v>88100</v>
      </c>
      <c r="AR4" s="3418">
        <v>27916.63</v>
      </c>
      <c r="AS4" s="3418">
        <v>27916.63</v>
      </c>
      <c r="AT4" s="3418">
        <v>1861.11</v>
      </c>
      <c r="AU4" s="3418">
        <v>1861.11</v>
      </c>
      <c r="AV4" s="3418">
        <v>9970</v>
      </c>
      <c r="AW4" s="3418">
        <v>9970</v>
      </c>
      <c r="AX4" s="3418" t="s">
        <v>3433</v>
      </c>
      <c r="AY4" s="3418" t="s">
        <v>3433</v>
      </c>
      <c r="AZ4" s="3418">
        <v>0</v>
      </c>
      <c r="BA4" s="3418">
        <v>101315</v>
      </c>
      <c r="BB4" s="3418" t="s">
        <v>3448</v>
      </c>
      <c r="BC4" s="3418">
        <v>27000</v>
      </c>
      <c r="BD4" s="3418">
        <v>27000</v>
      </c>
      <c r="BE4" s="3418">
        <v>11466</v>
      </c>
      <c r="BF4" s="3418">
        <v>15</v>
      </c>
      <c r="BG4" s="3418">
        <v>17029</v>
      </c>
      <c r="BH4" s="3418" t="s">
        <v>3786</v>
      </c>
      <c r="BI4" s="3418" t="s">
        <v>3898</v>
      </c>
      <c r="BJ4" s="3418" t="s">
        <v>3325</v>
      </c>
      <c r="BK4" s="3418" t="s">
        <v>3896</v>
      </c>
      <c r="BL4" s="3419">
        <v>45136.000497685185</v>
      </c>
      <c r="BM4" s="3418">
        <v>88100</v>
      </c>
    </row>
    <row r="6" spans="1:65" hidden="1">
      <c r="A6" s="3417" t="s">
        <v>3360</v>
      </c>
      <c r="B6" s="3417" t="s">
        <v>3361</v>
      </c>
      <c r="C6" s="3417" t="s">
        <v>3362</v>
      </c>
      <c r="D6" s="3417" t="s">
        <v>3363</v>
      </c>
      <c r="E6" s="3417" t="s">
        <v>3364</v>
      </c>
      <c r="F6" s="3417" t="s">
        <v>3365</v>
      </c>
      <c r="G6" s="3417" t="s">
        <v>3366</v>
      </c>
      <c r="H6" s="3417" t="s">
        <v>3367</v>
      </c>
      <c r="I6" s="3417" t="s">
        <v>3368</v>
      </c>
      <c r="J6" s="3417" t="s">
        <v>3369</v>
      </c>
      <c r="K6" s="3417" t="s">
        <v>3370</v>
      </c>
      <c r="L6" s="3417" t="s">
        <v>3371</v>
      </c>
      <c r="M6" s="3417" t="s">
        <v>3372</v>
      </c>
      <c r="N6" s="3417" t="s">
        <v>3373</v>
      </c>
      <c r="O6" s="3417" t="s">
        <v>3374</v>
      </c>
      <c r="P6" s="3417" t="s">
        <v>3375</v>
      </c>
      <c r="Q6" s="3417" t="s">
        <v>3376</v>
      </c>
      <c r="R6" s="3417" t="s">
        <v>3377</v>
      </c>
      <c r="S6" s="3417" t="s">
        <v>1548</v>
      </c>
      <c r="T6" s="3417" t="s">
        <v>3378</v>
      </c>
      <c r="U6" s="3417" t="s">
        <v>3379</v>
      </c>
      <c r="V6" s="3417" t="s">
        <v>3380</v>
      </c>
      <c r="W6" s="3417" t="s">
        <v>3381</v>
      </c>
      <c r="X6" s="3417" t="s">
        <v>3382</v>
      </c>
      <c r="Y6" s="3417" t="s">
        <v>3383</v>
      </c>
      <c r="Z6" s="3417" t="s">
        <v>3384</v>
      </c>
      <c r="AA6" s="3417" t="s">
        <v>3385</v>
      </c>
      <c r="AB6" s="3417" t="s">
        <v>3386</v>
      </c>
      <c r="AC6" s="3417" t="s">
        <v>3387</v>
      </c>
      <c r="AD6" s="3417" t="s">
        <v>3388</v>
      </c>
      <c r="AE6" s="3417" t="s">
        <v>3389</v>
      </c>
      <c r="AF6" s="3417" t="s">
        <v>3390</v>
      </c>
      <c r="AG6" s="3417" t="s">
        <v>3391</v>
      </c>
      <c r="AH6" s="3417" t="s">
        <v>3392</v>
      </c>
      <c r="AI6" s="3417" t="s">
        <v>3393</v>
      </c>
      <c r="AJ6" s="3417" t="s">
        <v>3394</v>
      </c>
      <c r="AK6" s="3417" t="s">
        <v>3395</v>
      </c>
      <c r="AL6" s="3417" t="s">
        <v>3396</v>
      </c>
      <c r="AM6" s="3417" t="s">
        <v>3397</v>
      </c>
      <c r="AN6" s="3417" t="s">
        <v>3398</v>
      </c>
      <c r="AO6" s="3417" t="s">
        <v>3399</v>
      </c>
      <c r="AP6" s="3417" t="s">
        <v>3400</v>
      </c>
      <c r="AQ6" s="3417" t="s">
        <v>3401</v>
      </c>
      <c r="AR6" s="3417" t="s">
        <v>3402</v>
      </c>
      <c r="AS6" s="3417" t="s">
        <v>3403</v>
      </c>
      <c r="AT6" s="3417" t="s">
        <v>3404</v>
      </c>
      <c r="AU6" s="3417" t="s">
        <v>3405</v>
      </c>
      <c r="AV6" s="3417" t="s">
        <v>3406</v>
      </c>
      <c r="AW6" s="3417" t="s">
        <v>3407</v>
      </c>
      <c r="AX6" s="3417" t="s">
        <v>3408</v>
      </c>
      <c r="AY6" s="3417" t="s">
        <v>3409</v>
      </c>
      <c r="AZ6" s="3417" t="s">
        <v>3410</v>
      </c>
      <c r="BA6" s="3417" t="s">
        <v>3411</v>
      </c>
      <c r="BB6" s="3417" t="s">
        <v>3412</v>
      </c>
      <c r="BC6" s="3417" t="s">
        <v>3413</v>
      </c>
      <c r="BD6" s="3417" t="s">
        <v>3414</v>
      </c>
      <c r="BE6" s="3417" t="s">
        <v>3415</v>
      </c>
      <c r="BF6" s="3417" t="s">
        <v>3416</v>
      </c>
      <c r="BG6" s="3417" t="s">
        <v>3417</v>
      </c>
      <c r="BH6" s="3417" t="s">
        <v>3357</v>
      </c>
      <c r="BI6" s="3417" t="s">
        <v>3418</v>
      </c>
      <c r="BJ6" s="3417" t="s">
        <v>3419</v>
      </c>
      <c r="BK6" s="3417" t="s">
        <v>3420</v>
      </c>
      <c r="BL6" s="3417" t="s">
        <v>3421</v>
      </c>
      <c r="BM6" s="3417" t="s">
        <v>3422</v>
      </c>
    </row>
    <row r="7" spans="1:65" hidden="1">
      <c r="A7" s="3417" t="s">
        <v>3423</v>
      </c>
      <c r="B7" s="3417" t="s">
        <v>3424</v>
      </c>
      <c r="C7" s="3417" t="s">
        <v>1465</v>
      </c>
      <c r="D7" s="3417" t="s">
        <v>3425</v>
      </c>
      <c r="E7" s="3417" t="s">
        <v>3426</v>
      </c>
      <c r="F7" s="3417" t="s">
        <v>3427</v>
      </c>
      <c r="G7" s="3417" t="s">
        <v>3427</v>
      </c>
      <c r="H7" s="3417" t="s">
        <v>3428</v>
      </c>
      <c r="I7" s="3417">
        <v>21536.1</v>
      </c>
      <c r="J7" s="3417">
        <v>47379.41</v>
      </c>
      <c r="K7" s="3417">
        <v>0</v>
      </c>
      <c r="L7" s="3417">
        <v>0</v>
      </c>
      <c r="M7" s="3417">
        <v>0</v>
      </c>
      <c r="N7" s="3417">
        <v>0</v>
      </c>
      <c r="O7" s="3417" t="s">
        <v>3429</v>
      </c>
      <c r="P7" s="3417" t="s">
        <v>3430</v>
      </c>
      <c r="Q7" s="3417" t="s">
        <v>3430</v>
      </c>
      <c r="R7" s="3417" t="s">
        <v>3431</v>
      </c>
      <c r="S7" s="3417" t="s">
        <v>3432</v>
      </c>
      <c r="T7" s="3417">
        <v>2.2000000000000002</v>
      </c>
      <c r="U7" s="3417" t="s">
        <v>3433</v>
      </c>
      <c r="V7" s="3417" t="s">
        <v>3433</v>
      </c>
      <c r="W7" s="3417" t="s">
        <v>3434</v>
      </c>
      <c r="X7" s="3417" t="s">
        <v>3435</v>
      </c>
      <c r="Y7" s="3417" t="s">
        <v>3433</v>
      </c>
      <c r="Z7" s="3417" t="s">
        <v>3436</v>
      </c>
      <c r="AA7" s="3417" t="s">
        <v>3437</v>
      </c>
      <c r="AB7" s="3417" t="s">
        <v>3438</v>
      </c>
      <c r="AC7" s="3417" t="s">
        <v>3433</v>
      </c>
      <c r="AD7" s="3417" t="s">
        <v>3439</v>
      </c>
      <c r="AE7" s="3417" t="s">
        <v>3440</v>
      </c>
      <c r="AF7" s="3417" t="s">
        <v>3441</v>
      </c>
      <c r="AG7" s="3417" t="s">
        <v>3441</v>
      </c>
      <c r="AH7" s="3417" t="s">
        <v>3442</v>
      </c>
      <c r="AI7" s="3417" t="s">
        <v>3443</v>
      </c>
      <c r="AJ7" s="3417" t="s">
        <v>3444</v>
      </c>
      <c r="AK7" s="3417" t="s">
        <v>3445</v>
      </c>
      <c r="AL7" s="3417" t="s">
        <v>3446</v>
      </c>
      <c r="AM7" s="3417" t="s">
        <v>3433</v>
      </c>
      <c r="AN7" s="3417">
        <v>119600</v>
      </c>
      <c r="AO7" s="3417">
        <v>24000</v>
      </c>
      <c r="AP7" s="3417" t="s">
        <v>3447</v>
      </c>
      <c r="AQ7" s="3417">
        <v>119600</v>
      </c>
      <c r="AR7" s="3417">
        <v>55534.66</v>
      </c>
      <c r="AS7" s="3417">
        <v>55534.66</v>
      </c>
      <c r="AT7" s="3417">
        <v>3702.31</v>
      </c>
      <c r="AU7" s="3417">
        <v>3702.31</v>
      </c>
      <c r="AV7" s="3417">
        <v>25243</v>
      </c>
      <c r="AW7" s="3417">
        <v>25243</v>
      </c>
      <c r="AX7" s="3417" t="s">
        <v>3433</v>
      </c>
      <c r="AY7" s="3417" t="s">
        <v>3433</v>
      </c>
      <c r="AZ7" s="3417">
        <v>0</v>
      </c>
      <c r="BA7" s="3417">
        <v>137540</v>
      </c>
      <c r="BB7" s="3417" t="s">
        <v>3448</v>
      </c>
      <c r="BC7" s="3417">
        <v>62000</v>
      </c>
      <c r="BD7" s="3417">
        <v>62000</v>
      </c>
      <c r="BE7" s="3417">
        <v>29029</v>
      </c>
      <c r="BF7" s="3417">
        <v>15</v>
      </c>
      <c r="BG7" s="3417">
        <v>35988</v>
      </c>
      <c r="BH7" s="3417" t="s">
        <v>3449</v>
      </c>
      <c r="BI7" s="3417" t="s">
        <v>3433</v>
      </c>
      <c r="BJ7" s="3417" t="s">
        <v>3325</v>
      </c>
      <c r="BK7" s="3417" t="s">
        <v>3450</v>
      </c>
      <c r="BL7" s="3417" t="s">
        <v>3433</v>
      </c>
      <c r="BM7" s="3417" t="s">
        <v>3433</v>
      </c>
    </row>
    <row r="8" spans="1:65" hidden="1">
      <c r="A8" s="3417" t="s">
        <v>3451</v>
      </c>
      <c r="B8" s="3417" t="s">
        <v>3424</v>
      </c>
      <c r="C8" s="3417" t="s">
        <v>1465</v>
      </c>
      <c r="D8" s="3417" t="s">
        <v>3425</v>
      </c>
      <c r="E8" s="3417" t="s">
        <v>3452</v>
      </c>
      <c r="F8" s="3417" t="s">
        <v>3453</v>
      </c>
      <c r="G8" s="3417" t="s">
        <v>3454</v>
      </c>
      <c r="H8" s="3417" t="s">
        <v>3455</v>
      </c>
      <c r="I8" s="3417">
        <v>15992.79</v>
      </c>
      <c r="J8" s="3417">
        <v>34704.36</v>
      </c>
      <c r="K8" s="3417">
        <v>0</v>
      </c>
      <c r="L8" s="3417">
        <v>0</v>
      </c>
      <c r="M8" s="3417">
        <v>0</v>
      </c>
      <c r="N8" s="3417">
        <v>0</v>
      </c>
      <c r="O8" s="3417" t="s">
        <v>3429</v>
      </c>
      <c r="P8" s="3417" t="s">
        <v>3430</v>
      </c>
      <c r="Q8" s="3417" t="s">
        <v>3430</v>
      </c>
      <c r="R8" s="3417" t="s">
        <v>3431</v>
      </c>
      <c r="S8" s="3417" t="s">
        <v>3456</v>
      </c>
      <c r="T8" s="3417">
        <v>2.17</v>
      </c>
      <c r="U8" s="3417" t="s">
        <v>3433</v>
      </c>
      <c r="V8" s="3417" t="s">
        <v>3433</v>
      </c>
      <c r="W8" s="3417" t="s">
        <v>3457</v>
      </c>
      <c r="X8" s="3417" t="s">
        <v>3458</v>
      </c>
      <c r="Y8" s="3417" t="s">
        <v>3433</v>
      </c>
      <c r="Z8" s="3417" t="s">
        <v>3459</v>
      </c>
      <c r="AA8" s="3417" t="s">
        <v>3433</v>
      </c>
      <c r="AB8" s="3417" t="s">
        <v>3438</v>
      </c>
      <c r="AC8" s="3417" t="s">
        <v>3433</v>
      </c>
      <c r="AD8" s="3417" t="s">
        <v>3460</v>
      </c>
      <c r="AE8" s="3417" t="s">
        <v>3461</v>
      </c>
      <c r="AF8" s="3417" t="s">
        <v>3462</v>
      </c>
      <c r="AG8" s="3417" t="s">
        <v>3462</v>
      </c>
      <c r="AH8" s="3417" t="s">
        <v>3442</v>
      </c>
      <c r="AI8" s="3417" t="s">
        <v>3443</v>
      </c>
      <c r="AJ8" s="3417" t="s">
        <v>3463</v>
      </c>
      <c r="AK8" s="3417" t="s">
        <v>3464</v>
      </c>
      <c r="AL8" s="3417" t="s">
        <v>3465</v>
      </c>
      <c r="AM8" s="3417" t="s">
        <v>3433</v>
      </c>
      <c r="AN8" s="3417">
        <v>99200</v>
      </c>
      <c r="AO8" s="3417">
        <v>20000</v>
      </c>
      <c r="AP8" s="3417" t="s">
        <v>3466</v>
      </c>
      <c r="AQ8" s="3417">
        <v>99200</v>
      </c>
      <c r="AR8" s="3417">
        <v>62027.95</v>
      </c>
      <c r="AS8" s="3417">
        <v>62027.95</v>
      </c>
      <c r="AT8" s="3417">
        <v>4135.2</v>
      </c>
      <c r="AU8" s="3417">
        <v>4135.2</v>
      </c>
      <c r="AV8" s="3417">
        <v>28584</v>
      </c>
      <c r="AW8" s="3417">
        <v>28584</v>
      </c>
      <c r="AX8" s="3417" t="s">
        <v>3433</v>
      </c>
      <c r="AY8" s="3417" t="s">
        <v>3433</v>
      </c>
      <c r="AZ8" s="3417">
        <v>0</v>
      </c>
      <c r="BA8" s="3417">
        <v>114080</v>
      </c>
      <c r="BB8" s="3417" t="s">
        <v>3448</v>
      </c>
      <c r="BC8" s="3417" t="s">
        <v>3433</v>
      </c>
      <c r="BD8" s="3417" t="s">
        <v>3433</v>
      </c>
      <c r="BE8" s="3417">
        <v>32872</v>
      </c>
      <c r="BF8" s="3417">
        <v>15</v>
      </c>
      <c r="BG8" s="3417" t="s">
        <v>3433</v>
      </c>
      <c r="BH8" s="3417" t="s">
        <v>3449</v>
      </c>
      <c r="BI8" s="3417" t="s">
        <v>3433</v>
      </c>
      <c r="BJ8" s="3417" t="s">
        <v>3325</v>
      </c>
      <c r="BK8" s="3417" t="s">
        <v>3467</v>
      </c>
      <c r="BL8" s="3420">
        <v>45619.000497685185</v>
      </c>
      <c r="BM8" s="3417">
        <v>49600</v>
      </c>
    </row>
    <row r="9" spans="1:65" hidden="1">
      <c r="A9" s="3417" t="s">
        <v>3468</v>
      </c>
      <c r="B9" s="3417" t="s">
        <v>3424</v>
      </c>
      <c r="C9" s="3417" t="s">
        <v>1465</v>
      </c>
      <c r="D9" s="3417" t="s">
        <v>3469</v>
      </c>
      <c r="E9" s="3417" t="s">
        <v>3470</v>
      </c>
      <c r="F9" s="3417" t="s">
        <v>3471</v>
      </c>
      <c r="G9" s="3417" t="s">
        <v>3471</v>
      </c>
      <c r="H9" s="3417" t="s">
        <v>3472</v>
      </c>
      <c r="I9" s="3417">
        <v>12997.77</v>
      </c>
      <c r="J9" s="3417">
        <v>20796.439999999999</v>
      </c>
      <c r="K9" s="3417">
        <v>0</v>
      </c>
      <c r="L9" s="3417">
        <v>0</v>
      </c>
      <c r="M9" s="3417">
        <v>0</v>
      </c>
      <c r="N9" s="3417">
        <v>0</v>
      </c>
      <c r="O9" s="3417" t="s">
        <v>3429</v>
      </c>
      <c r="P9" s="3417" t="s">
        <v>3430</v>
      </c>
      <c r="Q9" s="3417" t="s">
        <v>3430</v>
      </c>
      <c r="R9" s="3417" t="s">
        <v>3431</v>
      </c>
      <c r="S9" s="3417" t="s">
        <v>3473</v>
      </c>
      <c r="T9" s="3417">
        <v>1.6</v>
      </c>
      <c r="U9" s="3417" t="s">
        <v>3433</v>
      </c>
      <c r="V9" s="3417" t="s">
        <v>3433</v>
      </c>
      <c r="W9" s="3417" t="s">
        <v>3474</v>
      </c>
      <c r="X9" s="3417" t="s">
        <v>3458</v>
      </c>
      <c r="Y9" s="3417" t="s">
        <v>3433</v>
      </c>
      <c r="Z9" s="3417" t="s">
        <v>3459</v>
      </c>
      <c r="AA9" s="3417" t="s">
        <v>3475</v>
      </c>
      <c r="AB9" s="3417" t="s">
        <v>3438</v>
      </c>
      <c r="AC9" s="3417" t="s">
        <v>3433</v>
      </c>
      <c r="AD9" s="3417" t="s">
        <v>3476</v>
      </c>
      <c r="AE9" s="3417" t="s">
        <v>3477</v>
      </c>
      <c r="AF9" s="3417" t="s">
        <v>3478</v>
      </c>
      <c r="AG9" s="3417" t="s">
        <v>3478</v>
      </c>
      <c r="AH9" s="3417" t="s">
        <v>3442</v>
      </c>
      <c r="AI9" s="3417" t="s">
        <v>3479</v>
      </c>
      <c r="AJ9" s="3417" t="s">
        <v>3480</v>
      </c>
      <c r="AK9" s="3417" t="s">
        <v>3481</v>
      </c>
      <c r="AL9" s="3417" t="s">
        <v>3446</v>
      </c>
      <c r="AM9" s="3417" t="s">
        <v>3482</v>
      </c>
      <c r="AN9" s="3417">
        <v>24600</v>
      </c>
      <c r="AO9" s="3417">
        <v>5000</v>
      </c>
      <c r="AP9" s="3417" t="s">
        <v>3483</v>
      </c>
      <c r="AQ9" s="3417">
        <v>24600</v>
      </c>
      <c r="AR9" s="3417">
        <v>18926.32</v>
      </c>
      <c r="AS9" s="3417">
        <v>18926.32</v>
      </c>
      <c r="AT9" s="3417">
        <v>1261.75</v>
      </c>
      <c r="AU9" s="3417">
        <v>1261.75</v>
      </c>
      <c r="AV9" s="3417">
        <v>11829</v>
      </c>
      <c r="AW9" s="3417">
        <v>11829</v>
      </c>
      <c r="AX9" s="3417" t="s">
        <v>3433</v>
      </c>
      <c r="AY9" s="3417" t="s">
        <v>3433</v>
      </c>
      <c r="AZ9" s="3417">
        <v>0</v>
      </c>
      <c r="BA9" s="3417">
        <v>28290</v>
      </c>
      <c r="BB9" s="3417" t="s">
        <v>3448</v>
      </c>
      <c r="BC9" s="3417" t="s">
        <v>3433</v>
      </c>
      <c r="BD9" s="3417" t="s">
        <v>3433</v>
      </c>
      <c r="BE9" s="3417">
        <v>13603</v>
      </c>
      <c r="BF9" s="3417">
        <v>15</v>
      </c>
      <c r="BG9" s="3417" t="s">
        <v>3433</v>
      </c>
      <c r="BH9" s="3417" t="s">
        <v>3484</v>
      </c>
      <c r="BI9" s="3417" t="s">
        <v>3433</v>
      </c>
      <c r="BJ9" s="3417" t="s">
        <v>3325</v>
      </c>
      <c r="BK9" s="3417" t="s">
        <v>3485</v>
      </c>
      <c r="BL9" s="3420">
        <v>45617.000497685185</v>
      </c>
      <c r="BM9" s="3417">
        <v>24600</v>
      </c>
    </row>
    <row r="10" spans="1:65" hidden="1">
      <c r="A10" s="3417" t="s">
        <v>3486</v>
      </c>
      <c r="B10" s="3417" t="s">
        <v>3424</v>
      </c>
      <c r="C10" s="3417" t="s">
        <v>1465</v>
      </c>
      <c r="D10" s="3417" t="s">
        <v>3425</v>
      </c>
      <c r="E10" s="3417" t="s">
        <v>3487</v>
      </c>
      <c r="F10" s="3417" t="s">
        <v>3488</v>
      </c>
      <c r="G10" s="3417" t="s">
        <v>3488</v>
      </c>
      <c r="H10" s="3417" t="s">
        <v>3489</v>
      </c>
      <c r="I10" s="3417">
        <v>46815.8</v>
      </c>
      <c r="J10" s="3417">
        <v>80213.66</v>
      </c>
      <c r="K10" s="3417">
        <v>0</v>
      </c>
      <c r="L10" s="3417">
        <v>0</v>
      </c>
      <c r="M10" s="3417">
        <v>0</v>
      </c>
      <c r="N10" s="3417">
        <v>0</v>
      </c>
      <c r="O10" s="3417" t="s">
        <v>3490</v>
      </c>
      <c r="P10" s="3417" t="s">
        <v>3491</v>
      </c>
      <c r="Q10" s="3417" t="s">
        <v>3492</v>
      </c>
      <c r="R10" s="3417" t="s">
        <v>3493</v>
      </c>
      <c r="S10" s="3417" t="s">
        <v>3494</v>
      </c>
      <c r="T10" s="3417">
        <v>1.8</v>
      </c>
      <c r="U10" s="3417" t="s">
        <v>3433</v>
      </c>
      <c r="V10" s="3417" t="s">
        <v>3433</v>
      </c>
      <c r="W10" s="3417" t="s">
        <v>3495</v>
      </c>
      <c r="X10" s="3417" t="s">
        <v>3435</v>
      </c>
      <c r="Y10" s="3417" t="s">
        <v>3433</v>
      </c>
      <c r="Z10" s="3417" t="s">
        <v>3459</v>
      </c>
      <c r="AA10" s="3417" t="s">
        <v>3433</v>
      </c>
      <c r="AB10" s="3417" t="s">
        <v>3438</v>
      </c>
      <c r="AC10" s="3417" t="s">
        <v>3433</v>
      </c>
      <c r="AD10" s="3417" t="s">
        <v>3496</v>
      </c>
      <c r="AE10" s="3417" t="s">
        <v>3497</v>
      </c>
      <c r="AF10" s="3417" t="s">
        <v>3498</v>
      </c>
      <c r="AG10" s="3417" t="s">
        <v>3498</v>
      </c>
      <c r="AH10" s="3417" t="s">
        <v>3442</v>
      </c>
      <c r="AI10" s="3417" t="s">
        <v>3479</v>
      </c>
      <c r="AJ10" s="3417" t="s">
        <v>3499</v>
      </c>
      <c r="AK10" s="3417" t="s">
        <v>3500</v>
      </c>
      <c r="AL10" s="3417" t="s">
        <v>3446</v>
      </c>
      <c r="AM10" s="3417" t="s">
        <v>3482</v>
      </c>
      <c r="AN10" s="3417">
        <v>159600</v>
      </c>
      <c r="AO10" s="3417">
        <v>32000</v>
      </c>
      <c r="AP10" s="3417" t="s">
        <v>3501</v>
      </c>
      <c r="AQ10" s="3417">
        <v>159600</v>
      </c>
      <c r="AR10" s="3417">
        <v>34091.050000000003</v>
      </c>
      <c r="AS10" s="3417">
        <v>34091.050000000003</v>
      </c>
      <c r="AT10" s="3417">
        <v>2272.7399999999998</v>
      </c>
      <c r="AU10" s="3417">
        <v>2272.7399999999998</v>
      </c>
      <c r="AV10" s="3417">
        <v>19897</v>
      </c>
      <c r="AW10" s="3417">
        <v>19897</v>
      </c>
      <c r="AX10" s="3417" t="s">
        <v>3433</v>
      </c>
      <c r="AY10" s="3417" t="s">
        <v>3433</v>
      </c>
      <c r="AZ10" s="3417">
        <v>0</v>
      </c>
      <c r="BA10" s="3417">
        <v>183540</v>
      </c>
      <c r="BB10" s="3417" t="s">
        <v>3448</v>
      </c>
      <c r="BC10" s="3417" t="s">
        <v>3433</v>
      </c>
      <c r="BD10" s="3417" t="s">
        <v>3433</v>
      </c>
      <c r="BE10" s="3417">
        <v>22881</v>
      </c>
      <c r="BF10" s="3417">
        <v>15</v>
      </c>
      <c r="BG10" s="3417" t="s">
        <v>3433</v>
      </c>
      <c r="BH10" s="3417" t="s">
        <v>3502</v>
      </c>
      <c r="BI10" s="3417" t="s">
        <v>3433</v>
      </c>
      <c r="BJ10" s="3417" t="s">
        <v>3325</v>
      </c>
      <c r="BK10" s="3417" t="s">
        <v>3503</v>
      </c>
      <c r="BL10" s="3417" t="s">
        <v>3433</v>
      </c>
      <c r="BM10" s="3417" t="s">
        <v>3433</v>
      </c>
    </row>
    <row r="11" spans="1:65" hidden="1">
      <c r="A11" s="3417" t="s">
        <v>3504</v>
      </c>
      <c r="B11" s="3417" t="s">
        <v>3424</v>
      </c>
      <c r="C11" s="3417" t="s">
        <v>1465</v>
      </c>
      <c r="D11" s="3417" t="s">
        <v>3505</v>
      </c>
      <c r="E11" s="3417" t="s">
        <v>3506</v>
      </c>
      <c r="F11" s="3417" t="s">
        <v>3507</v>
      </c>
      <c r="G11" s="3417" t="s">
        <v>3507</v>
      </c>
      <c r="H11" s="3417" t="s">
        <v>3508</v>
      </c>
      <c r="I11" s="3417">
        <v>29897.27</v>
      </c>
      <c r="J11" s="3417">
        <v>65733.16</v>
      </c>
      <c r="K11" s="3417">
        <v>0</v>
      </c>
      <c r="L11" s="3417">
        <v>0</v>
      </c>
      <c r="M11" s="3417">
        <v>0</v>
      </c>
      <c r="N11" s="3417">
        <v>0</v>
      </c>
      <c r="O11" s="3417" t="s">
        <v>3490</v>
      </c>
      <c r="P11" s="3417" t="s">
        <v>3491</v>
      </c>
      <c r="Q11" s="3417" t="s">
        <v>3509</v>
      </c>
      <c r="R11" s="3417" t="s">
        <v>3510</v>
      </c>
      <c r="S11" s="3417" t="s">
        <v>3511</v>
      </c>
      <c r="T11" s="3417">
        <v>2.5</v>
      </c>
      <c r="U11" s="3417">
        <v>0.76</v>
      </c>
      <c r="V11" s="3417">
        <v>0.3</v>
      </c>
      <c r="W11" s="3417" t="s">
        <v>3512</v>
      </c>
      <c r="X11" s="3417" t="s">
        <v>3458</v>
      </c>
      <c r="Y11" s="3417" t="s">
        <v>3433</v>
      </c>
      <c r="Z11" s="3417" t="s">
        <v>3459</v>
      </c>
      <c r="AA11" s="3417" t="s">
        <v>3475</v>
      </c>
      <c r="AB11" s="3417" t="s">
        <v>3438</v>
      </c>
      <c r="AC11" s="3417" t="s">
        <v>3433</v>
      </c>
      <c r="AD11" s="3417" t="s">
        <v>3513</v>
      </c>
      <c r="AE11" s="3417" t="s">
        <v>3514</v>
      </c>
      <c r="AF11" s="3417" t="s">
        <v>3515</v>
      </c>
      <c r="AG11" s="3417" t="s">
        <v>3515</v>
      </c>
      <c r="AH11" s="3417" t="s">
        <v>3442</v>
      </c>
      <c r="AI11" s="3417" t="s">
        <v>3479</v>
      </c>
      <c r="AJ11" s="3417" t="s">
        <v>3516</v>
      </c>
      <c r="AK11" s="3417" t="s">
        <v>3517</v>
      </c>
      <c r="AL11" s="3417" t="s">
        <v>3446</v>
      </c>
      <c r="AM11" s="3417" t="s">
        <v>3482</v>
      </c>
      <c r="AN11" s="3417">
        <v>222500</v>
      </c>
      <c r="AO11" s="3417">
        <v>44500</v>
      </c>
      <c r="AP11" s="3417" t="s">
        <v>3518</v>
      </c>
      <c r="AQ11" s="3417">
        <v>222500</v>
      </c>
      <c r="AR11" s="3417">
        <v>74421.509999999995</v>
      </c>
      <c r="AS11" s="3417">
        <v>74421.509999999995</v>
      </c>
      <c r="AT11" s="3417">
        <v>4961.43</v>
      </c>
      <c r="AU11" s="3417">
        <v>4961.43</v>
      </c>
      <c r="AV11" s="3417">
        <v>33849</v>
      </c>
      <c r="AW11" s="3417">
        <v>33849</v>
      </c>
      <c r="AX11" s="3417" t="s">
        <v>3433</v>
      </c>
      <c r="AY11" s="3417" t="s">
        <v>3433</v>
      </c>
      <c r="AZ11" s="3417">
        <v>0</v>
      </c>
      <c r="BA11" s="3417">
        <v>255875</v>
      </c>
      <c r="BB11" s="3417" t="s">
        <v>3448</v>
      </c>
      <c r="BC11" s="3417" t="s">
        <v>3433</v>
      </c>
      <c r="BD11" s="3417" t="s">
        <v>3433</v>
      </c>
      <c r="BE11" s="3417">
        <v>38926</v>
      </c>
      <c r="BF11" s="3417">
        <v>15</v>
      </c>
      <c r="BG11" s="3417" t="s">
        <v>3433</v>
      </c>
      <c r="BH11" s="3417" t="s">
        <v>3519</v>
      </c>
      <c r="BI11" s="3417" t="s">
        <v>3433</v>
      </c>
      <c r="BJ11" s="3417" t="s">
        <v>3276</v>
      </c>
      <c r="BK11" s="3417" t="s">
        <v>3433</v>
      </c>
      <c r="BL11" s="3417" t="s">
        <v>3433</v>
      </c>
      <c r="BM11" s="3417" t="s">
        <v>3433</v>
      </c>
    </row>
    <row r="12" spans="1:65" hidden="1">
      <c r="A12" s="3417" t="s">
        <v>3520</v>
      </c>
      <c r="B12" s="3417" t="s">
        <v>3424</v>
      </c>
      <c r="C12" s="3417" t="s">
        <v>1465</v>
      </c>
      <c r="D12" s="3417" t="s">
        <v>3521</v>
      </c>
      <c r="E12" s="3417" t="s">
        <v>3522</v>
      </c>
      <c r="F12" s="3417" t="s">
        <v>3523</v>
      </c>
      <c r="G12" s="3417" t="s">
        <v>3523</v>
      </c>
      <c r="H12" s="3417" t="s">
        <v>3524</v>
      </c>
      <c r="I12" s="3417">
        <v>171090.53</v>
      </c>
      <c r="J12" s="3417">
        <v>185879.6</v>
      </c>
      <c r="K12" s="3417">
        <v>0</v>
      </c>
      <c r="L12" s="3417">
        <v>0</v>
      </c>
      <c r="M12" s="3417">
        <v>0</v>
      </c>
      <c r="N12" s="3417">
        <v>0</v>
      </c>
      <c r="O12" s="3417" t="s">
        <v>3490</v>
      </c>
      <c r="P12" s="3417" t="s">
        <v>3525</v>
      </c>
      <c r="Q12" s="3417" t="s">
        <v>3526</v>
      </c>
      <c r="R12" s="3417" t="s">
        <v>3527</v>
      </c>
      <c r="S12" s="3417" t="s">
        <v>3528</v>
      </c>
      <c r="T12" s="3417">
        <v>2</v>
      </c>
      <c r="U12" s="3417">
        <v>4.41</v>
      </c>
      <c r="V12" s="3417" t="s">
        <v>3529</v>
      </c>
      <c r="W12" s="3417" t="s">
        <v>3474</v>
      </c>
      <c r="X12" s="3417" t="s">
        <v>3458</v>
      </c>
      <c r="Y12" s="3417" t="s">
        <v>3433</v>
      </c>
      <c r="Z12" s="3417" t="s">
        <v>3459</v>
      </c>
      <c r="AA12" s="3417" t="s">
        <v>3433</v>
      </c>
      <c r="AB12" s="3417" t="s">
        <v>3438</v>
      </c>
      <c r="AC12" s="3417" t="s">
        <v>3433</v>
      </c>
      <c r="AD12" s="3417" t="s">
        <v>3530</v>
      </c>
      <c r="AE12" s="3417" t="s">
        <v>3531</v>
      </c>
      <c r="AF12" s="3417" t="s">
        <v>3497</v>
      </c>
      <c r="AG12" s="3417" t="s">
        <v>3497</v>
      </c>
      <c r="AH12" s="3417" t="s">
        <v>3442</v>
      </c>
      <c r="AI12" s="3417" t="s">
        <v>3479</v>
      </c>
      <c r="AJ12" s="3417" t="s">
        <v>3532</v>
      </c>
      <c r="AK12" s="3417" t="s">
        <v>3533</v>
      </c>
      <c r="AL12" s="3417" t="s">
        <v>3534</v>
      </c>
      <c r="AM12" s="3417" t="s">
        <v>3433</v>
      </c>
      <c r="AN12" s="3417">
        <v>432000</v>
      </c>
      <c r="AO12" s="3417">
        <v>86400</v>
      </c>
      <c r="AP12" s="3417" t="s">
        <v>3535</v>
      </c>
      <c r="AQ12" s="3417">
        <v>432000</v>
      </c>
      <c r="AR12" s="3417">
        <v>25249.79</v>
      </c>
      <c r="AS12" s="3417">
        <v>25249.79</v>
      </c>
      <c r="AT12" s="3417">
        <v>1683.32</v>
      </c>
      <c r="AU12" s="3417">
        <v>1683.32</v>
      </c>
      <c r="AV12" s="3417">
        <v>23241</v>
      </c>
      <c r="AW12" s="3417">
        <v>23241</v>
      </c>
      <c r="AX12" s="3417" t="s">
        <v>3433</v>
      </c>
      <c r="AY12" s="3417" t="s">
        <v>3433</v>
      </c>
      <c r="AZ12" s="3417">
        <v>0</v>
      </c>
      <c r="BA12" s="3417">
        <v>496800</v>
      </c>
      <c r="BB12" s="3417" t="s">
        <v>3448</v>
      </c>
      <c r="BC12" s="3417" t="s">
        <v>3433</v>
      </c>
      <c r="BD12" s="3417" t="s">
        <v>3433</v>
      </c>
      <c r="BE12" s="3417">
        <v>26727</v>
      </c>
      <c r="BF12" s="3417">
        <v>15</v>
      </c>
      <c r="BG12" s="3417" t="s">
        <v>3433</v>
      </c>
      <c r="BH12" s="3417" t="s">
        <v>3502</v>
      </c>
      <c r="BI12" s="3417" t="s">
        <v>3433</v>
      </c>
      <c r="BJ12" s="3417" t="s">
        <v>3325</v>
      </c>
      <c r="BK12" s="3417" t="s">
        <v>3536</v>
      </c>
      <c r="BL12" s="3417" t="s">
        <v>3433</v>
      </c>
      <c r="BM12" s="3417" t="s">
        <v>3433</v>
      </c>
    </row>
    <row r="13" spans="1:65" hidden="1">
      <c r="A13" s="3417" t="s">
        <v>3537</v>
      </c>
      <c r="B13" s="3417" t="s">
        <v>3424</v>
      </c>
      <c r="C13" s="3417" t="s">
        <v>1465</v>
      </c>
      <c r="D13" s="3417" t="s">
        <v>3538</v>
      </c>
      <c r="E13" s="3417" t="s">
        <v>3539</v>
      </c>
      <c r="F13" s="3417" t="s">
        <v>3540</v>
      </c>
      <c r="G13" s="3417" t="s">
        <v>3540</v>
      </c>
      <c r="H13" s="3417" t="s">
        <v>3541</v>
      </c>
      <c r="I13" s="3417">
        <v>48345.71</v>
      </c>
      <c r="J13" s="3417">
        <v>90571.42</v>
      </c>
      <c r="K13" s="3417" t="s">
        <v>3433</v>
      </c>
      <c r="L13" s="3417" t="s">
        <v>3433</v>
      </c>
      <c r="M13" s="3417">
        <v>0</v>
      </c>
      <c r="N13" s="3417">
        <v>0</v>
      </c>
      <c r="O13" s="3417" t="s">
        <v>3429</v>
      </c>
      <c r="P13" s="3417" t="s">
        <v>3542</v>
      </c>
      <c r="Q13" s="3417" t="s">
        <v>3543</v>
      </c>
      <c r="R13" s="3417" t="s">
        <v>3527</v>
      </c>
      <c r="S13" s="3417" t="s">
        <v>3544</v>
      </c>
      <c r="T13" s="3417">
        <v>2</v>
      </c>
      <c r="U13" s="3417" t="s">
        <v>3433</v>
      </c>
      <c r="V13" s="3417">
        <v>30</v>
      </c>
      <c r="W13" s="3417" t="s">
        <v>3545</v>
      </c>
      <c r="X13" s="3417" t="s">
        <v>3458</v>
      </c>
      <c r="Y13" s="3417" t="s">
        <v>3433</v>
      </c>
      <c r="Z13" s="3417" t="s">
        <v>3433</v>
      </c>
      <c r="AA13" s="3417" t="s">
        <v>3433</v>
      </c>
      <c r="AB13" s="3417" t="s">
        <v>3433</v>
      </c>
      <c r="AC13" s="3417" t="s">
        <v>3433</v>
      </c>
      <c r="AD13" s="3417" t="s">
        <v>3546</v>
      </c>
      <c r="AE13" s="3417" t="s">
        <v>3547</v>
      </c>
      <c r="AF13" s="3417" t="s">
        <v>3548</v>
      </c>
      <c r="AG13" s="3417" t="s">
        <v>3548</v>
      </c>
      <c r="AH13" s="3417" t="s">
        <v>3442</v>
      </c>
      <c r="AI13" s="3417" t="s">
        <v>3443</v>
      </c>
      <c r="AJ13" s="3417" t="s">
        <v>3549</v>
      </c>
      <c r="AK13" s="3417" t="s">
        <v>3550</v>
      </c>
      <c r="AL13" s="3417" t="s">
        <v>3446</v>
      </c>
      <c r="AM13" s="3417" t="s">
        <v>3482</v>
      </c>
      <c r="AN13" s="3417">
        <v>164400</v>
      </c>
      <c r="AO13" s="3417">
        <v>32900</v>
      </c>
      <c r="AP13" s="3417" t="s">
        <v>3551</v>
      </c>
      <c r="AQ13" s="3417">
        <v>164400</v>
      </c>
      <c r="AR13" s="3417">
        <v>34005.08</v>
      </c>
      <c r="AS13" s="3417">
        <v>34005.08</v>
      </c>
      <c r="AT13" s="3417">
        <v>2267.0100000000002</v>
      </c>
      <c r="AU13" s="3417">
        <v>2267.0100000000002</v>
      </c>
      <c r="AV13" s="3417">
        <v>18151</v>
      </c>
      <c r="AW13" s="3417">
        <v>18151</v>
      </c>
      <c r="AX13" s="3417" t="s">
        <v>3433</v>
      </c>
      <c r="AY13" s="3417" t="s">
        <v>3433</v>
      </c>
      <c r="AZ13" s="3417">
        <v>0</v>
      </c>
      <c r="BA13" s="3417" t="s">
        <v>3433</v>
      </c>
      <c r="BB13" s="3417" t="s">
        <v>3433</v>
      </c>
      <c r="BC13" s="3417">
        <v>45000</v>
      </c>
      <c r="BD13" s="3417">
        <v>45000</v>
      </c>
      <c r="BE13" s="3417" t="s">
        <v>3433</v>
      </c>
      <c r="BF13" s="3417" t="s">
        <v>3433</v>
      </c>
      <c r="BG13" s="3417" t="s">
        <v>3433</v>
      </c>
      <c r="BH13" s="3417" t="s">
        <v>3552</v>
      </c>
      <c r="BI13" s="3417" t="s">
        <v>3433</v>
      </c>
      <c r="BJ13" s="3417" t="s">
        <v>3325</v>
      </c>
      <c r="BK13" s="3417" t="s">
        <v>3553</v>
      </c>
      <c r="BL13" s="3420">
        <v>45536.000497685185</v>
      </c>
      <c r="BM13" s="3417">
        <v>164400</v>
      </c>
    </row>
    <row r="14" spans="1:65" hidden="1">
      <c r="A14" s="3417" t="s">
        <v>3554</v>
      </c>
      <c r="B14" s="3417" t="s">
        <v>3424</v>
      </c>
      <c r="C14" s="3417" t="s">
        <v>1465</v>
      </c>
      <c r="D14" s="3417" t="s">
        <v>3505</v>
      </c>
      <c r="E14" s="3417" t="s">
        <v>3555</v>
      </c>
      <c r="F14" s="3417" t="s">
        <v>3556</v>
      </c>
      <c r="G14" s="3417" t="s">
        <v>3556</v>
      </c>
      <c r="H14" s="3417" t="s">
        <v>3557</v>
      </c>
      <c r="I14" s="3417">
        <v>69411.009999999995</v>
      </c>
      <c r="J14" s="3417">
        <v>144005.16</v>
      </c>
      <c r="K14" s="3417">
        <v>0</v>
      </c>
      <c r="L14" s="3417">
        <v>0</v>
      </c>
      <c r="M14" s="3417">
        <v>0</v>
      </c>
      <c r="N14" s="3417">
        <v>0</v>
      </c>
      <c r="O14" s="3417" t="s">
        <v>3490</v>
      </c>
      <c r="P14" s="3417" t="s">
        <v>3558</v>
      </c>
      <c r="Q14" s="3417" t="s">
        <v>3559</v>
      </c>
      <c r="R14" s="3417" t="s">
        <v>3527</v>
      </c>
      <c r="S14" s="3417" t="s">
        <v>3560</v>
      </c>
      <c r="T14" s="3417">
        <v>2.5</v>
      </c>
      <c r="U14" s="3417">
        <v>1.39</v>
      </c>
      <c r="V14" s="3417" t="s">
        <v>3561</v>
      </c>
      <c r="W14" s="3417" t="s">
        <v>3433</v>
      </c>
      <c r="X14" s="3417" t="s">
        <v>3458</v>
      </c>
      <c r="Y14" s="3417" t="s">
        <v>3433</v>
      </c>
      <c r="Z14" s="3417" t="s">
        <v>3459</v>
      </c>
      <c r="AA14" s="3417" t="s">
        <v>3475</v>
      </c>
      <c r="AB14" s="3417" t="s">
        <v>3438</v>
      </c>
      <c r="AC14" s="3417" t="s">
        <v>3433</v>
      </c>
      <c r="AD14" s="3417" t="s">
        <v>3562</v>
      </c>
      <c r="AE14" s="3417" t="s">
        <v>3563</v>
      </c>
      <c r="AF14" s="3417" t="s">
        <v>3564</v>
      </c>
      <c r="AG14" s="3417" t="s">
        <v>3564</v>
      </c>
      <c r="AH14" s="3417" t="s">
        <v>3442</v>
      </c>
      <c r="AI14" s="3417" t="s">
        <v>3443</v>
      </c>
      <c r="AJ14" s="3417" t="s">
        <v>3516</v>
      </c>
      <c r="AK14" s="3417" t="s">
        <v>3517</v>
      </c>
      <c r="AL14" s="3417" t="s">
        <v>3446</v>
      </c>
      <c r="AM14" s="3417" t="s">
        <v>3482</v>
      </c>
      <c r="AN14" s="3417">
        <v>321700</v>
      </c>
      <c r="AO14" s="3417">
        <v>64400</v>
      </c>
      <c r="AP14" s="3417" t="s">
        <v>3565</v>
      </c>
      <c r="AQ14" s="3417">
        <v>321700</v>
      </c>
      <c r="AR14" s="3417">
        <v>46347.11</v>
      </c>
      <c r="AS14" s="3417">
        <v>46347.11</v>
      </c>
      <c r="AT14" s="3417">
        <v>3089.81</v>
      </c>
      <c r="AU14" s="3417">
        <v>3089.81</v>
      </c>
      <c r="AV14" s="3417">
        <v>22339</v>
      </c>
      <c r="AW14" s="3417">
        <v>22339</v>
      </c>
      <c r="AX14" s="3417" t="s">
        <v>3433</v>
      </c>
      <c r="AY14" s="3417" t="s">
        <v>3433</v>
      </c>
      <c r="AZ14" s="3417">
        <v>0</v>
      </c>
      <c r="BA14" s="3417">
        <v>369955</v>
      </c>
      <c r="BB14" s="3417" t="s">
        <v>3448</v>
      </c>
      <c r="BC14" s="3417">
        <v>59000</v>
      </c>
      <c r="BD14" s="3417">
        <v>59000</v>
      </c>
      <c r="BE14" s="3417">
        <v>25690</v>
      </c>
      <c r="BF14" s="3417">
        <v>15</v>
      </c>
      <c r="BG14" s="3417">
        <v>34642</v>
      </c>
      <c r="BH14" s="3417" t="s">
        <v>3502</v>
      </c>
      <c r="BI14" s="3417" t="s">
        <v>3433</v>
      </c>
      <c r="BJ14" s="3417" t="s">
        <v>3325</v>
      </c>
      <c r="BK14" s="3417" t="s">
        <v>3554</v>
      </c>
      <c r="BL14" s="3417" t="s">
        <v>3433</v>
      </c>
      <c r="BM14" s="3417" t="s">
        <v>3433</v>
      </c>
    </row>
    <row r="15" spans="1:65" hidden="1">
      <c r="A15" s="3417" t="s">
        <v>3566</v>
      </c>
      <c r="B15" s="3417" t="s">
        <v>3424</v>
      </c>
      <c r="C15" s="3417" t="s">
        <v>1465</v>
      </c>
      <c r="D15" s="3417" t="s">
        <v>3505</v>
      </c>
      <c r="E15" s="3417" t="s">
        <v>3567</v>
      </c>
      <c r="F15" s="3417" t="s">
        <v>3568</v>
      </c>
      <c r="G15" s="3417" t="s">
        <v>3568</v>
      </c>
      <c r="H15" s="3417" t="s">
        <v>3569</v>
      </c>
      <c r="I15" s="3417">
        <v>67135.210000000006</v>
      </c>
      <c r="J15" s="3417">
        <v>119514.23</v>
      </c>
      <c r="K15" s="3417">
        <v>0</v>
      </c>
      <c r="L15" s="3417">
        <v>0</v>
      </c>
      <c r="M15" s="3417">
        <v>0</v>
      </c>
      <c r="N15" s="3417">
        <v>0</v>
      </c>
      <c r="O15" s="3417" t="s">
        <v>3490</v>
      </c>
      <c r="P15" s="3417" t="s">
        <v>3570</v>
      </c>
      <c r="Q15" s="3417" t="s">
        <v>3571</v>
      </c>
      <c r="R15" s="3417" t="s">
        <v>3527</v>
      </c>
      <c r="S15" s="3417" t="s">
        <v>3572</v>
      </c>
      <c r="T15" s="3417">
        <v>2.8</v>
      </c>
      <c r="U15" s="3417">
        <v>27.9</v>
      </c>
      <c r="V15" s="3417" t="s">
        <v>3573</v>
      </c>
      <c r="W15" s="3417" t="s">
        <v>3433</v>
      </c>
      <c r="X15" s="3417" t="s">
        <v>3458</v>
      </c>
      <c r="Y15" s="3417" t="s">
        <v>3433</v>
      </c>
      <c r="Z15" s="3417" t="s">
        <v>3459</v>
      </c>
      <c r="AA15" s="3417" t="s">
        <v>3433</v>
      </c>
      <c r="AB15" s="3417" t="s">
        <v>3438</v>
      </c>
      <c r="AC15" s="3417" t="s">
        <v>3433</v>
      </c>
      <c r="AD15" s="3417" t="s">
        <v>3574</v>
      </c>
      <c r="AE15" s="3417" t="s">
        <v>3575</v>
      </c>
      <c r="AF15" s="3417" t="s">
        <v>3576</v>
      </c>
      <c r="AG15" s="3417" t="s">
        <v>3576</v>
      </c>
      <c r="AH15" s="3417" t="s">
        <v>3442</v>
      </c>
      <c r="AI15" s="3417" t="s">
        <v>3443</v>
      </c>
      <c r="AJ15" s="3417" t="s">
        <v>3577</v>
      </c>
      <c r="AK15" s="3417" t="s">
        <v>3578</v>
      </c>
      <c r="AL15" s="3417" t="s">
        <v>3579</v>
      </c>
      <c r="AM15" s="3417" t="s">
        <v>3580</v>
      </c>
      <c r="AN15" s="3417">
        <v>214600</v>
      </c>
      <c r="AO15" s="3417">
        <v>43000</v>
      </c>
      <c r="AP15" s="3417" t="s">
        <v>3581</v>
      </c>
      <c r="AQ15" s="3417">
        <v>214600</v>
      </c>
      <c r="AR15" s="3417">
        <v>31965.34</v>
      </c>
      <c r="AS15" s="3417">
        <v>31965.34</v>
      </c>
      <c r="AT15" s="3417">
        <v>2131.02</v>
      </c>
      <c r="AU15" s="3417">
        <v>2131.02</v>
      </c>
      <c r="AV15" s="3417">
        <v>17956</v>
      </c>
      <c r="AW15" s="3417">
        <v>17956</v>
      </c>
      <c r="AX15" s="3417" t="s">
        <v>3433</v>
      </c>
      <c r="AY15" s="3417" t="s">
        <v>3433</v>
      </c>
      <c r="AZ15" s="3417">
        <v>0</v>
      </c>
      <c r="BA15" s="3417">
        <v>246790</v>
      </c>
      <c r="BB15" s="3417" t="s">
        <v>3448</v>
      </c>
      <c r="BC15" s="3417">
        <v>50000</v>
      </c>
      <c r="BD15" s="3417">
        <v>50000</v>
      </c>
      <c r="BE15" s="3417">
        <v>20649</v>
      </c>
      <c r="BF15" s="3417">
        <v>15</v>
      </c>
      <c r="BG15" s="3417">
        <v>31318</v>
      </c>
      <c r="BH15" s="3417" t="s">
        <v>3552</v>
      </c>
      <c r="BI15" s="3417" t="s">
        <v>3433</v>
      </c>
      <c r="BJ15" s="3417" t="s">
        <v>3325</v>
      </c>
      <c r="BK15" s="3417" t="s">
        <v>3582</v>
      </c>
      <c r="BL15" s="3420">
        <v>45508.000497685185</v>
      </c>
      <c r="BM15" s="3417">
        <v>214600</v>
      </c>
    </row>
    <row r="16" spans="1:65" hidden="1">
      <c r="A16" s="3417" t="s">
        <v>3583</v>
      </c>
      <c r="B16" s="3417" t="s">
        <v>3424</v>
      </c>
      <c r="C16" s="3417" t="s">
        <v>1465</v>
      </c>
      <c r="D16" s="3417" t="s">
        <v>3521</v>
      </c>
      <c r="E16" s="3417" t="s">
        <v>3584</v>
      </c>
      <c r="F16" s="3417" t="s">
        <v>3585</v>
      </c>
      <c r="G16" s="3417" t="s">
        <v>3585</v>
      </c>
      <c r="H16" s="3417" t="s">
        <v>3586</v>
      </c>
      <c r="I16" s="3417">
        <v>50136.84</v>
      </c>
      <c r="J16" s="3417">
        <v>77018.94</v>
      </c>
      <c r="K16" s="3417">
        <v>0</v>
      </c>
      <c r="L16" s="3417">
        <v>0</v>
      </c>
      <c r="M16" s="3417">
        <v>0</v>
      </c>
      <c r="N16" s="3417">
        <v>0</v>
      </c>
      <c r="O16" s="3417" t="s">
        <v>3490</v>
      </c>
      <c r="P16" s="3417" t="s">
        <v>3491</v>
      </c>
      <c r="Q16" s="3417" t="s">
        <v>3509</v>
      </c>
      <c r="R16" s="3417" t="s">
        <v>3527</v>
      </c>
      <c r="S16" s="3417" t="s">
        <v>3587</v>
      </c>
      <c r="T16" s="3417">
        <v>1.6</v>
      </c>
      <c r="U16" s="3417" t="s">
        <v>3433</v>
      </c>
      <c r="V16" s="3417">
        <v>30</v>
      </c>
      <c r="W16" s="3417" t="s">
        <v>3588</v>
      </c>
      <c r="X16" s="3417" t="s">
        <v>3458</v>
      </c>
      <c r="Y16" s="3417" t="s">
        <v>3433</v>
      </c>
      <c r="Z16" s="3417" t="s">
        <v>3459</v>
      </c>
      <c r="AA16" s="3417" t="s">
        <v>3475</v>
      </c>
      <c r="AB16" s="3417" t="s">
        <v>3433</v>
      </c>
      <c r="AC16" s="3417" t="s">
        <v>3433</v>
      </c>
      <c r="AD16" s="3417" t="s">
        <v>3589</v>
      </c>
      <c r="AE16" s="3417" t="s">
        <v>3590</v>
      </c>
      <c r="AF16" s="3417" t="s">
        <v>3591</v>
      </c>
      <c r="AG16" s="3417" t="s">
        <v>3591</v>
      </c>
      <c r="AH16" s="3417" t="s">
        <v>3442</v>
      </c>
      <c r="AI16" s="3417" t="s">
        <v>3443</v>
      </c>
      <c r="AJ16" s="3417" t="s">
        <v>3592</v>
      </c>
      <c r="AK16" s="3417" t="s">
        <v>3593</v>
      </c>
      <c r="AL16" s="3417" t="s">
        <v>3594</v>
      </c>
      <c r="AM16" s="3417" t="s">
        <v>3580</v>
      </c>
      <c r="AN16" s="3417">
        <v>119000</v>
      </c>
      <c r="AO16" s="3417">
        <v>23800</v>
      </c>
      <c r="AP16" s="3417" t="s">
        <v>3595</v>
      </c>
      <c r="AQ16" s="3417">
        <v>119000</v>
      </c>
      <c r="AR16" s="3417">
        <v>23735.040000000001</v>
      </c>
      <c r="AS16" s="3417">
        <v>23735.040000000001</v>
      </c>
      <c r="AT16" s="3417">
        <v>1582.34</v>
      </c>
      <c r="AU16" s="3417">
        <v>1582.34</v>
      </c>
      <c r="AV16" s="3417">
        <v>15451</v>
      </c>
      <c r="AW16" s="3417">
        <v>15451</v>
      </c>
      <c r="AX16" s="3417" t="s">
        <v>3433</v>
      </c>
      <c r="AY16" s="3417" t="s">
        <v>3433</v>
      </c>
      <c r="AZ16" s="3417">
        <v>0</v>
      </c>
      <c r="BA16" s="3417">
        <v>136850</v>
      </c>
      <c r="BB16" s="3417" t="s">
        <v>3448</v>
      </c>
      <c r="BC16" s="3417">
        <v>44000</v>
      </c>
      <c r="BD16" s="3417">
        <v>44000</v>
      </c>
      <c r="BE16" s="3417">
        <v>17768</v>
      </c>
      <c r="BF16" s="3417">
        <v>15</v>
      </c>
      <c r="BG16" s="3417">
        <v>27879</v>
      </c>
      <c r="BH16" s="3417" t="s">
        <v>3502</v>
      </c>
      <c r="BI16" s="3417" t="s">
        <v>3596</v>
      </c>
      <c r="BJ16" s="3417" t="s">
        <v>3325</v>
      </c>
      <c r="BK16" s="3417" t="s">
        <v>3586</v>
      </c>
      <c r="BL16" s="3420">
        <v>45500.000497685185</v>
      </c>
      <c r="BM16" s="3417">
        <v>119000</v>
      </c>
    </row>
    <row r="17" spans="1:65" hidden="1">
      <c r="A17" s="3417" t="s">
        <v>3597</v>
      </c>
      <c r="B17" s="3417" t="s">
        <v>3424</v>
      </c>
      <c r="C17" s="3417" t="s">
        <v>1465</v>
      </c>
      <c r="D17" s="3417" t="s">
        <v>3598</v>
      </c>
      <c r="E17" s="3417" t="s">
        <v>3599</v>
      </c>
      <c r="F17" s="3417" t="s">
        <v>3600</v>
      </c>
      <c r="G17" s="3417" t="s">
        <v>3600</v>
      </c>
      <c r="H17" s="3417" t="s">
        <v>3601</v>
      </c>
      <c r="I17" s="3417">
        <v>134040.01999999999</v>
      </c>
      <c r="J17" s="3417">
        <v>149100</v>
      </c>
      <c r="K17" s="3417" t="s">
        <v>3433</v>
      </c>
      <c r="L17" s="3417" t="s">
        <v>3433</v>
      </c>
      <c r="M17" s="3417">
        <v>0</v>
      </c>
      <c r="N17" s="3417">
        <v>0</v>
      </c>
      <c r="O17" s="3417" t="s">
        <v>3490</v>
      </c>
      <c r="P17" s="3417" t="s">
        <v>3602</v>
      </c>
      <c r="Q17" s="3417" t="s">
        <v>3603</v>
      </c>
      <c r="R17" s="3417" t="s">
        <v>3604</v>
      </c>
      <c r="S17" s="3417" t="s">
        <v>3605</v>
      </c>
      <c r="T17" s="3417">
        <v>1.1100000000000001</v>
      </c>
      <c r="U17" s="3417" t="s">
        <v>3433</v>
      </c>
      <c r="V17" s="3417" t="s">
        <v>3433</v>
      </c>
      <c r="W17" s="3417">
        <v>15</v>
      </c>
      <c r="X17" s="3417" t="s">
        <v>3458</v>
      </c>
      <c r="Y17" s="3417" t="s">
        <v>3433</v>
      </c>
      <c r="Z17" s="3417" t="s">
        <v>3459</v>
      </c>
      <c r="AA17" s="3417" t="s">
        <v>3475</v>
      </c>
      <c r="AB17" s="3417" t="s">
        <v>3438</v>
      </c>
      <c r="AC17" s="3417" t="s">
        <v>3433</v>
      </c>
      <c r="AD17" s="3417" t="s">
        <v>3606</v>
      </c>
      <c r="AE17" s="3417" t="s">
        <v>3607</v>
      </c>
      <c r="AF17" s="3417" t="s">
        <v>3608</v>
      </c>
      <c r="AG17" s="3417" t="s">
        <v>3608</v>
      </c>
      <c r="AH17" s="3417" t="s">
        <v>3442</v>
      </c>
      <c r="AI17" s="3417" t="s">
        <v>3443</v>
      </c>
      <c r="AJ17" s="3417" t="s">
        <v>3609</v>
      </c>
      <c r="AK17" s="3417" t="s">
        <v>3610</v>
      </c>
      <c r="AL17" s="3417" t="s">
        <v>3446</v>
      </c>
      <c r="AM17" s="3417" t="s">
        <v>3482</v>
      </c>
      <c r="AN17" s="3417">
        <v>205100</v>
      </c>
      <c r="AO17" s="3417">
        <v>42000</v>
      </c>
      <c r="AP17" s="3417" t="s">
        <v>3611</v>
      </c>
      <c r="AQ17" s="3417">
        <v>205100</v>
      </c>
      <c r="AR17" s="3417">
        <v>15301.4</v>
      </c>
      <c r="AS17" s="3417">
        <v>15301.4</v>
      </c>
      <c r="AT17" s="3417">
        <v>1020.09</v>
      </c>
      <c r="AU17" s="3417">
        <v>1020.09</v>
      </c>
      <c r="AV17" s="3417">
        <v>13756</v>
      </c>
      <c r="AW17" s="3417">
        <v>13756</v>
      </c>
      <c r="AX17" s="3417" t="s">
        <v>3433</v>
      </c>
      <c r="AY17" s="3417" t="s">
        <v>3433</v>
      </c>
      <c r="AZ17" s="3417">
        <v>0</v>
      </c>
      <c r="BA17" s="3417">
        <v>215355</v>
      </c>
      <c r="BB17" s="3417" t="s">
        <v>3448</v>
      </c>
      <c r="BC17" s="3417">
        <v>44000</v>
      </c>
      <c r="BD17" s="3417">
        <v>44000</v>
      </c>
      <c r="BE17" s="3417">
        <v>14444</v>
      </c>
      <c r="BF17" s="3417">
        <v>5</v>
      </c>
      <c r="BG17" s="3417">
        <v>12053</v>
      </c>
      <c r="BH17" s="3417" t="s">
        <v>3484</v>
      </c>
      <c r="BI17" s="3417" t="s">
        <v>3433</v>
      </c>
      <c r="BJ17" s="3417" t="s">
        <v>3325</v>
      </c>
      <c r="BK17" s="3417" t="s">
        <v>3601</v>
      </c>
      <c r="BL17" s="3417" t="s">
        <v>3433</v>
      </c>
      <c r="BM17" s="3417" t="s">
        <v>3433</v>
      </c>
    </row>
    <row r="18" spans="1:65" hidden="1">
      <c r="A18" s="3417" t="s">
        <v>3612</v>
      </c>
      <c r="B18" s="3417" t="s">
        <v>3424</v>
      </c>
      <c r="C18" s="3417" t="s">
        <v>1465</v>
      </c>
      <c r="D18" s="3417" t="s">
        <v>3521</v>
      </c>
      <c r="E18" s="3417" t="s">
        <v>3613</v>
      </c>
      <c r="F18" s="3417" t="s">
        <v>3614</v>
      </c>
      <c r="G18" s="3417" t="s">
        <v>3614</v>
      </c>
      <c r="H18" s="3417" t="s">
        <v>3615</v>
      </c>
      <c r="I18" s="3417">
        <v>30551.17</v>
      </c>
      <c r="J18" s="3417">
        <v>42798.91</v>
      </c>
      <c r="K18" s="3417" t="s">
        <v>3433</v>
      </c>
      <c r="L18" s="3417" t="s">
        <v>3433</v>
      </c>
      <c r="M18" s="3417">
        <v>0</v>
      </c>
      <c r="N18" s="3417">
        <v>0</v>
      </c>
      <c r="O18" s="3417" t="s">
        <v>3490</v>
      </c>
      <c r="P18" s="3417" t="s">
        <v>3616</v>
      </c>
      <c r="Q18" s="3417" t="s">
        <v>3430</v>
      </c>
      <c r="R18" s="3417" t="s">
        <v>3617</v>
      </c>
      <c r="S18" s="3417" t="s">
        <v>3618</v>
      </c>
      <c r="T18" s="3417">
        <v>1.5</v>
      </c>
      <c r="U18" s="3417" t="s">
        <v>3433</v>
      </c>
      <c r="V18" s="3417">
        <v>30</v>
      </c>
      <c r="W18" s="3417" t="s">
        <v>3619</v>
      </c>
      <c r="X18" s="3417" t="s">
        <v>3458</v>
      </c>
      <c r="Y18" s="3417" t="s">
        <v>3433</v>
      </c>
      <c r="Z18" s="3417" t="s">
        <v>3459</v>
      </c>
      <c r="AA18" s="3417" t="s">
        <v>3433</v>
      </c>
      <c r="AB18" s="3417" t="s">
        <v>3433</v>
      </c>
      <c r="AC18" s="3417" t="s">
        <v>3433</v>
      </c>
      <c r="AD18" s="3417" t="s">
        <v>3620</v>
      </c>
      <c r="AE18" s="3417" t="s">
        <v>3621</v>
      </c>
      <c r="AF18" s="3417" t="s">
        <v>3622</v>
      </c>
      <c r="AG18" s="3417" t="s">
        <v>3622</v>
      </c>
      <c r="AH18" s="3417" t="s">
        <v>3442</v>
      </c>
      <c r="AI18" s="3417" t="s">
        <v>3443</v>
      </c>
      <c r="AJ18" s="3417" t="s">
        <v>3623</v>
      </c>
      <c r="AK18" s="3417" t="s">
        <v>3481</v>
      </c>
      <c r="AL18" s="3417" t="s">
        <v>3446</v>
      </c>
      <c r="AM18" s="3417" t="s">
        <v>3482</v>
      </c>
      <c r="AN18" s="3417">
        <v>62000</v>
      </c>
      <c r="AO18" s="3417">
        <v>12500</v>
      </c>
      <c r="AP18" s="3417" t="s">
        <v>3624</v>
      </c>
      <c r="AQ18" s="3417">
        <v>62000</v>
      </c>
      <c r="AR18" s="3417">
        <v>20293.82</v>
      </c>
      <c r="AS18" s="3417">
        <v>20293.82</v>
      </c>
      <c r="AT18" s="3417">
        <v>1352.92</v>
      </c>
      <c r="AU18" s="3417">
        <v>1352.92</v>
      </c>
      <c r="AV18" s="3417">
        <v>14486</v>
      </c>
      <c r="AW18" s="3417">
        <v>14486</v>
      </c>
      <c r="AX18" s="3417" t="s">
        <v>3433</v>
      </c>
      <c r="AY18" s="3417" t="s">
        <v>3433</v>
      </c>
      <c r="AZ18" s="3417">
        <v>0</v>
      </c>
      <c r="BA18" s="3417">
        <v>71300</v>
      </c>
      <c r="BB18" s="3417" t="s">
        <v>3448</v>
      </c>
      <c r="BC18" s="3417">
        <v>45000</v>
      </c>
      <c r="BD18" s="3417">
        <v>45000</v>
      </c>
      <c r="BE18" s="3417">
        <v>16659</v>
      </c>
      <c r="BF18" s="3417">
        <v>15</v>
      </c>
      <c r="BG18" s="3417">
        <v>29239</v>
      </c>
      <c r="BH18" s="3417" t="s">
        <v>3552</v>
      </c>
      <c r="BI18" s="3417" t="s">
        <v>3625</v>
      </c>
      <c r="BJ18" s="3417" t="s">
        <v>3276</v>
      </c>
      <c r="BK18" s="3417" t="s">
        <v>3433</v>
      </c>
      <c r="BL18" s="3420">
        <v>45399.000497685185</v>
      </c>
      <c r="BM18" s="3417">
        <v>62000</v>
      </c>
    </row>
    <row r="19" spans="1:65" hidden="1">
      <c r="A19" s="3417" t="s">
        <v>3626</v>
      </c>
      <c r="B19" s="3417" t="s">
        <v>3424</v>
      </c>
      <c r="C19" s="3417" t="s">
        <v>1465</v>
      </c>
      <c r="D19" s="3417" t="s">
        <v>3521</v>
      </c>
      <c r="E19" s="3417" t="s">
        <v>3627</v>
      </c>
      <c r="F19" s="3417" t="s">
        <v>3628</v>
      </c>
      <c r="G19" s="3417" t="s">
        <v>3628</v>
      </c>
      <c r="H19" s="3417" t="s">
        <v>3524</v>
      </c>
      <c r="I19" s="3417">
        <v>16909.86</v>
      </c>
      <c r="J19" s="3417">
        <v>33819.72</v>
      </c>
      <c r="K19" s="3417" t="s">
        <v>3433</v>
      </c>
      <c r="L19" s="3417" t="s">
        <v>3433</v>
      </c>
      <c r="M19" s="3417">
        <v>0</v>
      </c>
      <c r="N19" s="3417">
        <v>0</v>
      </c>
      <c r="O19" s="3417" t="s">
        <v>3429</v>
      </c>
      <c r="P19" s="3417" t="s">
        <v>3629</v>
      </c>
      <c r="Q19" s="3417" t="s">
        <v>3430</v>
      </c>
      <c r="R19" s="3417" t="s">
        <v>3630</v>
      </c>
      <c r="S19" s="3417" t="s">
        <v>3631</v>
      </c>
      <c r="T19" s="3417">
        <v>2</v>
      </c>
      <c r="U19" s="3417" t="s">
        <v>3433</v>
      </c>
      <c r="V19" s="3417">
        <v>35</v>
      </c>
      <c r="W19" s="3417">
        <v>36</v>
      </c>
      <c r="X19" s="3417" t="s">
        <v>3458</v>
      </c>
      <c r="Y19" s="3417" t="s">
        <v>3433</v>
      </c>
      <c r="Z19" s="3417" t="s">
        <v>3459</v>
      </c>
      <c r="AA19" s="3417" t="s">
        <v>3475</v>
      </c>
      <c r="AB19" s="3417" t="s">
        <v>3433</v>
      </c>
      <c r="AC19" s="3417" t="s">
        <v>3433</v>
      </c>
      <c r="AD19" s="3417" t="s">
        <v>3632</v>
      </c>
      <c r="AE19" s="3417" t="s">
        <v>3621</v>
      </c>
      <c r="AF19" s="3417" t="s">
        <v>3622</v>
      </c>
      <c r="AG19" s="3417" t="s">
        <v>3622</v>
      </c>
      <c r="AH19" s="3417" t="s">
        <v>3442</v>
      </c>
      <c r="AI19" s="3417" t="s">
        <v>3443</v>
      </c>
      <c r="AJ19" s="3417" t="s">
        <v>3633</v>
      </c>
      <c r="AK19" s="3417" t="s">
        <v>3634</v>
      </c>
      <c r="AL19" s="3417" t="s">
        <v>3446</v>
      </c>
      <c r="AM19" s="3417" t="s">
        <v>3482</v>
      </c>
      <c r="AN19" s="3417">
        <v>101500</v>
      </c>
      <c r="AO19" s="3417">
        <v>21000</v>
      </c>
      <c r="AP19" s="3417" t="s">
        <v>3624</v>
      </c>
      <c r="AQ19" s="3417">
        <v>116725</v>
      </c>
      <c r="AR19" s="3417">
        <v>60024.15</v>
      </c>
      <c r="AS19" s="3417">
        <v>69027.77</v>
      </c>
      <c r="AT19" s="3417">
        <v>4001.61</v>
      </c>
      <c r="AU19" s="3417">
        <v>4601.8500000000004</v>
      </c>
      <c r="AV19" s="3417">
        <v>30012</v>
      </c>
      <c r="AW19" s="3417">
        <v>34514</v>
      </c>
      <c r="AX19" s="3417" t="s">
        <v>3433</v>
      </c>
      <c r="AY19" s="3417" t="s">
        <v>3433</v>
      </c>
      <c r="AZ19" s="3417">
        <v>15</v>
      </c>
      <c r="BA19" s="3417">
        <v>116725</v>
      </c>
      <c r="BB19" s="3417" t="s">
        <v>3635</v>
      </c>
      <c r="BC19" s="3417">
        <v>60000</v>
      </c>
      <c r="BD19" s="3417">
        <v>60000</v>
      </c>
      <c r="BE19" s="3417">
        <v>34514</v>
      </c>
      <c r="BF19" s="3417">
        <v>15</v>
      </c>
      <c r="BG19" s="3417">
        <v>25486</v>
      </c>
      <c r="BH19" s="3417" t="s">
        <v>3519</v>
      </c>
      <c r="BI19" s="3417" t="s">
        <v>3636</v>
      </c>
      <c r="BJ19" s="3417" t="s">
        <v>3276</v>
      </c>
      <c r="BK19" s="3417" t="s">
        <v>3433</v>
      </c>
      <c r="BL19" s="3420">
        <v>45399.000497685185</v>
      </c>
      <c r="BM19" s="3417">
        <v>116725</v>
      </c>
    </row>
    <row r="20" spans="1:65" hidden="1">
      <c r="A20" s="3417" t="s">
        <v>3637</v>
      </c>
      <c r="B20" s="3417" t="s">
        <v>3424</v>
      </c>
      <c r="C20" s="3417" t="s">
        <v>1465</v>
      </c>
      <c r="D20" s="3417" t="s">
        <v>3538</v>
      </c>
      <c r="E20" s="3417" t="s">
        <v>3638</v>
      </c>
      <c r="F20" s="3417" t="s">
        <v>3639</v>
      </c>
      <c r="G20" s="3417" t="s">
        <v>3639</v>
      </c>
      <c r="H20" s="3417" t="s">
        <v>3640</v>
      </c>
      <c r="I20" s="3417">
        <v>34786</v>
      </c>
      <c r="J20" s="3417">
        <v>84979</v>
      </c>
      <c r="K20" s="3417" t="s">
        <v>3433</v>
      </c>
      <c r="L20" s="3417" t="s">
        <v>3433</v>
      </c>
      <c r="M20" s="3417">
        <v>0</v>
      </c>
      <c r="N20" s="3417">
        <v>0</v>
      </c>
      <c r="O20" s="3417" t="s">
        <v>3490</v>
      </c>
      <c r="P20" s="3417" t="s">
        <v>3641</v>
      </c>
      <c r="Q20" s="3417" t="s">
        <v>3492</v>
      </c>
      <c r="R20" s="3417" t="s">
        <v>3617</v>
      </c>
      <c r="S20" s="3417" t="s">
        <v>3642</v>
      </c>
      <c r="T20" s="3417">
        <v>3</v>
      </c>
      <c r="U20" s="3417" t="s">
        <v>3433</v>
      </c>
      <c r="V20" s="3417">
        <v>30</v>
      </c>
      <c r="W20" s="3417" t="s">
        <v>3643</v>
      </c>
      <c r="X20" s="3417" t="s">
        <v>3458</v>
      </c>
      <c r="Y20" s="3417" t="s">
        <v>3433</v>
      </c>
      <c r="Z20" s="3417" t="s">
        <v>3459</v>
      </c>
      <c r="AA20" s="3417" t="s">
        <v>3437</v>
      </c>
      <c r="AB20" s="3417" t="s">
        <v>3433</v>
      </c>
      <c r="AC20" s="3417" t="s">
        <v>3433</v>
      </c>
      <c r="AD20" s="3417" t="s">
        <v>3644</v>
      </c>
      <c r="AE20" s="3417" t="s">
        <v>3645</v>
      </c>
      <c r="AF20" s="3417" t="s">
        <v>3646</v>
      </c>
      <c r="AG20" s="3417" t="s">
        <v>3646</v>
      </c>
      <c r="AH20" s="3417" t="s">
        <v>3442</v>
      </c>
      <c r="AI20" s="3417" t="s">
        <v>3443</v>
      </c>
      <c r="AJ20" s="3417" t="s">
        <v>3647</v>
      </c>
      <c r="AK20" s="3417" t="s">
        <v>3648</v>
      </c>
      <c r="AL20" s="3417" t="s">
        <v>3446</v>
      </c>
      <c r="AM20" s="3417" t="s">
        <v>3482</v>
      </c>
      <c r="AN20" s="3417">
        <v>160300</v>
      </c>
      <c r="AO20" s="3417">
        <v>33000</v>
      </c>
      <c r="AP20" s="3417" t="s">
        <v>3649</v>
      </c>
      <c r="AQ20" s="3417">
        <v>160300</v>
      </c>
      <c r="AR20" s="3417">
        <v>46081.75</v>
      </c>
      <c r="AS20" s="3417">
        <v>46081.75</v>
      </c>
      <c r="AT20" s="3417">
        <v>3072.12</v>
      </c>
      <c r="AU20" s="3417">
        <v>3072.12</v>
      </c>
      <c r="AV20" s="3417">
        <v>18863</v>
      </c>
      <c r="AW20" s="3417">
        <v>18863</v>
      </c>
      <c r="AX20" s="3417" t="s">
        <v>3433</v>
      </c>
      <c r="AY20" s="3417" t="s">
        <v>3433</v>
      </c>
      <c r="AZ20" s="3417">
        <v>0</v>
      </c>
      <c r="BA20" s="3417">
        <v>184345</v>
      </c>
      <c r="BB20" s="3417" t="s">
        <v>3448</v>
      </c>
      <c r="BC20" s="3417">
        <v>48000</v>
      </c>
      <c r="BD20" s="3417">
        <v>48000</v>
      </c>
      <c r="BE20" s="3417">
        <v>21693</v>
      </c>
      <c r="BF20" s="3417">
        <v>15</v>
      </c>
      <c r="BG20" s="3417">
        <v>27965</v>
      </c>
      <c r="BH20" s="3417" t="s">
        <v>3502</v>
      </c>
      <c r="BI20" s="3417" t="s">
        <v>3433</v>
      </c>
      <c r="BJ20" s="3417" t="s">
        <v>3325</v>
      </c>
      <c r="BK20" s="3417" t="s">
        <v>3640</v>
      </c>
      <c r="BL20" s="3417" t="s">
        <v>3433</v>
      </c>
      <c r="BM20" s="3417" t="s">
        <v>3433</v>
      </c>
    </row>
    <row r="21" spans="1:65" hidden="1">
      <c r="A21" s="3417" t="s">
        <v>3650</v>
      </c>
      <c r="B21" s="3417" t="s">
        <v>3424</v>
      </c>
      <c r="C21" s="3417" t="s">
        <v>1465</v>
      </c>
      <c r="D21" s="3417" t="s">
        <v>3505</v>
      </c>
      <c r="E21" s="3417" t="s">
        <v>3506</v>
      </c>
      <c r="F21" s="3417" t="s">
        <v>3651</v>
      </c>
      <c r="G21" s="3417" t="s">
        <v>3651</v>
      </c>
      <c r="H21" s="3417" t="s">
        <v>3508</v>
      </c>
      <c r="I21" s="3417">
        <v>47035.47</v>
      </c>
      <c r="J21" s="3417">
        <v>117588.68</v>
      </c>
      <c r="K21" s="3417" t="s">
        <v>3433</v>
      </c>
      <c r="L21" s="3417" t="s">
        <v>3433</v>
      </c>
      <c r="M21" s="3417">
        <v>0</v>
      </c>
      <c r="N21" s="3417">
        <v>0</v>
      </c>
      <c r="O21" s="3417" t="s">
        <v>3490</v>
      </c>
      <c r="P21" s="3417" t="s">
        <v>3652</v>
      </c>
      <c r="Q21" s="3417" t="s">
        <v>3653</v>
      </c>
      <c r="R21" s="3417" t="s">
        <v>3654</v>
      </c>
      <c r="S21" s="3417" t="s">
        <v>3655</v>
      </c>
      <c r="T21" s="3417">
        <v>2.5</v>
      </c>
      <c r="U21" s="3417">
        <v>42</v>
      </c>
      <c r="V21" s="3417">
        <v>30</v>
      </c>
      <c r="W21" s="3417">
        <v>45</v>
      </c>
      <c r="X21" s="3417" t="s">
        <v>3458</v>
      </c>
      <c r="Y21" s="3417" t="s">
        <v>3433</v>
      </c>
      <c r="Z21" s="3417" t="s">
        <v>3459</v>
      </c>
      <c r="AA21" s="3417" t="s">
        <v>3459</v>
      </c>
      <c r="AB21" s="3417" t="s">
        <v>3433</v>
      </c>
      <c r="AC21" s="3417" t="s">
        <v>3433</v>
      </c>
      <c r="AD21" s="3417" t="s">
        <v>3656</v>
      </c>
      <c r="AE21" s="3417" t="s">
        <v>3657</v>
      </c>
      <c r="AF21" s="3417" t="s">
        <v>3658</v>
      </c>
      <c r="AG21" s="3417" t="s">
        <v>3658</v>
      </c>
      <c r="AH21" s="3417" t="s">
        <v>3442</v>
      </c>
      <c r="AI21" s="3417" t="s">
        <v>3443</v>
      </c>
      <c r="AJ21" s="3417" t="s">
        <v>3659</v>
      </c>
      <c r="AK21" s="3417" t="s">
        <v>3660</v>
      </c>
      <c r="AL21" s="3417" t="s">
        <v>3465</v>
      </c>
      <c r="AM21" s="3417" t="s">
        <v>3433</v>
      </c>
      <c r="AN21" s="3417">
        <v>424000</v>
      </c>
      <c r="AO21" s="3417">
        <v>85000</v>
      </c>
      <c r="AP21" s="3417" t="s">
        <v>3661</v>
      </c>
      <c r="AQ21" s="3417">
        <v>487600</v>
      </c>
      <c r="AR21" s="3417">
        <v>90144.73</v>
      </c>
      <c r="AS21" s="3417">
        <v>103666.44</v>
      </c>
      <c r="AT21" s="3417">
        <v>6009.65</v>
      </c>
      <c r="AU21" s="3417">
        <v>6911.1</v>
      </c>
      <c r="AV21" s="3417">
        <v>36058</v>
      </c>
      <c r="AW21" s="3417">
        <v>41467</v>
      </c>
      <c r="AX21" s="3417" t="s">
        <v>3433</v>
      </c>
      <c r="AY21" s="3417" t="s">
        <v>3433</v>
      </c>
      <c r="AZ21" s="3417">
        <v>15</v>
      </c>
      <c r="BA21" s="3417">
        <v>487600</v>
      </c>
      <c r="BB21" s="3417" t="s">
        <v>3635</v>
      </c>
      <c r="BC21" s="3417">
        <v>66000</v>
      </c>
      <c r="BD21" s="3417">
        <v>66000</v>
      </c>
      <c r="BE21" s="3417">
        <v>41467</v>
      </c>
      <c r="BF21" s="3417">
        <v>15</v>
      </c>
      <c r="BG21" s="3417">
        <v>24110</v>
      </c>
      <c r="BH21" s="3417" t="s">
        <v>3519</v>
      </c>
      <c r="BI21" s="3417" t="s">
        <v>3662</v>
      </c>
      <c r="BJ21" s="3417" t="s">
        <v>3325</v>
      </c>
      <c r="BK21" s="3417" t="s">
        <v>3508</v>
      </c>
      <c r="BL21" s="3417" t="s">
        <v>3433</v>
      </c>
      <c r="BM21" s="3417" t="s">
        <v>3433</v>
      </c>
    </row>
    <row r="22" spans="1:65" hidden="1">
      <c r="A22" s="3417" t="s">
        <v>3663</v>
      </c>
      <c r="B22" s="3417" t="s">
        <v>3424</v>
      </c>
      <c r="C22" s="3417" t="s">
        <v>1465</v>
      </c>
      <c r="D22" s="3417" t="s">
        <v>3521</v>
      </c>
      <c r="E22" s="3417" t="s">
        <v>3664</v>
      </c>
      <c r="F22" s="3417" t="s">
        <v>3665</v>
      </c>
      <c r="G22" s="3417" t="s">
        <v>3665</v>
      </c>
      <c r="H22" s="3417" t="s">
        <v>3586</v>
      </c>
      <c r="I22" s="3417">
        <v>28400</v>
      </c>
      <c r="J22" s="3417">
        <v>56800</v>
      </c>
      <c r="K22" s="3417" t="s">
        <v>3433</v>
      </c>
      <c r="L22" s="3417" t="s">
        <v>3433</v>
      </c>
      <c r="M22" s="3417">
        <v>0</v>
      </c>
      <c r="N22" s="3417">
        <v>0</v>
      </c>
      <c r="O22" s="3417" t="s">
        <v>3429</v>
      </c>
      <c r="P22" s="3417" t="s">
        <v>3666</v>
      </c>
      <c r="Q22" s="3417" t="s">
        <v>3543</v>
      </c>
      <c r="R22" s="3417" t="s">
        <v>3431</v>
      </c>
      <c r="S22" s="3417" t="s">
        <v>3631</v>
      </c>
      <c r="T22" s="3417">
        <v>2</v>
      </c>
      <c r="U22" s="3417" t="s">
        <v>3433</v>
      </c>
      <c r="V22" s="3417">
        <v>40</v>
      </c>
      <c r="W22" s="3417">
        <v>36</v>
      </c>
      <c r="X22" s="3417" t="s">
        <v>3458</v>
      </c>
      <c r="Y22" s="3417" t="s">
        <v>3433</v>
      </c>
      <c r="Z22" s="3417" t="s">
        <v>3459</v>
      </c>
      <c r="AA22" s="3417" t="s">
        <v>3433</v>
      </c>
      <c r="AB22" s="3417" t="s">
        <v>3433</v>
      </c>
      <c r="AC22" s="3417" t="s">
        <v>3433</v>
      </c>
      <c r="AD22" s="3417" t="s">
        <v>3667</v>
      </c>
      <c r="AE22" s="3417" t="s">
        <v>3632</v>
      </c>
      <c r="AF22" s="3417" t="s">
        <v>3606</v>
      </c>
      <c r="AG22" s="3417" t="s">
        <v>3606</v>
      </c>
      <c r="AH22" s="3417" t="s">
        <v>3442</v>
      </c>
      <c r="AI22" s="3417" t="s">
        <v>3443</v>
      </c>
      <c r="AJ22" s="3417" t="s">
        <v>3668</v>
      </c>
      <c r="AK22" s="3417" t="s">
        <v>3481</v>
      </c>
      <c r="AL22" s="3417" t="s">
        <v>3446</v>
      </c>
      <c r="AM22" s="3417" t="s">
        <v>3482</v>
      </c>
      <c r="AN22" s="3417">
        <v>126000</v>
      </c>
      <c r="AO22" s="3417">
        <v>26000</v>
      </c>
      <c r="AP22" s="3417" t="s">
        <v>3669</v>
      </c>
      <c r="AQ22" s="3417">
        <v>126000</v>
      </c>
      <c r="AR22" s="3417">
        <v>44366.19</v>
      </c>
      <c r="AS22" s="3417">
        <v>44366.19</v>
      </c>
      <c r="AT22" s="3417">
        <v>2957.75</v>
      </c>
      <c r="AU22" s="3417">
        <v>2957.75</v>
      </c>
      <c r="AV22" s="3417">
        <v>22183</v>
      </c>
      <c r="AW22" s="3417">
        <v>22183</v>
      </c>
      <c r="AX22" s="3417" t="s">
        <v>3433</v>
      </c>
      <c r="AY22" s="3417" t="s">
        <v>3433</v>
      </c>
      <c r="AZ22" s="3417">
        <v>0</v>
      </c>
      <c r="BA22" s="3417">
        <v>144900</v>
      </c>
      <c r="BB22" s="3417" t="s">
        <v>3448</v>
      </c>
      <c r="BC22" s="3417">
        <v>46000</v>
      </c>
      <c r="BD22" s="3417">
        <v>46000</v>
      </c>
      <c r="BE22" s="3417">
        <v>25511</v>
      </c>
      <c r="BF22" s="3417">
        <v>15</v>
      </c>
      <c r="BG22" s="3417">
        <v>23816</v>
      </c>
      <c r="BH22" s="3417" t="s">
        <v>3502</v>
      </c>
      <c r="BI22" s="3417" t="s">
        <v>3670</v>
      </c>
      <c r="BJ22" s="3417" t="s">
        <v>3325</v>
      </c>
      <c r="BK22" s="3417" t="s">
        <v>3586</v>
      </c>
      <c r="BL22" s="3420">
        <v>45374.000497685185</v>
      </c>
      <c r="BM22" s="3417">
        <v>126000</v>
      </c>
    </row>
    <row r="23" spans="1:65" hidden="1">
      <c r="A23" s="3417" t="s">
        <v>3671</v>
      </c>
      <c r="B23" s="3417" t="s">
        <v>3424</v>
      </c>
      <c r="C23" s="3417" t="s">
        <v>1465</v>
      </c>
      <c r="D23" s="3417" t="s">
        <v>3505</v>
      </c>
      <c r="E23" s="3417" t="s">
        <v>3672</v>
      </c>
      <c r="F23" s="3417" t="s">
        <v>3673</v>
      </c>
      <c r="G23" s="3417" t="s">
        <v>3674</v>
      </c>
      <c r="H23" s="3417" t="s">
        <v>3675</v>
      </c>
      <c r="I23" s="3417">
        <v>147727.42000000001</v>
      </c>
      <c r="J23" s="3417">
        <v>332097.21000000002</v>
      </c>
      <c r="K23" s="3417" t="s">
        <v>3433</v>
      </c>
      <c r="L23" s="3417" t="s">
        <v>3433</v>
      </c>
      <c r="M23" s="3417">
        <v>0</v>
      </c>
      <c r="N23" s="3417">
        <v>0</v>
      </c>
      <c r="O23" s="3417" t="s">
        <v>3490</v>
      </c>
      <c r="P23" s="3417" t="s">
        <v>3676</v>
      </c>
      <c r="Q23" s="3417" t="s">
        <v>3677</v>
      </c>
      <c r="R23" s="3417" t="s">
        <v>3678</v>
      </c>
      <c r="S23" s="3417" t="s">
        <v>3679</v>
      </c>
      <c r="T23" s="3417">
        <v>2.5</v>
      </c>
      <c r="U23" s="3417">
        <v>36.35</v>
      </c>
      <c r="V23" s="3417" t="s">
        <v>3433</v>
      </c>
      <c r="W23" s="3417">
        <v>60</v>
      </c>
      <c r="X23" s="3417" t="s">
        <v>3458</v>
      </c>
      <c r="Y23" s="3417" t="s">
        <v>3433</v>
      </c>
      <c r="Z23" s="3417" t="s">
        <v>3459</v>
      </c>
      <c r="AA23" s="3417" t="s">
        <v>3433</v>
      </c>
      <c r="AB23" s="3417" t="s">
        <v>3438</v>
      </c>
      <c r="AC23" s="3417" t="s">
        <v>3433</v>
      </c>
      <c r="AD23" s="3417" t="s">
        <v>3680</v>
      </c>
      <c r="AE23" s="3417" t="s">
        <v>3681</v>
      </c>
      <c r="AF23" s="3417" t="s">
        <v>3682</v>
      </c>
      <c r="AG23" s="3417" t="s">
        <v>3682</v>
      </c>
      <c r="AH23" s="3417" t="s">
        <v>3442</v>
      </c>
      <c r="AI23" s="3417" t="s">
        <v>3443</v>
      </c>
      <c r="AJ23" s="3417" t="s">
        <v>3683</v>
      </c>
      <c r="AK23" s="3417" t="s">
        <v>3684</v>
      </c>
      <c r="AL23" s="3417" t="s">
        <v>3465</v>
      </c>
      <c r="AM23" s="3417" t="s">
        <v>3433</v>
      </c>
      <c r="AN23" s="3417">
        <v>750000</v>
      </c>
      <c r="AO23" s="3417">
        <v>150000</v>
      </c>
      <c r="AP23" s="3417" t="s">
        <v>3433</v>
      </c>
      <c r="AQ23" s="3417">
        <v>753800</v>
      </c>
      <c r="AR23" s="3417">
        <v>50769.18</v>
      </c>
      <c r="AS23" s="3417">
        <v>51026.41</v>
      </c>
      <c r="AT23" s="3417">
        <v>3384.61</v>
      </c>
      <c r="AU23" s="3417">
        <v>3401.76</v>
      </c>
      <c r="AV23" s="3417">
        <v>22584</v>
      </c>
      <c r="AW23" s="3417">
        <v>22698</v>
      </c>
      <c r="AX23" s="3417" t="s">
        <v>3433</v>
      </c>
      <c r="AY23" s="3417" t="s">
        <v>3433</v>
      </c>
      <c r="AZ23" s="3417">
        <v>0.51</v>
      </c>
      <c r="BA23" s="3417">
        <v>862500</v>
      </c>
      <c r="BB23" s="3417" t="s">
        <v>3448</v>
      </c>
      <c r="BC23" s="3417">
        <v>65000</v>
      </c>
      <c r="BD23" s="3417">
        <v>65000</v>
      </c>
      <c r="BE23" s="3417">
        <v>25971</v>
      </c>
      <c r="BF23" s="3417">
        <v>15</v>
      </c>
      <c r="BG23" s="3417">
        <v>21302</v>
      </c>
      <c r="BH23" s="3417" t="s">
        <v>3519</v>
      </c>
      <c r="BI23" s="3417" t="s">
        <v>3685</v>
      </c>
      <c r="BJ23" s="3417" t="s">
        <v>3325</v>
      </c>
      <c r="BK23" s="3417" t="s">
        <v>3686</v>
      </c>
      <c r="BL23" s="3417" t="s">
        <v>3433</v>
      </c>
      <c r="BM23" s="3417" t="s">
        <v>3433</v>
      </c>
    </row>
    <row r="24" spans="1:65" hidden="1">
      <c r="A24" s="3417" t="s">
        <v>3687</v>
      </c>
      <c r="B24" s="3417" t="s">
        <v>3424</v>
      </c>
      <c r="C24" s="3417" t="s">
        <v>1465</v>
      </c>
      <c r="D24" s="3417" t="s">
        <v>3505</v>
      </c>
      <c r="E24" s="3417" t="s">
        <v>3688</v>
      </c>
      <c r="F24" s="3417" t="s">
        <v>3689</v>
      </c>
      <c r="G24" s="3417" t="s">
        <v>3689</v>
      </c>
      <c r="H24" s="3417" t="s">
        <v>3690</v>
      </c>
      <c r="I24" s="3417">
        <v>28343.9</v>
      </c>
      <c r="J24" s="3417">
        <v>62356.59</v>
      </c>
      <c r="K24" s="3417" t="s">
        <v>3433</v>
      </c>
      <c r="L24" s="3417" t="s">
        <v>3433</v>
      </c>
      <c r="M24" s="3417">
        <v>52051.59</v>
      </c>
      <c r="N24" s="3417">
        <v>52051.59</v>
      </c>
      <c r="O24" s="3417" t="s">
        <v>3429</v>
      </c>
      <c r="P24" s="3417" t="s">
        <v>3691</v>
      </c>
      <c r="Q24" s="3417" t="s">
        <v>3543</v>
      </c>
      <c r="R24" s="3417" t="s">
        <v>3431</v>
      </c>
      <c r="S24" s="3417" t="s">
        <v>3432</v>
      </c>
      <c r="T24" s="3417">
        <v>2.2000000000000002</v>
      </c>
      <c r="U24" s="3417">
        <v>4.8099999999999996</v>
      </c>
      <c r="V24" s="3417">
        <v>30</v>
      </c>
      <c r="W24" s="3417">
        <v>45</v>
      </c>
      <c r="X24" s="3417" t="s">
        <v>3458</v>
      </c>
      <c r="Y24" s="3417" t="s">
        <v>3433</v>
      </c>
      <c r="Z24" s="3417" t="s">
        <v>3433</v>
      </c>
      <c r="AA24" s="3417" t="s">
        <v>3433</v>
      </c>
      <c r="AB24" s="3417" t="s">
        <v>3692</v>
      </c>
      <c r="AC24" s="3417" t="s">
        <v>3693</v>
      </c>
      <c r="AD24" s="3417" t="s">
        <v>3680</v>
      </c>
      <c r="AE24" s="3417" t="s">
        <v>3667</v>
      </c>
      <c r="AF24" s="3417" t="s">
        <v>3682</v>
      </c>
      <c r="AG24" s="3417" t="s">
        <v>3682</v>
      </c>
      <c r="AH24" s="3417" t="s">
        <v>3442</v>
      </c>
      <c r="AI24" s="3417" t="s">
        <v>3479</v>
      </c>
      <c r="AJ24" s="3417" t="s">
        <v>3694</v>
      </c>
      <c r="AK24" s="3417" t="s">
        <v>3578</v>
      </c>
      <c r="AL24" s="3417" t="s">
        <v>3579</v>
      </c>
      <c r="AM24" s="3417" t="s">
        <v>3580</v>
      </c>
      <c r="AN24" s="3417">
        <v>87823.02</v>
      </c>
      <c r="AO24" s="3417">
        <v>18000</v>
      </c>
      <c r="AP24" s="3417" t="s">
        <v>3433</v>
      </c>
      <c r="AQ24" s="3417">
        <v>95500</v>
      </c>
      <c r="AR24" s="3417">
        <v>30984.799999999999</v>
      </c>
      <c r="AS24" s="3417">
        <v>33693.31</v>
      </c>
      <c r="AT24" s="3417">
        <v>2065.65</v>
      </c>
      <c r="AU24" s="3417">
        <v>2246.2199999999998</v>
      </c>
      <c r="AV24" s="3417">
        <v>14084</v>
      </c>
      <c r="AW24" s="3417">
        <v>15315</v>
      </c>
      <c r="AX24" s="3417" t="s">
        <v>3433</v>
      </c>
      <c r="AY24" s="3417" t="s">
        <v>3433</v>
      </c>
      <c r="AZ24" s="3417">
        <v>8.74</v>
      </c>
      <c r="BA24" s="3417" t="s">
        <v>3433</v>
      </c>
      <c r="BB24" s="3417" t="s">
        <v>3433</v>
      </c>
      <c r="BC24" s="3417" t="s">
        <v>3433</v>
      </c>
      <c r="BD24" s="3417">
        <v>29000</v>
      </c>
      <c r="BE24" s="3417" t="s">
        <v>3433</v>
      </c>
      <c r="BF24" s="3417" t="s">
        <v>3433</v>
      </c>
      <c r="BG24" s="3417">
        <v>10653</v>
      </c>
      <c r="BH24" s="3417" t="s">
        <v>3502</v>
      </c>
      <c r="BI24" s="3417" t="s">
        <v>3695</v>
      </c>
      <c r="BJ24" s="3417" t="s">
        <v>3276</v>
      </c>
      <c r="BK24" s="3417" t="s">
        <v>3433</v>
      </c>
      <c r="BL24" s="3417" t="s">
        <v>3433</v>
      </c>
      <c r="BM24" s="3417" t="s">
        <v>3433</v>
      </c>
    </row>
    <row r="25" spans="1:65" hidden="1">
      <c r="A25" s="3417" t="s">
        <v>3696</v>
      </c>
      <c r="B25" s="3417" t="s">
        <v>3424</v>
      </c>
      <c r="C25" s="3417" t="s">
        <v>1465</v>
      </c>
      <c r="D25" s="3417" t="s">
        <v>3505</v>
      </c>
      <c r="E25" s="3417" t="s">
        <v>3697</v>
      </c>
      <c r="F25" s="3417" t="s">
        <v>3698</v>
      </c>
      <c r="G25" s="3417" t="s">
        <v>3698</v>
      </c>
      <c r="H25" s="3417" t="s">
        <v>3699</v>
      </c>
      <c r="I25" s="3417">
        <v>34525.83</v>
      </c>
      <c r="J25" s="3417">
        <v>86314.58</v>
      </c>
      <c r="K25" s="3417" t="s">
        <v>3433</v>
      </c>
      <c r="L25" s="3417" t="s">
        <v>3433</v>
      </c>
      <c r="M25" s="3417">
        <v>85584.58</v>
      </c>
      <c r="N25" s="3417">
        <v>85584.58</v>
      </c>
      <c r="O25" s="3417" t="s">
        <v>3429</v>
      </c>
      <c r="P25" s="3417" t="s">
        <v>3691</v>
      </c>
      <c r="Q25" s="3417" t="s">
        <v>3543</v>
      </c>
      <c r="R25" s="3417" t="s">
        <v>3431</v>
      </c>
      <c r="S25" s="3417" t="s">
        <v>3655</v>
      </c>
      <c r="T25" s="3417">
        <v>2.5</v>
      </c>
      <c r="U25" s="3417" t="s">
        <v>3433</v>
      </c>
      <c r="V25" s="3417">
        <v>35</v>
      </c>
      <c r="W25" s="3417">
        <v>60</v>
      </c>
      <c r="X25" s="3417" t="s">
        <v>3458</v>
      </c>
      <c r="Y25" s="3417" t="s">
        <v>3433</v>
      </c>
      <c r="Z25" s="3417" t="s">
        <v>3433</v>
      </c>
      <c r="AA25" s="3417" t="s">
        <v>3433</v>
      </c>
      <c r="AB25" s="3417" t="s">
        <v>3692</v>
      </c>
      <c r="AC25" s="3417" t="s">
        <v>3693</v>
      </c>
      <c r="AD25" s="3417" t="s">
        <v>3680</v>
      </c>
      <c r="AE25" s="3417" t="s">
        <v>3681</v>
      </c>
      <c r="AF25" s="3417" t="s">
        <v>3682</v>
      </c>
      <c r="AG25" s="3417" t="s">
        <v>3682</v>
      </c>
      <c r="AH25" s="3417" t="s">
        <v>3442</v>
      </c>
      <c r="AI25" s="3417" t="s">
        <v>3479</v>
      </c>
      <c r="AJ25" s="3417" t="s">
        <v>3694</v>
      </c>
      <c r="AK25" s="3417" t="s">
        <v>3700</v>
      </c>
      <c r="AL25" s="3417" t="s">
        <v>3701</v>
      </c>
      <c r="AM25" s="3417" t="s">
        <v>3702</v>
      </c>
      <c r="AN25" s="3417">
        <v>127167</v>
      </c>
      <c r="AO25" s="3417">
        <v>26000</v>
      </c>
      <c r="AP25" s="3417" t="s">
        <v>3433</v>
      </c>
      <c r="AQ25" s="3417">
        <v>135500</v>
      </c>
      <c r="AR25" s="3417">
        <v>36832.42</v>
      </c>
      <c r="AS25" s="3417">
        <v>39245.980000000003</v>
      </c>
      <c r="AT25" s="3417">
        <v>2455.4899999999998</v>
      </c>
      <c r="AU25" s="3417">
        <v>2616.4</v>
      </c>
      <c r="AV25" s="3417">
        <v>14733</v>
      </c>
      <c r="AW25" s="3417">
        <v>15698</v>
      </c>
      <c r="AX25" s="3417" t="s">
        <v>3433</v>
      </c>
      <c r="AY25" s="3417" t="s">
        <v>3433</v>
      </c>
      <c r="AZ25" s="3417">
        <v>6.55</v>
      </c>
      <c r="BA25" s="3417" t="s">
        <v>3433</v>
      </c>
      <c r="BB25" s="3417" t="s">
        <v>3433</v>
      </c>
      <c r="BC25" s="3417" t="s">
        <v>3433</v>
      </c>
      <c r="BD25" s="3417">
        <v>30000</v>
      </c>
      <c r="BE25" s="3417" t="s">
        <v>3433</v>
      </c>
      <c r="BF25" s="3417" t="s">
        <v>3433</v>
      </c>
      <c r="BG25" s="3417">
        <v>14168</v>
      </c>
      <c r="BH25" s="3417" t="s">
        <v>3519</v>
      </c>
      <c r="BI25" s="3417" t="s">
        <v>3703</v>
      </c>
      <c r="BJ25" s="3417" t="s">
        <v>3276</v>
      </c>
      <c r="BK25" s="3417" t="s">
        <v>3433</v>
      </c>
      <c r="BL25" s="3417" t="s">
        <v>3433</v>
      </c>
      <c r="BM25" s="3417" t="s">
        <v>3433</v>
      </c>
    </row>
    <row r="26" spans="1:65" hidden="1">
      <c r="A26" s="3417" t="s">
        <v>3704</v>
      </c>
      <c r="B26" s="3417" t="s">
        <v>3424</v>
      </c>
      <c r="C26" s="3417" t="s">
        <v>1465</v>
      </c>
      <c r="D26" s="3417" t="s">
        <v>3538</v>
      </c>
      <c r="E26" s="3417" t="s">
        <v>3705</v>
      </c>
      <c r="F26" s="3417" t="s">
        <v>3706</v>
      </c>
      <c r="G26" s="3417" t="s">
        <v>3707</v>
      </c>
      <c r="H26" s="3417" t="s">
        <v>3708</v>
      </c>
      <c r="I26" s="3417">
        <v>91852.45</v>
      </c>
      <c r="J26" s="3417">
        <v>138184.41</v>
      </c>
      <c r="K26" s="3417" t="s">
        <v>3433</v>
      </c>
      <c r="L26" s="3417" t="s">
        <v>3433</v>
      </c>
      <c r="M26" s="3417">
        <v>0</v>
      </c>
      <c r="N26" s="3417">
        <v>0</v>
      </c>
      <c r="O26" s="3417" t="s">
        <v>3490</v>
      </c>
      <c r="P26" s="3417" t="s">
        <v>3542</v>
      </c>
      <c r="Q26" s="3417" t="s">
        <v>3543</v>
      </c>
      <c r="R26" s="3417" t="s">
        <v>3709</v>
      </c>
      <c r="S26" s="3417" t="s">
        <v>3710</v>
      </c>
      <c r="T26" s="3417">
        <v>1.6</v>
      </c>
      <c r="U26" s="3417" t="s">
        <v>3433</v>
      </c>
      <c r="V26" s="3417" t="s">
        <v>3711</v>
      </c>
      <c r="W26" s="3417" t="s">
        <v>3712</v>
      </c>
      <c r="X26" s="3417" t="s">
        <v>3458</v>
      </c>
      <c r="Y26" s="3417" t="s">
        <v>3433</v>
      </c>
      <c r="Z26" s="3417" t="s">
        <v>3459</v>
      </c>
      <c r="AA26" s="3417" t="s">
        <v>3433</v>
      </c>
      <c r="AB26" s="3417" t="s">
        <v>3433</v>
      </c>
      <c r="AC26" s="3417" t="s">
        <v>3433</v>
      </c>
      <c r="AD26" s="3417" t="s">
        <v>3713</v>
      </c>
      <c r="AE26" s="3417" t="s">
        <v>3714</v>
      </c>
      <c r="AF26" s="3417" t="s">
        <v>3715</v>
      </c>
      <c r="AG26" s="3417" t="s">
        <v>3715</v>
      </c>
      <c r="AH26" s="3417" t="s">
        <v>3442</v>
      </c>
      <c r="AI26" s="3417" t="s">
        <v>3443</v>
      </c>
      <c r="AJ26" s="3417" t="s">
        <v>3716</v>
      </c>
      <c r="AK26" s="3417" t="s">
        <v>3648</v>
      </c>
      <c r="AL26" s="3417" t="s">
        <v>3446</v>
      </c>
      <c r="AM26" s="3417" t="s">
        <v>3482</v>
      </c>
      <c r="AN26" s="3417">
        <v>228000</v>
      </c>
      <c r="AO26" s="3417">
        <v>46000</v>
      </c>
      <c r="AP26" s="3417" t="s">
        <v>3717</v>
      </c>
      <c r="AQ26" s="3417">
        <v>228000</v>
      </c>
      <c r="AR26" s="3417">
        <v>24822.42</v>
      </c>
      <c r="AS26" s="3417">
        <v>24822.42</v>
      </c>
      <c r="AT26" s="3417">
        <v>1654.83</v>
      </c>
      <c r="AU26" s="3417">
        <v>1654.83</v>
      </c>
      <c r="AV26" s="3417">
        <v>16500</v>
      </c>
      <c r="AW26" s="3417">
        <v>16500</v>
      </c>
      <c r="AX26" s="3417" t="s">
        <v>3433</v>
      </c>
      <c r="AY26" s="3417" t="s">
        <v>3433</v>
      </c>
      <c r="AZ26" s="3417">
        <v>0</v>
      </c>
      <c r="BA26" s="3417">
        <v>262200</v>
      </c>
      <c r="BB26" s="3417" t="s">
        <v>3448</v>
      </c>
      <c r="BC26" s="3417">
        <v>45000</v>
      </c>
      <c r="BD26" s="3417">
        <v>45000</v>
      </c>
      <c r="BE26" s="3417">
        <v>18975</v>
      </c>
      <c r="BF26" s="3417">
        <v>15</v>
      </c>
      <c r="BG26" s="3417">
        <v>27996</v>
      </c>
      <c r="BH26" s="3417" t="s">
        <v>3502</v>
      </c>
      <c r="BI26" s="3417" t="s">
        <v>3433</v>
      </c>
      <c r="BJ26" s="3417" t="s">
        <v>3325</v>
      </c>
      <c r="BK26" s="3417" t="s">
        <v>3553</v>
      </c>
      <c r="BL26" s="3417" t="s">
        <v>3433</v>
      </c>
      <c r="BM26" s="3417" t="s">
        <v>3433</v>
      </c>
    </row>
    <row r="27" spans="1:65" hidden="1">
      <c r="A27" s="3417" t="s">
        <v>3718</v>
      </c>
      <c r="B27" s="3417" t="s">
        <v>3424</v>
      </c>
      <c r="C27" s="3417" t="s">
        <v>1465</v>
      </c>
      <c r="D27" s="3417" t="s">
        <v>3521</v>
      </c>
      <c r="E27" s="3417" t="s">
        <v>3719</v>
      </c>
      <c r="F27" s="3417" t="s">
        <v>3720</v>
      </c>
      <c r="G27" s="3417" t="s">
        <v>3720</v>
      </c>
      <c r="H27" s="3417" t="s">
        <v>3721</v>
      </c>
      <c r="I27" s="3417">
        <v>69893.14</v>
      </c>
      <c r="J27" s="3417">
        <v>107430.41</v>
      </c>
      <c r="K27" s="3417" t="s">
        <v>3433</v>
      </c>
      <c r="L27" s="3417" t="s">
        <v>3433</v>
      </c>
      <c r="M27" s="3417">
        <v>0</v>
      </c>
      <c r="N27" s="3417">
        <v>0</v>
      </c>
      <c r="O27" s="3417" t="s">
        <v>3490</v>
      </c>
      <c r="P27" s="3417" t="s">
        <v>3542</v>
      </c>
      <c r="Q27" s="3417" t="s">
        <v>3543</v>
      </c>
      <c r="R27" s="3417" t="s">
        <v>3709</v>
      </c>
      <c r="S27" s="3417" t="s">
        <v>3722</v>
      </c>
      <c r="T27" s="3417">
        <v>1.7</v>
      </c>
      <c r="U27" s="3417" t="s">
        <v>3433</v>
      </c>
      <c r="V27" s="3417" t="s">
        <v>3723</v>
      </c>
      <c r="W27" s="3417">
        <v>36</v>
      </c>
      <c r="X27" s="3417" t="s">
        <v>3458</v>
      </c>
      <c r="Y27" s="3417" t="s">
        <v>3433</v>
      </c>
      <c r="Z27" s="3417" t="s">
        <v>3459</v>
      </c>
      <c r="AA27" s="3417" t="s">
        <v>3433</v>
      </c>
      <c r="AB27" s="3417" t="s">
        <v>3433</v>
      </c>
      <c r="AC27" s="3417" t="s">
        <v>3433</v>
      </c>
      <c r="AD27" s="3417" t="s">
        <v>3724</v>
      </c>
      <c r="AE27" s="3417" t="s">
        <v>3725</v>
      </c>
      <c r="AF27" s="3417" t="s">
        <v>3726</v>
      </c>
      <c r="AG27" s="3417" t="s">
        <v>3726</v>
      </c>
      <c r="AH27" s="3417" t="s">
        <v>3442</v>
      </c>
      <c r="AI27" s="3417" t="s">
        <v>3479</v>
      </c>
      <c r="AJ27" s="3417" t="s">
        <v>3727</v>
      </c>
      <c r="AK27" s="3417" t="s">
        <v>3728</v>
      </c>
      <c r="AL27" s="3417" t="s">
        <v>3465</v>
      </c>
      <c r="AM27" s="3417" t="s">
        <v>3433</v>
      </c>
      <c r="AN27" s="3417">
        <v>199000</v>
      </c>
      <c r="AO27" s="3417">
        <v>40000</v>
      </c>
      <c r="AP27" s="3417" t="s">
        <v>3729</v>
      </c>
      <c r="AQ27" s="3417">
        <v>199000</v>
      </c>
      <c r="AR27" s="3417">
        <v>28472.03</v>
      </c>
      <c r="AS27" s="3417">
        <v>28472.03</v>
      </c>
      <c r="AT27" s="3417">
        <v>1898.14</v>
      </c>
      <c r="AU27" s="3417">
        <v>1898.14</v>
      </c>
      <c r="AV27" s="3417">
        <v>18524</v>
      </c>
      <c r="AW27" s="3417">
        <v>18524</v>
      </c>
      <c r="AX27" s="3417" t="s">
        <v>3433</v>
      </c>
      <c r="AY27" s="3417" t="s">
        <v>3433</v>
      </c>
      <c r="AZ27" s="3417">
        <v>0</v>
      </c>
      <c r="BA27" s="3417">
        <v>228850</v>
      </c>
      <c r="BB27" s="3417" t="s">
        <v>3448</v>
      </c>
      <c r="BC27" s="3417">
        <v>43000</v>
      </c>
      <c r="BD27" s="3417">
        <v>43000</v>
      </c>
      <c r="BE27" s="3417">
        <v>21302</v>
      </c>
      <c r="BF27" s="3417">
        <v>15</v>
      </c>
      <c r="BG27" s="3417">
        <v>23745</v>
      </c>
      <c r="BH27" s="3417" t="s">
        <v>3502</v>
      </c>
      <c r="BI27" s="3417" t="s">
        <v>3730</v>
      </c>
      <c r="BJ27" s="3417" t="s">
        <v>3325</v>
      </c>
      <c r="BK27" s="3417" t="s">
        <v>3721</v>
      </c>
      <c r="BL27" s="3417" t="s">
        <v>3433</v>
      </c>
      <c r="BM27" s="3417" t="s">
        <v>3433</v>
      </c>
    </row>
    <row r="28" spans="1:65" s="3418" customFormat="1" hidden="1">
      <c r="A28" s="3418" t="s">
        <v>3731</v>
      </c>
      <c r="B28" s="3418" t="s">
        <v>3424</v>
      </c>
      <c r="C28" s="3418" t="s">
        <v>1465</v>
      </c>
      <c r="D28" s="3418" t="s">
        <v>3505</v>
      </c>
      <c r="E28" s="3418" t="s">
        <v>3732</v>
      </c>
      <c r="F28" s="3418" t="s">
        <v>3733</v>
      </c>
      <c r="G28" s="3418" t="s">
        <v>3733</v>
      </c>
      <c r="H28" s="3418" t="s">
        <v>3734</v>
      </c>
      <c r="I28" s="3418">
        <v>19113.12</v>
      </c>
      <c r="J28" s="3418">
        <v>38226.239999999998</v>
      </c>
      <c r="K28" s="3418" t="s">
        <v>3433</v>
      </c>
      <c r="L28" s="3418" t="s">
        <v>3433</v>
      </c>
      <c r="M28" s="3418">
        <v>0</v>
      </c>
      <c r="N28" s="3418">
        <v>0</v>
      </c>
      <c r="O28" s="3418" t="s">
        <v>3490</v>
      </c>
      <c r="P28" s="3418" t="s">
        <v>3602</v>
      </c>
      <c r="Q28" s="3418" t="s">
        <v>3603</v>
      </c>
      <c r="R28" s="3418" t="s">
        <v>3604</v>
      </c>
      <c r="S28" s="3418" t="s">
        <v>3631</v>
      </c>
      <c r="T28" s="3418">
        <v>2</v>
      </c>
      <c r="U28" s="3418" t="s">
        <v>3433</v>
      </c>
      <c r="V28" s="3418">
        <v>30</v>
      </c>
      <c r="W28" s="3418">
        <v>45</v>
      </c>
      <c r="X28" s="3418" t="s">
        <v>3458</v>
      </c>
      <c r="Y28" s="3418" t="s">
        <v>3433</v>
      </c>
      <c r="Z28" s="3418" t="s">
        <v>3459</v>
      </c>
      <c r="AA28" s="3418" t="s">
        <v>3433</v>
      </c>
      <c r="AB28" s="3418" t="s">
        <v>3433</v>
      </c>
      <c r="AC28" s="3418" t="s">
        <v>3433</v>
      </c>
      <c r="AD28" s="3418" t="s">
        <v>3735</v>
      </c>
      <c r="AE28" s="3418" t="s">
        <v>3736</v>
      </c>
      <c r="AF28" s="3418" t="s">
        <v>3737</v>
      </c>
      <c r="AG28" s="3418" t="s">
        <v>3737</v>
      </c>
      <c r="AH28" s="3418" t="s">
        <v>3442</v>
      </c>
      <c r="AI28" s="3418" t="s">
        <v>3443</v>
      </c>
      <c r="AJ28" s="3418" t="s">
        <v>3738</v>
      </c>
      <c r="AK28" s="3418" t="s">
        <v>3739</v>
      </c>
      <c r="AL28" s="3418" t="s">
        <v>3740</v>
      </c>
      <c r="AM28" s="3418" t="s">
        <v>3433</v>
      </c>
      <c r="AN28" s="3418">
        <v>45000</v>
      </c>
      <c r="AO28" s="3418">
        <v>9000</v>
      </c>
      <c r="AP28" s="3418" t="s">
        <v>3741</v>
      </c>
      <c r="AQ28" s="3418">
        <v>45000</v>
      </c>
      <c r="AR28" s="3418">
        <v>23544.03</v>
      </c>
      <c r="AS28" s="3418">
        <v>23544.03</v>
      </c>
      <c r="AT28" s="3418">
        <v>1569.6</v>
      </c>
      <c r="AU28" s="3418">
        <v>1569.6</v>
      </c>
      <c r="AV28" s="3418">
        <v>11772</v>
      </c>
      <c r="AW28" s="3418">
        <v>11772</v>
      </c>
      <c r="AX28" s="3418" t="s">
        <v>3433</v>
      </c>
      <c r="AY28" s="3418" t="s">
        <v>3433</v>
      </c>
      <c r="AZ28" s="3418">
        <v>0</v>
      </c>
      <c r="BA28" s="3418">
        <v>51750</v>
      </c>
      <c r="BB28" s="3418" t="s">
        <v>3448</v>
      </c>
      <c r="BC28" s="3418">
        <v>30000</v>
      </c>
      <c r="BD28" s="3418">
        <v>30000</v>
      </c>
      <c r="BE28" s="3418">
        <v>13538</v>
      </c>
      <c r="BF28" s="3418">
        <v>15</v>
      </c>
      <c r="BG28" s="3418">
        <v>15284</v>
      </c>
      <c r="BH28" s="3418" t="s">
        <v>3433</v>
      </c>
      <c r="BI28" s="3418" t="s">
        <v>3433</v>
      </c>
      <c r="BJ28" s="3418" t="s">
        <v>3325</v>
      </c>
      <c r="BK28" s="3418" t="s">
        <v>3742</v>
      </c>
      <c r="BL28" s="3418" t="s">
        <v>3433</v>
      </c>
      <c r="BM28" s="3418" t="s">
        <v>3433</v>
      </c>
    </row>
    <row r="29" spans="1:65" hidden="1">
      <c r="A29" s="3417" t="s">
        <v>3743</v>
      </c>
      <c r="B29" s="3417" t="s">
        <v>3424</v>
      </c>
      <c r="C29" s="3417" t="s">
        <v>1465</v>
      </c>
      <c r="D29" s="3417" t="s">
        <v>3538</v>
      </c>
      <c r="E29" s="3417" t="s">
        <v>3744</v>
      </c>
      <c r="F29" s="3417" t="s">
        <v>3745</v>
      </c>
      <c r="G29" s="3417" t="s">
        <v>3745</v>
      </c>
      <c r="H29" s="3417" t="s">
        <v>3746</v>
      </c>
      <c r="I29" s="3417">
        <v>34067.89</v>
      </c>
      <c r="J29" s="3417">
        <v>64113.760000000002</v>
      </c>
      <c r="K29" s="3417" t="s">
        <v>3433</v>
      </c>
      <c r="L29" s="3417" t="s">
        <v>3433</v>
      </c>
      <c r="M29" s="3417">
        <v>0</v>
      </c>
      <c r="N29" s="3417">
        <v>0</v>
      </c>
      <c r="O29" s="3417" t="s">
        <v>3429</v>
      </c>
      <c r="P29" s="3417" t="s">
        <v>3430</v>
      </c>
      <c r="Q29" s="3417" t="s">
        <v>3430</v>
      </c>
      <c r="R29" s="3417" t="s">
        <v>3630</v>
      </c>
      <c r="S29" s="3417" t="s">
        <v>3747</v>
      </c>
      <c r="T29" s="3417">
        <v>2.1</v>
      </c>
      <c r="U29" s="3417" t="s">
        <v>3433</v>
      </c>
      <c r="V29" s="3417">
        <v>35</v>
      </c>
      <c r="W29" s="3417">
        <v>36</v>
      </c>
      <c r="X29" s="3417" t="s">
        <v>3458</v>
      </c>
      <c r="Y29" s="3417" t="s">
        <v>3433</v>
      </c>
      <c r="Z29" s="3417" t="s">
        <v>3459</v>
      </c>
      <c r="AA29" s="3417" t="s">
        <v>3433</v>
      </c>
      <c r="AB29" s="3417" t="s">
        <v>3433</v>
      </c>
      <c r="AC29" s="3417" t="s">
        <v>3433</v>
      </c>
      <c r="AD29" s="3417" t="s">
        <v>3748</v>
      </c>
      <c r="AE29" s="3417" t="s">
        <v>3749</v>
      </c>
      <c r="AF29" s="3417" t="s">
        <v>3714</v>
      </c>
      <c r="AG29" s="3417" t="s">
        <v>3714</v>
      </c>
      <c r="AH29" s="3417" t="s">
        <v>3442</v>
      </c>
      <c r="AI29" s="3417" t="s">
        <v>3443</v>
      </c>
      <c r="AJ29" s="3417" t="s">
        <v>3716</v>
      </c>
      <c r="AK29" s="3417" t="s">
        <v>3648</v>
      </c>
      <c r="AL29" s="3417" t="s">
        <v>3446</v>
      </c>
      <c r="AM29" s="3417" t="s">
        <v>3482</v>
      </c>
      <c r="AN29" s="3417">
        <v>120000</v>
      </c>
      <c r="AO29" s="3417">
        <v>24000</v>
      </c>
      <c r="AP29" s="3417" t="s">
        <v>3750</v>
      </c>
      <c r="AQ29" s="3417">
        <v>120000</v>
      </c>
      <c r="AR29" s="3417">
        <v>35223.78</v>
      </c>
      <c r="AS29" s="3417">
        <v>35223.78</v>
      </c>
      <c r="AT29" s="3417">
        <v>2348.25</v>
      </c>
      <c r="AU29" s="3417">
        <v>2348.25</v>
      </c>
      <c r="AV29" s="3417">
        <v>18717</v>
      </c>
      <c r="AW29" s="3417">
        <v>18717</v>
      </c>
      <c r="AX29" s="3417" t="s">
        <v>3433</v>
      </c>
      <c r="AY29" s="3417" t="s">
        <v>3433</v>
      </c>
      <c r="AZ29" s="3417">
        <v>0</v>
      </c>
      <c r="BA29" s="3417">
        <v>138000</v>
      </c>
      <c r="BB29" s="3417" t="s">
        <v>3448</v>
      </c>
      <c r="BC29" s="3417">
        <v>45000</v>
      </c>
      <c r="BD29" s="3417">
        <v>45000</v>
      </c>
      <c r="BE29" s="3417">
        <v>21524</v>
      </c>
      <c r="BF29" s="3417">
        <v>15</v>
      </c>
      <c r="BG29" s="3417">
        <v>26283</v>
      </c>
      <c r="BH29" s="3417" t="s">
        <v>3502</v>
      </c>
      <c r="BI29" s="3417" t="s">
        <v>3751</v>
      </c>
      <c r="BJ29" s="3417" t="s">
        <v>3325</v>
      </c>
      <c r="BK29" s="3417" t="s">
        <v>3640</v>
      </c>
      <c r="BL29" s="3420">
        <v>45312.000497685185</v>
      </c>
      <c r="BM29" s="3417">
        <v>120000</v>
      </c>
    </row>
    <row r="30" spans="1:65" hidden="1">
      <c r="A30" s="3417" t="s">
        <v>3752</v>
      </c>
      <c r="B30" s="3417" t="s">
        <v>3424</v>
      </c>
      <c r="C30" s="3417" t="s">
        <v>1465</v>
      </c>
      <c r="D30" s="3417" t="s">
        <v>3505</v>
      </c>
      <c r="E30" s="3417" t="s">
        <v>3753</v>
      </c>
      <c r="F30" s="3417" t="s">
        <v>3754</v>
      </c>
      <c r="G30" s="3417" t="s">
        <v>3754</v>
      </c>
      <c r="H30" s="3417" t="s">
        <v>3569</v>
      </c>
      <c r="I30" s="3417">
        <v>26969.65</v>
      </c>
      <c r="J30" s="3417">
        <v>70121.08</v>
      </c>
      <c r="K30" s="3417" t="s">
        <v>3433</v>
      </c>
      <c r="L30" s="3417" t="s">
        <v>3433</v>
      </c>
      <c r="M30" s="3417">
        <v>0</v>
      </c>
      <c r="N30" s="3417">
        <v>0</v>
      </c>
      <c r="O30" s="3417" t="s">
        <v>3429</v>
      </c>
      <c r="P30" s="3417" t="s">
        <v>3666</v>
      </c>
      <c r="Q30" s="3417" t="s">
        <v>3543</v>
      </c>
      <c r="R30" s="3417" t="s">
        <v>3431</v>
      </c>
      <c r="S30" s="3417" t="s">
        <v>3755</v>
      </c>
      <c r="T30" s="3417">
        <v>2.6</v>
      </c>
      <c r="U30" s="3417" t="s">
        <v>3433</v>
      </c>
      <c r="V30" s="3417">
        <v>30</v>
      </c>
      <c r="W30" s="3417">
        <v>60</v>
      </c>
      <c r="X30" s="3417" t="s">
        <v>3458</v>
      </c>
      <c r="Y30" s="3417" t="s">
        <v>3433</v>
      </c>
      <c r="Z30" s="3417" t="s">
        <v>3459</v>
      </c>
      <c r="AA30" s="3417" t="s">
        <v>3433</v>
      </c>
      <c r="AB30" s="3417" t="s">
        <v>3433</v>
      </c>
      <c r="AC30" s="3417" t="s">
        <v>3433</v>
      </c>
      <c r="AD30" s="3417" t="s">
        <v>3756</v>
      </c>
      <c r="AE30" s="3417" t="s">
        <v>3757</v>
      </c>
      <c r="AF30" s="3417" t="s">
        <v>3749</v>
      </c>
      <c r="AG30" s="3417" t="s">
        <v>3749</v>
      </c>
      <c r="AH30" s="3417" t="s">
        <v>3442</v>
      </c>
      <c r="AI30" s="3417" t="s">
        <v>3443</v>
      </c>
      <c r="AJ30" s="3417" t="s">
        <v>3758</v>
      </c>
      <c r="AK30" s="3417" t="s">
        <v>3759</v>
      </c>
      <c r="AL30" s="3417" t="s">
        <v>3760</v>
      </c>
      <c r="AM30" s="3417" t="s">
        <v>3702</v>
      </c>
      <c r="AN30" s="3417">
        <v>188000</v>
      </c>
      <c r="AO30" s="3417">
        <v>38000</v>
      </c>
      <c r="AP30" s="3417" t="s">
        <v>3761</v>
      </c>
      <c r="AQ30" s="3417">
        <v>190000</v>
      </c>
      <c r="AR30" s="3417">
        <v>69707.98</v>
      </c>
      <c r="AS30" s="3417">
        <v>70449.56</v>
      </c>
      <c r="AT30" s="3417">
        <v>4647.2</v>
      </c>
      <c r="AU30" s="3417">
        <v>4696.6400000000003</v>
      </c>
      <c r="AV30" s="3417">
        <v>26811</v>
      </c>
      <c r="AW30" s="3417">
        <v>27096</v>
      </c>
      <c r="AX30" s="3417" t="s">
        <v>3433</v>
      </c>
      <c r="AY30" s="3417" t="s">
        <v>3433</v>
      </c>
      <c r="AZ30" s="3417">
        <v>1.06</v>
      </c>
      <c r="BA30" s="3417">
        <v>216200</v>
      </c>
      <c r="BB30" s="3417" t="s">
        <v>3448</v>
      </c>
      <c r="BC30" s="3417">
        <v>59000</v>
      </c>
      <c r="BD30" s="3417">
        <v>59000</v>
      </c>
      <c r="BE30" s="3417">
        <v>30832</v>
      </c>
      <c r="BF30" s="3417">
        <v>15</v>
      </c>
      <c r="BG30" s="3417">
        <v>31904</v>
      </c>
      <c r="BH30" s="3417" t="s">
        <v>3519</v>
      </c>
      <c r="BI30" s="3417" t="s">
        <v>3762</v>
      </c>
      <c r="BJ30" s="3417" t="s">
        <v>3325</v>
      </c>
      <c r="BK30" s="3417" t="s">
        <v>3569</v>
      </c>
      <c r="BL30" s="3417" t="s">
        <v>3433</v>
      </c>
      <c r="BM30" s="3417" t="s">
        <v>3433</v>
      </c>
    </row>
    <row r="31" spans="1:65" s="3421" customFormat="1" hidden="1">
      <c r="A31" s="3421" t="s">
        <v>3763</v>
      </c>
      <c r="B31" s="3421" t="s">
        <v>3424</v>
      </c>
      <c r="C31" s="3421" t="s">
        <v>1465</v>
      </c>
      <c r="D31" s="3421" t="s">
        <v>3505</v>
      </c>
      <c r="E31" s="3421" t="s">
        <v>3732</v>
      </c>
      <c r="F31" s="3421" t="s">
        <v>3764</v>
      </c>
      <c r="G31" s="3421" t="s">
        <v>3764</v>
      </c>
      <c r="H31" s="3421" t="s">
        <v>3734</v>
      </c>
      <c r="I31" s="3421">
        <v>21672.98</v>
      </c>
      <c r="J31" s="3421">
        <v>43345.96</v>
      </c>
      <c r="K31" s="3421" t="s">
        <v>3433</v>
      </c>
      <c r="L31" s="3421" t="s">
        <v>3433</v>
      </c>
      <c r="M31" s="3421">
        <v>0</v>
      </c>
      <c r="N31" s="3421">
        <v>0</v>
      </c>
      <c r="O31" s="3421" t="s">
        <v>3429</v>
      </c>
      <c r="P31" s="3421" t="s">
        <v>3666</v>
      </c>
      <c r="Q31" s="3421" t="s">
        <v>3543</v>
      </c>
      <c r="R31" s="3421" t="s">
        <v>3431</v>
      </c>
      <c r="S31" s="3421" t="s">
        <v>3631</v>
      </c>
      <c r="T31" s="3421">
        <v>2</v>
      </c>
      <c r="U31" s="3421" t="s">
        <v>3433</v>
      </c>
      <c r="V31" s="3421">
        <v>30</v>
      </c>
      <c r="W31" s="3421">
        <v>45</v>
      </c>
      <c r="X31" s="3421" t="s">
        <v>3458</v>
      </c>
      <c r="Y31" s="3421" t="s">
        <v>3433</v>
      </c>
      <c r="Z31" s="3421" t="s">
        <v>3459</v>
      </c>
      <c r="AA31" s="3421" t="s">
        <v>3433</v>
      </c>
      <c r="AB31" s="3421" t="s">
        <v>3433</v>
      </c>
      <c r="AC31" s="3421" t="s">
        <v>3433</v>
      </c>
      <c r="AD31" s="3421" t="s">
        <v>3765</v>
      </c>
      <c r="AE31" s="3421" t="s">
        <v>3757</v>
      </c>
      <c r="AF31" s="3421" t="s">
        <v>3749</v>
      </c>
      <c r="AG31" s="3421" t="s">
        <v>3749</v>
      </c>
      <c r="AH31" s="3421" t="s">
        <v>3442</v>
      </c>
      <c r="AI31" s="3421" t="s">
        <v>3443</v>
      </c>
      <c r="AJ31" s="3421" t="s">
        <v>3282</v>
      </c>
      <c r="AK31" s="3421" t="s">
        <v>3766</v>
      </c>
      <c r="AL31" s="3421" t="s">
        <v>3446</v>
      </c>
      <c r="AM31" s="3421" t="s">
        <v>3433</v>
      </c>
      <c r="AN31" s="3421">
        <v>50000</v>
      </c>
      <c r="AO31" s="3421">
        <v>10000</v>
      </c>
      <c r="AP31" s="3421" t="s">
        <v>3761</v>
      </c>
      <c r="AQ31" s="3421">
        <v>50000</v>
      </c>
      <c r="AR31" s="3421">
        <v>23070.2</v>
      </c>
      <c r="AS31" s="3421">
        <v>23070.2</v>
      </c>
      <c r="AT31" s="3421">
        <v>1538.01</v>
      </c>
      <c r="AU31" s="3421">
        <v>1538.01</v>
      </c>
      <c r="AV31" s="3421">
        <v>11535</v>
      </c>
      <c r="AW31" s="3421">
        <v>11535</v>
      </c>
      <c r="AX31" s="3421" t="s">
        <v>3433</v>
      </c>
      <c r="AY31" s="3421" t="s">
        <v>3433</v>
      </c>
      <c r="AZ31" s="3421">
        <v>0</v>
      </c>
      <c r="BA31" s="3421">
        <v>57500</v>
      </c>
      <c r="BB31" s="3421" t="s">
        <v>3448</v>
      </c>
      <c r="BC31" s="3421">
        <v>30000</v>
      </c>
      <c r="BD31" s="3421">
        <v>30000</v>
      </c>
      <c r="BE31" s="3421">
        <v>13265</v>
      </c>
      <c r="BF31" s="3421">
        <v>15</v>
      </c>
      <c r="BG31" s="3421">
        <v>18275</v>
      </c>
      <c r="BH31" s="3421" t="s">
        <v>3484</v>
      </c>
      <c r="BI31" s="3421" t="s">
        <v>3433</v>
      </c>
      <c r="BJ31" s="3421" t="s">
        <v>3325</v>
      </c>
      <c r="BK31" s="3421" t="s">
        <v>3742</v>
      </c>
      <c r="BL31" s="3421" t="s">
        <v>3433</v>
      </c>
      <c r="BM31" s="3421" t="s">
        <v>3433</v>
      </c>
    </row>
    <row r="32" spans="1:65" hidden="1">
      <c r="A32" s="3417" t="s">
        <v>3767</v>
      </c>
      <c r="B32" s="3417" t="s">
        <v>3424</v>
      </c>
      <c r="C32" s="3417" t="s">
        <v>1465</v>
      </c>
      <c r="D32" s="3417" t="s">
        <v>3505</v>
      </c>
      <c r="E32" s="3417" t="s">
        <v>3567</v>
      </c>
      <c r="F32" s="3417" t="s">
        <v>3768</v>
      </c>
      <c r="G32" s="3417" t="s">
        <v>3768</v>
      </c>
      <c r="H32" s="3417" t="s">
        <v>3569</v>
      </c>
      <c r="I32" s="3417">
        <v>26907.21</v>
      </c>
      <c r="J32" s="3417">
        <v>43051.54</v>
      </c>
      <c r="K32" s="3417" t="s">
        <v>3433</v>
      </c>
      <c r="L32" s="3417" t="s">
        <v>3433</v>
      </c>
      <c r="M32" s="3417">
        <v>0</v>
      </c>
      <c r="N32" s="3417">
        <v>0</v>
      </c>
      <c r="O32" s="3417" t="s">
        <v>3429</v>
      </c>
      <c r="P32" s="3417" t="s">
        <v>3666</v>
      </c>
      <c r="Q32" s="3417" t="s">
        <v>3543</v>
      </c>
      <c r="R32" s="3417" t="s">
        <v>3431</v>
      </c>
      <c r="S32" s="3417" t="s">
        <v>3473</v>
      </c>
      <c r="T32" s="3417">
        <v>1.6</v>
      </c>
      <c r="U32" s="3417" t="s">
        <v>3433</v>
      </c>
      <c r="V32" s="3417">
        <v>30</v>
      </c>
      <c r="W32" s="3417">
        <v>45</v>
      </c>
      <c r="X32" s="3417" t="s">
        <v>3458</v>
      </c>
      <c r="Y32" s="3417" t="s">
        <v>3433</v>
      </c>
      <c r="Z32" s="3417" t="s">
        <v>3459</v>
      </c>
      <c r="AA32" s="3417" t="s">
        <v>3433</v>
      </c>
      <c r="AB32" s="3417" t="s">
        <v>3433</v>
      </c>
      <c r="AC32" s="3417" t="s">
        <v>3433</v>
      </c>
      <c r="AD32" s="3417" t="s">
        <v>3769</v>
      </c>
      <c r="AE32" s="3417" t="s">
        <v>3770</v>
      </c>
      <c r="AF32" s="3417" t="s">
        <v>3771</v>
      </c>
      <c r="AG32" s="3417" t="s">
        <v>3771</v>
      </c>
      <c r="AH32" s="3417" t="s">
        <v>3442</v>
      </c>
      <c r="AI32" s="3417" t="s">
        <v>3443</v>
      </c>
      <c r="AJ32" s="3417" t="s">
        <v>3772</v>
      </c>
      <c r="AK32" s="3417" t="s">
        <v>3773</v>
      </c>
      <c r="AL32" s="3417" t="s">
        <v>3579</v>
      </c>
      <c r="AM32" s="3417" t="s">
        <v>3580</v>
      </c>
      <c r="AN32" s="3417">
        <v>97000</v>
      </c>
      <c r="AO32" s="3417">
        <v>20000</v>
      </c>
      <c r="AP32" s="3417" t="s">
        <v>3774</v>
      </c>
      <c r="AQ32" s="3417">
        <v>97000</v>
      </c>
      <c r="AR32" s="3417">
        <v>36049.81</v>
      </c>
      <c r="AS32" s="3417">
        <v>36049.81</v>
      </c>
      <c r="AT32" s="3417">
        <v>2403.3200000000002</v>
      </c>
      <c r="AU32" s="3417">
        <v>2403.3200000000002</v>
      </c>
      <c r="AV32" s="3417">
        <v>22531</v>
      </c>
      <c r="AW32" s="3417">
        <v>22531</v>
      </c>
      <c r="AX32" s="3417" t="s">
        <v>3433</v>
      </c>
      <c r="AY32" s="3417" t="s">
        <v>3433</v>
      </c>
      <c r="AZ32" s="3417">
        <v>0</v>
      </c>
      <c r="BA32" s="3417">
        <v>111550</v>
      </c>
      <c r="BB32" s="3417" t="s">
        <v>3433</v>
      </c>
      <c r="BC32" s="3417">
        <v>50000</v>
      </c>
      <c r="BD32" s="3417">
        <v>50000</v>
      </c>
      <c r="BE32" s="3417">
        <v>25911</v>
      </c>
      <c r="BF32" s="3417">
        <v>15</v>
      </c>
      <c r="BG32" s="3417">
        <v>27468</v>
      </c>
      <c r="BH32" s="3417" t="s">
        <v>3552</v>
      </c>
      <c r="BI32" s="3417" t="s">
        <v>3433</v>
      </c>
      <c r="BJ32" s="3417" t="s">
        <v>3325</v>
      </c>
      <c r="BK32" s="3417" t="s">
        <v>3569</v>
      </c>
      <c r="BL32" s="3420">
        <v>45287.000497685185</v>
      </c>
      <c r="BM32" s="3417">
        <v>97000</v>
      </c>
    </row>
    <row r="33" spans="1:65" hidden="1">
      <c r="A33" s="3417" t="s">
        <v>3775</v>
      </c>
      <c r="B33" s="3417" t="s">
        <v>3424</v>
      </c>
      <c r="C33" s="3417" t="s">
        <v>1465</v>
      </c>
      <c r="D33" s="3417" t="s">
        <v>3598</v>
      </c>
      <c r="E33" s="3417" t="s">
        <v>3599</v>
      </c>
      <c r="F33" s="3417" t="s">
        <v>3776</v>
      </c>
      <c r="G33" s="3417" t="s">
        <v>3776</v>
      </c>
      <c r="H33" s="3417" t="s">
        <v>3777</v>
      </c>
      <c r="I33" s="3417">
        <v>133625.32999999999</v>
      </c>
      <c r="J33" s="3417">
        <v>146200</v>
      </c>
      <c r="K33" s="3417" t="s">
        <v>3433</v>
      </c>
      <c r="L33" s="3417" t="s">
        <v>3433</v>
      </c>
      <c r="M33" s="3417">
        <v>0</v>
      </c>
      <c r="N33" s="3417">
        <v>0</v>
      </c>
      <c r="O33" s="3417" t="s">
        <v>3429</v>
      </c>
      <c r="P33" s="3417" t="s">
        <v>3778</v>
      </c>
      <c r="Q33" s="3417" t="s">
        <v>3543</v>
      </c>
      <c r="R33" s="3417" t="s">
        <v>3779</v>
      </c>
      <c r="S33" s="3417" t="s">
        <v>3780</v>
      </c>
      <c r="T33" s="3417">
        <v>1.0900000000000001</v>
      </c>
      <c r="U33" s="3417" t="s">
        <v>3433</v>
      </c>
      <c r="V33" s="3417" t="s">
        <v>3433</v>
      </c>
      <c r="W33" s="3417" t="s">
        <v>3781</v>
      </c>
      <c r="X33" s="3417" t="s">
        <v>3458</v>
      </c>
      <c r="Y33" s="3417" t="s">
        <v>3433</v>
      </c>
      <c r="Z33" s="3417" t="s">
        <v>3433</v>
      </c>
      <c r="AA33" s="3417" t="s">
        <v>3433</v>
      </c>
      <c r="AB33" s="3417" t="s">
        <v>3433</v>
      </c>
      <c r="AC33" s="3417" t="s">
        <v>3433</v>
      </c>
      <c r="AD33" s="3417" t="s">
        <v>3782</v>
      </c>
      <c r="AE33" s="3417" t="s">
        <v>3783</v>
      </c>
      <c r="AF33" s="3417" t="s">
        <v>3765</v>
      </c>
      <c r="AG33" s="3417" t="s">
        <v>3765</v>
      </c>
      <c r="AH33" s="3417" t="s">
        <v>3442</v>
      </c>
      <c r="AI33" s="3417" t="s">
        <v>3479</v>
      </c>
      <c r="AJ33" s="3417" t="s">
        <v>3784</v>
      </c>
      <c r="AK33" s="3417" t="s">
        <v>3610</v>
      </c>
      <c r="AL33" s="3417" t="s">
        <v>3446</v>
      </c>
      <c r="AM33" s="3417" t="s">
        <v>3482</v>
      </c>
      <c r="AN33" s="3417">
        <v>241000</v>
      </c>
      <c r="AO33" s="3417">
        <v>50000</v>
      </c>
      <c r="AP33" s="3417" t="s">
        <v>3785</v>
      </c>
      <c r="AQ33" s="3417">
        <v>241000</v>
      </c>
      <c r="AR33" s="3417">
        <v>18035.5</v>
      </c>
      <c r="AS33" s="3417">
        <v>18035.5</v>
      </c>
      <c r="AT33" s="3417">
        <v>1202.3699999999999</v>
      </c>
      <c r="AU33" s="3417">
        <v>1202.3699999999999</v>
      </c>
      <c r="AV33" s="3417">
        <v>16484</v>
      </c>
      <c r="AW33" s="3417">
        <v>16484</v>
      </c>
      <c r="AX33" s="3417" t="s">
        <v>3433</v>
      </c>
      <c r="AY33" s="3417" t="s">
        <v>3433</v>
      </c>
      <c r="AZ33" s="3417">
        <v>0</v>
      </c>
      <c r="BA33" s="3417">
        <v>253050</v>
      </c>
      <c r="BB33" s="3417" t="s">
        <v>3448</v>
      </c>
      <c r="BC33" s="3417">
        <v>42000</v>
      </c>
      <c r="BD33" s="3417">
        <v>42000</v>
      </c>
      <c r="BE33" s="3417">
        <v>17308</v>
      </c>
      <c r="BF33" s="3417">
        <v>5</v>
      </c>
      <c r="BG33" s="3417" t="s">
        <v>3433</v>
      </c>
      <c r="BH33" s="3417" t="s">
        <v>3786</v>
      </c>
      <c r="BI33" s="3417" t="s">
        <v>3787</v>
      </c>
      <c r="BJ33" s="3417" t="s">
        <v>3325</v>
      </c>
      <c r="BK33" s="3417" t="s">
        <v>3788</v>
      </c>
      <c r="BL33" s="3417" t="s">
        <v>3433</v>
      </c>
      <c r="BM33" s="3417" t="s">
        <v>3433</v>
      </c>
    </row>
    <row r="34" spans="1:65" hidden="1">
      <c r="A34" s="3417" t="s">
        <v>3789</v>
      </c>
      <c r="B34" s="3417" t="s">
        <v>3424</v>
      </c>
      <c r="C34" s="3417" t="s">
        <v>1465</v>
      </c>
      <c r="D34" s="3417" t="s">
        <v>3425</v>
      </c>
      <c r="E34" s="3417" t="s">
        <v>3487</v>
      </c>
      <c r="F34" s="3417" t="s">
        <v>3790</v>
      </c>
      <c r="G34" s="3417" t="s">
        <v>3790</v>
      </c>
      <c r="H34" s="3417" t="s">
        <v>3489</v>
      </c>
      <c r="I34" s="3417">
        <v>33463.35</v>
      </c>
      <c r="J34" s="3417">
        <v>57222.59</v>
      </c>
      <c r="K34" s="3417" t="s">
        <v>3433</v>
      </c>
      <c r="L34" s="3417" t="s">
        <v>3433</v>
      </c>
      <c r="M34" s="3417">
        <v>0</v>
      </c>
      <c r="N34" s="3417">
        <v>0</v>
      </c>
      <c r="O34" s="3417" t="s">
        <v>3429</v>
      </c>
      <c r="P34" s="3417" t="s">
        <v>3666</v>
      </c>
      <c r="Q34" s="3417" t="s">
        <v>3543</v>
      </c>
      <c r="R34" s="3417" t="s">
        <v>3431</v>
      </c>
      <c r="S34" s="3417" t="s">
        <v>3791</v>
      </c>
      <c r="T34" s="3417">
        <v>1.8</v>
      </c>
      <c r="U34" s="3417" t="s">
        <v>3433</v>
      </c>
      <c r="V34" s="3417" t="s">
        <v>3433</v>
      </c>
      <c r="W34" s="3417">
        <v>36</v>
      </c>
      <c r="X34" s="3417" t="s">
        <v>3458</v>
      </c>
      <c r="Y34" s="3417" t="s">
        <v>3433</v>
      </c>
      <c r="Z34" s="3417" t="s">
        <v>3459</v>
      </c>
      <c r="AA34" s="3417" t="s">
        <v>3433</v>
      </c>
      <c r="AB34" s="3417" t="s">
        <v>3433</v>
      </c>
      <c r="AC34" s="3417" t="s">
        <v>3433</v>
      </c>
      <c r="AD34" s="3417" t="s">
        <v>3792</v>
      </c>
      <c r="AE34" s="3417" t="s">
        <v>3782</v>
      </c>
      <c r="AF34" s="3417" t="s">
        <v>3783</v>
      </c>
      <c r="AG34" s="3417" t="s">
        <v>3783</v>
      </c>
      <c r="AH34" s="3417" t="s">
        <v>3442</v>
      </c>
      <c r="AI34" s="3417" t="s">
        <v>3443</v>
      </c>
      <c r="AJ34" s="3417" t="s">
        <v>3793</v>
      </c>
      <c r="AK34" s="3417" t="s">
        <v>3794</v>
      </c>
      <c r="AL34" s="3417" t="s">
        <v>3446</v>
      </c>
      <c r="AM34" s="3417" t="s">
        <v>3482</v>
      </c>
      <c r="AN34" s="3417">
        <v>129000</v>
      </c>
      <c r="AO34" s="3417">
        <v>26000</v>
      </c>
      <c r="AP34" s="3417" t="s">
        <v>3433</v>
      </c>
      <c r="AQ34" s="3417">
        <v>130400</v>
      </c>
      <c r="AR34" s="3417">
        <v>38549.629999999997</v>
      </c>
      <c r="AS34" s="3417">
        <v>38968</v>
      </c>
      <c r="AT34" s="3417">
        <v>2569.98</v>
      </c>
      <c r="AU34" s="3417">
        <v>2597.87</v>
      </c>
      <c r="AV34" s="3417">
        <v>22544</v>
      </c>
      <c r="AW34" s="3417">
        <v>22788</v>
      </c>
      <c r="AX34" s="3417" t="s">
        <v>3433</v>
      </c>
      <c r="AY34" s="3417" t="s">
        <v>3433</v>
      </c>
      <c r="AZ34" s="3417">
        <v>1.0900000000000001</v>
      </c>
      <c r="BA34" s="3417">
        <v>148350</v>
      </c>
      <c r="BB34" s="3417" t="s">
        <v>3448</v>
      </c>
      <c r="BC34" s="3417">
        <v>47000</v>
      </c>
      <c r="BD34" s="3417">
        <v>47000</v>
      </c>
      <c r="BE34" s="3417">
        <v>25925</v>
      </c>
      <c r="BF34" s="3417">
        <v>15</v>
      </c>
      <c r="BG34" s="3417">
        <v>23039</v>
      </c>
      <c r="BH34" s="3417" t="s">
        <v>3502</v>
      </c>
      <c r="BI34" s="3417" t="s">
        <v>3795</v>
      </c>
      <c r="BJ34" s="3417" t="s">
        <v>3325</v>
      </c>
      <c r="BK34" s="3417" t="s">
        <v>3489</v>
      </c>
      <c r="BL34" s="3417" t="s">
        <v>3433</v>
      </c>
      <c r="BM34" s="3417" t="s">
        <v>3433</v>
      </c>
    </row>
    <row r="35" spans="1:65" hidden="1">
      <c r="A35" s="3417" t="s">
        <v>3796</v>
      </c>
      <c r="B35" s="3417" t="s">
        <v>3424</v>
      </c>
      <c r="C35" s="3417" t="s">
        <v>1465</v>
      </c>
      <c r="D35" s="3417" t="s">
        <v>3797</v>
      </c>
      <c r="E35" s="3417" t="s">
        <v>3798</v>
      </c>
      <c r="F35" s="3417" t="s">
        <v>3799</v>
      </c>
      <c r="G35" s="3417" t="s">
        <v>3799</v>
      </c>
      <c r="H35" s="3417" t="s">
        <v>3800</v>
      </c>
      <c r="I35" s="3417">
        <v>30880.23</v>
      </c>
      <c r="J35" s="3417">
        <v>55584.41</v>
      </c>
      <c r="K35" s="3417" t="s">
        <v>3433</v>
      </c>
      <c r="L35" s="3417" t="s">
        <v>3433</v>
      </c>
      <c r="M35" s="3417">
        <v>0</v>
      </c>
      <c r="N35" s="3417">
        <v>0</v>
      </c>
      <c r="O35" s="3417" t="s">
        <v>3429</v>
      </c>
      <c r="P35" s="3417" t="s">
        <v>3666</v>
      </c>
      <c r="Q35" s="3417" t="s">
        <v>3543</v>
      </c>
      <c r="R35" s="3417" t="s">
        <v>3431</v>
      </c>
      <c r="S35" s="3417" t="s">
        <v>3801</v>
      </c>
      <c r="T35" s="3417">
        <v>1.8</v>
      </c>
      <c r="U35" s="3417" t="s">
        <v>3433</v>
      </c>
      <c r="V35" s="3417" t="s">
        <v>3433</v>
      </c>
      <c r="W35" s="3417" t="s">
        <v>3474</v>
      </c>
      <c r="X35" s="3417" t="s">
        <v>3458</v>
      </c>
      <c r="Y35" s="3417" t="s">
        <v>3433</v>
      </c>
      <c r="Z35" s="3417" t="s">
        <v>3459</v>
      </c>
      <c r="AA35" s="3417" t="s">
        <v>3433</v>
      </c>
      <c r="AB35" s="3417" t="s">
        <v>3433</v>
      </c>
      <c r="AC35" s="3417" t="s">
        <v>3433</v>
      </c>
      <c r="AD35" s="3417" t="s">
        <v>3802</v>
      </c>
      <c r="AE35" s="3417" t="s">
        <v>3803</v>
      </c>
      <c r="AF35" s="3417" t="s">
        <v>3804</v>
      </c>
      <c r="AG35" s="3417" t="s">
        <v>3804</v>
      </c>
      <c r="AH35" s="3417" t="s">
        <v>3442</v>
      </c>
      <c r="AI35" s="3417" t="s">
        <v>3443</v>
      </c>
      <c r="AJ35" s="3417" t="s">
        <v>3623</v>
      </c>
      <c r="AK35" s="3417" t="s">
        <v>3481</v>
      </c>
      <c r="AL35" s="3417" t="s">
        <v>3446</v>
      </c>
      <c r="AM35" s="3417" t="s">
        <v>3482</v>
      </c>
      <c r="AN35" s="3417">
        <v>49000</v>
      </c>
      <c r="AO35" s="3417">
        <v>10000</v>
      </c>
      <c r="AP35" s="3417" t="s">
        <v>3805</v>
      </c>
      <c r="AQ35" s="3417">
        <v>49000</v>
      </c>
      <c r="AR35" s="3417">
        <v>15867.75</v>
      </c>
      <c r="AS35" s="3417">
        <v>15867.75</v>
      </c>
      <c r="AT35" s="3417">
        <v>1057.8499999999999</v>
      </c>
      <c r="AU35" s="3417">
        <v>1057.8499999999999</v>
      </c>
      <c r="AV35" s="3417">
        <v>8815</v>
      </c>
      <c r="AW35" s="3417">
        <v>8815</v>
      </c>
      <c r="AX35" s="3417" t="s">
        <v>3433</v>
      </c>
      <c r="AY35" s="3417" t="s">
        <v>3433</v>
      </c>
      <c r="AZ35" s="3417">
        <v>0</v>
      </c>
      <c r="BA35" s="3417">
        <v>56350</v>
      </c>
      <c r="BB35" s="3417" t="s">
        <v>3448</v>
      </c>
      <c r="BC35" s="3417">
        <v>31000</v>
      </c>
      <c r="BD35" s="3417">
        <v>31000</v>
      </c>
      <c r="BE35" s="3417">
        <v>10138</v>
      </c>
      <c r="BF35" s="3417">
        <v>15</v>
      </c>
      <c r="BG35" s="3417">
        <v>22184</v>
      </c>
      <c r="BH35" s="3417" t="s">
        <v>3484</v>
      </c>
      <c r="BI35" s="3417" t="s">
        <v>3806</v>
      </c>
      <c r="BJ35" s="3417" t="s">
        <v>3325</v>
      </c>
      <c r="BK35" s="3417" t="s">
        <v>3807</v>
      </c>
      <c r="BL35" s="3420">
        <v>45240.000497685185</v>
      </c>
      <c r="BM35" s="3417">
        <v>49000</v>
      </c>
    </row>
    <row r="36" spans="1:65" hidden="1">
      <c r="A36" s="3417" t="s">
        <v>3808</v>
      </c>
      <c r="B36" s="3417" t="s">
        <v>3424</v>
      </c>
      <c r="C36" s="3417" t="s">
        <v>1465</v>
      </c>
      <c r="D36" s="3417" t="s">
        <v>3538</v>
      </c>
      <c r="E36" s="3417" t="s">
        <v>3705</v>
      </c>
      <c r="F36" s="3417" t="s">
        <v>3809</v>
      </c>
      <c r="G36" s="3417" t="s">
        <v>3809</v>
      </c>
      <c r="H36" s="3417" t="s">
        <v>3810</v>
      </c>
      <c r="I36" s="3417">
        <v>46884.93</v>
      </c>
      <c r="J36" s="3417">
        <v>89859.67</v>
      </c>
      <c r="K36" s="3417" t="s">
        <v>3433</v>
      </c>
      <c r="L36" s="3417" t="s">
        <v>3433</v>
      </c>
      <c r="M36" s="3417">
        <v>0</v>
      </c>
      <c r="N36" s="3417">
        <v>0</v>
      </c>
      <c r="O36" s="3417" t="s">
        <v>3490</v>
      </c>
      <c r="P36" s="3417" t="s">
        <v>3492</v>
      </c>
      <c r="Q36" s="3417" t="s">
        <v>3492</v>
      </c>
      <c r="R36" s="3417" t="s">
        <v>3811</v>
      </c>
      <c r="S36" s="3417" t="s">
        <v>3812</v>
      </c>
      <c r="T36" s="3417">
        <v>2.1</v>
      </c>
      <c r="U36" s="3417" t="s">
        <v>3433</v>
      </c>
      <c r="V36" s="3417" t="s">
        <v>3433</v>
      </c>
      <c r="W36" s="3417" t="s">
        <v>3433</v>
      </c>
      <c r="X36" s="3417" t="s">
        <v>3458</v>
      </c>
      <c r="Y36" s="3417" t="s">
        <v>3433</v>
      </c>
      <c r="Z36" s="3417" t="s">
        <v>3459</v>
      </c>
      <c r="AA36" s="3417" t="s">
        <v>3433</v>
      </c>
      <c r="AB36" s="3417" t="s">
        <v>3433</v>
      </c>
      <c r="AC36" s="3417" t="s">
        <v>3433</v>
      </c>
      <c r="AD36" s="3417" t="s">
        <v>3802</v>
      </c>
      <c r="AE36" s="3417" t="s">
        <v>3803</v>
      </c>
      <c r="AF36" s="3417" t="s">
        <v>3804</v>
      </c>
      <c r="AG36" s="3417" t="s">
        <v>3804</v>
      </c>
      <c r="AH36" s="3417" t="s">
        <v>3442</v>
      </c>
      <c r="AI36" s="3417" t="s">
        <v>3443</v>
      </c>
      <c r="AJ36" s="3417" t="s">
        <v>3813</v>
      </c>
      <c r="AK36" s="3417" t="s">
        <v>3813</v>
      </c>
      <c r="AL36" s="3417" t="s">
        <v>3534</v>
      </c>
      <c r="AM36" s="3417" t="s">
        <v>3433</v>
      </c>
      <c r="AN36" s="3417">
        <v>137000</v>
      </c>
      <c r="AO36" s="3417">
        <v>28000</v>
      </c>
      <c r="AP36" s="3417" t="s">
        <v>3805</v>
      </c>
      <c r="AQ36" s="3417">
        <v>151000</v>
      </c>
      <c r="AR36" s="3417">
        <v>29220.47</v>
      </c>
      <c r="AS36" s="3417">
        <v>32206.51</v>
      </c>
      <c r="AT36" s="3417">
        <v>1948.03</v>
      </c>
      <c r="AU36" s="3417">
        <v>2147.1</v>
      </c>
      <c r="AV36" s="3417">
        <v>15246</v>
      </c>
      <c r="AW36" s="3417">
        <v>16804</v>
      </c>
      <c r="AX36" s="3417" t="s">
        <v>3433</v>
      </c>
      <c r="AY36" s="3417" t="s">
        <v>3433</v>
      </c>
      <c r="AZ36" s="3417">
        <v>10.220000000000001</v>
      </c>
      <c r="BA36" s="3417">
        <v>157550</v>
      </c>
      <c r="BB36" s="3417" t="s">
        <v>3448</v>
      </c>
      <c r="BC36" s="3417">
        <v>45000</v>
      </c>
      <c r="BD36" s="3417">
        <v>45000</v>
      </c>
      <c r="BE36" s="3417">
        <v>17533</v>
      </c>
      <c r="BF36" s="3417">
        <v>15</v>
      </c>
      <c r="BG36" s="3417">
        <v>27523</v>
      </c>
      <c r="BH36" s="3417" t="s">
        <v>3502</v>
      </c>
      <c r="BI36" s="3417" t="s">
        <v>3814</v>
      </c>
      <c r="BJ36" s="3417" t="s">
        <v>3325</v>
      </c>
      <c r="BK36" s="3417" t="s">
        <v>3553</v>
      </c>
      <c r="BL36" s="3420">
        <v>45240.000497685185</v>
      </c>
      <c r="BM36" s="3417">
        <v>151000</v>
      </c>
    </row>
    <row r="37" spans="1:65" s="3418" customFormat="1" hidden="1">
      <c r="A37" s="3418" t="s">
        <v>3815</v>
      </c>
      <c r="B37" s="3418" t="s">
        <v>3424</v>
      </c>
      <c r="C37" s="3418" t="s">
        <v>1465</v>
      </c>
      <c r="D37" s="3418" t="s">
        <v>3538</v>
      </c>
      <c r="E37" s="3418" t="s">
        <v>3816</v>
      </c>
      <c r="F37" s="3418" t="s">
        <v>3817</v>
      </c>
      <c r="G37" s="3418" t="s">
        <v>3817</v>
      </c>
      <c r="H37" s="3418" t="s">
        <v>3818</v>
      </c>
      <c r="I37" s="3418">
        <v>69837.09</v>
      </c>
      <c r="J37" s="3418">
        <v>104756</v>
      </c>
      <c r="K37" s="3418" t="s">
        <v>3433</v>
      </c>
      <c r="L37" s="3418" t="s">
        <v>3433</v>
      </c>
      <c r="M37" s="3418">
        <v>0</v>
      </c>
      <c r="N37" s="3418">
        <v>0</v>
      </c>
      <c r="O37" s="3418" t="s">
        <v>3429</v>
      </c>
      <c r="P37" s="3418" t="s">
        <v>3666</v>
      </c>
      <c r="Q37" s="3418" t="s">
        <v>3543</v>
      </c>
      <c r="R37" s="3418" t="s">
        <v>3431</v>
      </c>
      <c r="S37" s="3418" t="s">
        <v>3819</v>
      </c>
      <c r="T37" s="3418">
        <v>1.5</v>
      </c>
      <c r="U37" s="3418" t="s">
        <v>3433</v>
      </c>
      <c r="V37" s="3418">
        <v>0.3</v>
      </c>
      <c r="W37" s="3418">
        <v>24</v>
      </c>
      <c r="X37" s="3418" t="s">
        <v>3458</v>
      </c>
      <c r="Y37" s="3418" t="s">
        <v>3433</v>
      </c>
      <c r="Z37" s="3418" t="s">
        <v>3459</v>
      </c>
      <c r="AA37" s="3418" t="s">
        <v>3433</v>
      </c>
      <c r="AB37" s="3418" t="s">
        <v>3433</v>
      </c>
      <c r="AC37" s="3418" t="s">
        <v>3433</v>
      </c>
      <c r="AD37" s="3418" t="s">
        <v>3820</v>
      </c>
      <c r="AE37" s="3418" t="s">
        <v>3821</v>
      </c>
      <c r="AF37" s="3418" t="s">
        <v>3822</v>
      </c>
      <c r="AG37" s="3418" t="s">
        <v>3822</v>
      </c>
      <c r="AH37" s="3418" t="s">
        <v>3442</v>
      </c>
      <c r="AI37" s="3418" t="s">
        <v>3479</v>
      </c>
      <c r="AJ37" s="3418" t="s">
        <v>3823</v>
      </c>
      <c r="AK37" s="3418" t="s">
        <v>3823</v>
      </c>
      <c r="AL37" s="3418" t="s">
        <v>3534</v>
      </c>
      <c r="AM37" s="3418" t="s">
        <v>3433</v>
      </c>
      <c r="AN37" s="3418">
        <v>120000</v>
      </c>
      <c r="AO37" s="3418">
        <v>24000</v>
      </c>
      <c r="AP37" s="3418" t="s">
        <v>3433</v>
      </c>
      <c r="AQ37" s="3418">
        <v>120000</v>
      </c>
      <c r="AR37" s="3418">
        <v>17182.84</v>
      </c>
      <c r="AS37" s="3418">
        <v>17182.84</v>
      </c>
      <c r="AT37" s="3418">
        <v>1145.52</v>
      </c>
      <c r="AU37" s="3418">
        <v>1145.52</v>
      </c>
      <c r="AV37" s="3418">
        <v>11455</v>
      </c>
      <c r="AW37" s="3418">
        <v>11455</v>
      </c>
      <c r="AX37" s="3418" t="s">
        <v>3433</v>
      </c>
      <c r="AY37" s="3418" t="s">
        <v>3433</v>
      </c>
      <c r="AZ37" s="3418">
        <v>0</v>
      </c>
      <c r="BA37" s="3418">
        <v>138000</v>
      </c>
      <c r="BB37" s="3418" t="s">
        <v>3448</v>
      </c>
      <c r="BC37" s="3418">
        <v>37000</v>
      </c>
      <c r="BD37" s="3418">
        <v>37000</v>
      </c>
      <c r="BE37" s="3418">
        <v>13173</v>
      </c>
      <c r="BF37" s="3418">
        <v>15</v>
      </c>
      <c r="BG37" s="3418">
        <v>25544</v>
      </c>
      <c r="BH37" s="3418" t="s">
        <v>3484</v>
      </c>
      <c r="BI37" s="3418" t="s">
        <v>3824</v>
      </c>
      <c r="BJ37" s="3418" t="s">
        <v>3325</v>
      </c>
      <c r="BK37" s="3418" t="s">
        <v>3818</v>
      </c>
      <c r="BL37" s="3418" t="s">
        <v>3433</v>
      </c>
      <c r="BM37" s="3418" t="s">
        <v>3433</v>
      </c>
    </row>
    <row r="38" spans="1:65" hidden="1">
      <c r="A38" s="3417" t="s">
        <v>3825</v>
      </c>
      <c r="B38" s="3417" t="s">
        <v>3424</v>
      </c>
      <c r="C38" s="3417" t="s">
        <v>1465</v>
      </c>
      <c r="D38" s="3417" t="s">
        <v>3469</v>
      </c>
      <c r="E38" s="3417" t="s">
        <v>3470</v>
      </c>
      <c r="F38" s="3417" t="s">
        <v>3826</v>
      </c>
      <c r="G38" s="3417" t="s">
        <v>3826</v>
      </c>
      <c r="H38" s="3417" t="s">
        <v>3827</v>
      </c>
      <c r="I38" s="3417">
        <v>25569.01</v>
      </c>
      <c r="J38" s="3417">
        <v>40910.42</v>
      </c>
      <c r="K38" s="3417" t="s">
        <v>3433</v>
      </c>
      <c r="L38" s="3417" t="s">
        <v>3433</v>
      </c>
      <c r="M38" s="3417">
        <v>0</v>
      </c>
      <c r="N38" s="3417">
        <v>0</v>
      </c>
      <c r="O38" s="3417" t="s">
        <v>3429</v>
      </c>
      <c r="P38" s="3417" t="s">
        <v>3666</v>
      </c>
      <c r="Q38" s="3417" t="s">
        <v>3543</v>
      </c>
      <c r="R38" s="3417" t="s">
        <v>3431</v>
      </c>
      <c r="S38" s="3417" t="s">
        <v>3473</v>
      </c>
      <c r="T38" s="3417">
        <v>1.6</v>
      </c>
      <c r="U38" s="3417" t="s">
        <v>3433</v>
      </c>
      <c r="V38" s="3417" t="s">
        <v>3433</v>
      </c>
      <c r="W38" s="3417">
        <v>24</v>
      </c>
      <c r="X38" s="3417" t="s">
        <v>3458</v>
      </c>
      <c r="Y38" s="3417" t="s">
        <v>3433</v>
      </c>
      <c r="Z38" s="3417" t="s">
        <v>3459</v>
      </c>
      <c r="AA38" s="3417" t="s">
        <v>3437</v>
      </c>
      <c r="AB38" s="3417" t="s">
        <v>3433</v>
      </c>
      <c r="AC38" s="3417" t="s">
        <v>3433</v>
      </c>
      <c r="AD38" s="3417" t="s">
        <v>3828</v>
      </c>
      <c r="AE38" s="3417" t="s">
        <v>3829</v>
      </c>
      <c r="AF38" s="3417" t="s">
        <v>3830</v>
      </c>
      <c r="AG38" s="3417" t="s">
        <v>3830</v>
      </c>
      <c r="AH38" s="3417" t="s">
        <v>3442</v>
      </c>
      <c r="AI38" s="3417" t="s">
        <v>3479</v>
      </c>
      <c r="AJ38" s="3417" t="s">
        <v>3480</v>
      </c>
      <c r="AK38" s="3417" t="s">
        <v>3481</v>
      </c>
      <c r="AL38" s="3417" t="s">
        <v>3446</v>
      </c>
      <c r="AM38" s="3417" t="s">
        <v>3482</v>
      </c>
      <c r="AN38" s="3417">
        <v>52000</v>
      </c>
      <c r="AO38" s="3417">
        <v>11000</v>
      </c>
      <c r="AP38" s="3417" t="s">
        <v>3831</v>
      </c>
      <c r="AQ38" s="3417">
        <v>52000</v>
      </c>
      <c r="AR38" s="3417">
        <v>20337.12</v>
      </c>
      <c r="AS38" s="3417">
        <v>20337.12</v>
      </c>
      <c r="AT38" s="3417">
        <v>1355.81</v>
      </c>
      <c r="AU38" s="3417">
        <v>1355.81</v>
      </c>
      <c r="AV38" s="3417">
        <v>12711</v>
      </c>
      <c r="AW38" s="3417">
        <v>12711</v>
      </c>
      <c r="AX38" s="3417" t="s">
        <v>3433</v>
      </c>
      <c r="AY38" s="3417" t="s">
        <v>3433</v>
      </c>
      <c r="AZ38" s="3417">
        <v>0</v>
      </c>
      <c r="BA38" s="3417">
        <v>59800</v>
      </c>
      <c r="BB38" s="3417" t="s">
        <v>3448</v>
      </c>
      <c r="BC38" s="3417">
        <v>30000</v>
      </c>
      <c r="BD38" s="3417">
        <v>30000</v>
      </c>
      <c r="BE38" s="3417">
        <v>14617</v>
      </c>
      <c r="BF38" s="3417">
        <v>15</v>
      </c>
      <c r="BG38" s="3417">
        <v>17289</v>
      </c>
      <c r="BH38" s="3417" t="s">
        <v>3484</v>
      </c>
      <c r="BI38" s="3417" t="s">
        <v>3832</v>
      </c>
      <c r="BJ38" s="3417" t="s">
        <v>3325</v>
      </c>
      <c r="BK38" s="3417" t="s">
        <v>3472</v>
      </c>
      <c r="BL38" s="3417" t="s">
        <v>3433</v>
      </c>
      <c r="BM38" s="3417" t="s">
        <v>3433</v>
      </c>
    </row>
    <row r="39" spans="1:65" hidden="1">
      <c r="A39" s="3417" t="s">
        <v>3833</v>
      </c>
      <c r="B39" s="3417" t="s">
        <v>3424</v>
      </c>
      <c r="C39" s="3417" t="s">
        <v>1465</v>
      </c>
      <c r="D39" s="3417" t="s">
        <v>3425</v>
      </c>
      <c r="E39" s="3417" t="s">
        <v>3834</v>
      </c>
      <c r="F39" s="3417" t="s">
        <v>3835</v>
      </c>
      <c r="G39" s="3417" t="s">
        <v>3835</v>
      </c>
      <c r="H39" s="3417" t="s">
        <v>3836</v>
      </c>
      <c r="I39" s="3417">
        <v>42365.62</v>
      </c>
      <c r="J39" s="3417">
        <v>78552.52</v>
      </c>
      <c r="K39" s="3417" t="s">
        <v>3433</v>
      </c>
      <c r="L39" s="3417" t="s">
        <v>3433</v>
      </c>
      <c r="M39" s="3417">
        <v>0</v>
      </c>
      <c r="N39" s="3417">
        <v>0</v>
      </c>
      <c r="O39" s="3417" t="s">
        <v>3490</v>
      </c>
      <c r="P39" s="3417" t="s">
        <v>3491</v>
      </c>
      <c r="Q39" s="3417" t="s">
        <v>3509</v>
      </c>
      <c r="R39" s="3417" t="s">
        <v>3837</v>
      </c>
      <c r="S39" s="3417" t="s">
        <v>3838</v>
      </c>
      <c r="T39" s="3417">
        <v>2</v>
      </c>
      <c r="U39" s="3417" t="s">
        <v>3433</v>
      </c>
      <c r="V39" s="3417" t="s">
        <v>3433</v>
      </c>
      <c r="W39" s="3417" t="s">
        <v>3839</v>
      </c>
      <c r="X39" s="3417" t="s">
        <v>3458</v>
      </c>
      <c r="Y39" s="3417" t="s">
        <v>3433</v>
      </c>
      <c r="Z39" s="3417" t="s">
        <v>3459</v>
      </c>
      <c r="AA39" s="3417" t="s">
        <v>3437</v>
      </c>
      <c r="AB39" s="3417" t="s">
        <v>3433</v>
      </c>
      <c r="AC39" s="3417" t="s">
        <v>3433</v>
      </c>
      <c r="AD39" s="3417" t="s">
        <v>3828</v>
      </c>
      <c r="AE39" s="3417" t="s">
        <v>3829</v>
      </c>
      <c r="AF39" s="3417" t="s">
        <v>3830</v>
      </c>
      <c r="AG39" s="3417" t="s">
        <v>3830</v>
      </c>
      <c r="AH39" s="3417" t="s">
        <v>3442</v>
      </c>
      <c r="AI39" s="3417" t="s">
        <v>3479</v>
      </c>
      <c r="AJ39" s="3417" t="s">
        <v>3840</v>
      </c>
      <c r="AK39" s="3417" t="s">
        <v>3841</v>
      </c>
      <c r="AL39" s="3417" t="s">
        <v>3842</v>
      </c>
      <c r="AM39" s="3417" t="s">
        <v>3433</v>
      </c>
      <c r="AN39" s="3417">
        <v>249000</v>
      </c>
      <c r="AO39" s="3417">
        <v>50000</v>
      </c>
      <c r="AP39" s="3417" t="s">
        <v>3831</v>
      </c>
      <c r="AQ39" s="3417">
        <v>274000</v>
      </c>
      <c r="AR39" s="3417">
        <v>58774.07</v>
      </c>
      <c r="AS39" s="3417">
        <v>64675.08</v>
      </c>
      <c r="AT39" s="3417">
        <v>3918.27</v>
      </c>
      <c r="AU39" s="3417">
        <v>4311.67</v>
      </c>
      <c r="AV39" s="3417">
        <v>31699</v>
      </c>
      <c r="AW39" s="3417">
        <v>34881</v>
      </c>
      <c r="AX39" s="3417" t="s">
        <v>3433</v>
      </c>
      <c r="AY39" s="3417" t="s">
        <v>3433</v>
      </c>
      <c r="AZ39" s="3417">
        <v>10.039999999999999</v>
      </c>
      <c r="BA39" s="3417">
        <v>286350</v>
      </c>
      <c r="BB39" s="3417" t="s">
        <v>3448</v>
      </c>
      <c r="BC39" s="3417">
        <v>65000</v>
      </c>
      <c r="BD39" s="3417">
        <v>65000</v>
      </c>
      <c r="BE39" s="3417">
        <v>36453</v>
      </c>
      <c r="BF39" s="3417">
        <v>15</v>
      </c>
      <c r="BG39" s="3417">
        <v>28188</v>
      </c>
      <c r="BH39" s="3417" t="s">
        <v>3519</v>
      </c>
      <c r="BI39" s="3417" t="s">
        <v>3843</v>
      </c>
      <c r="BJ39" s="3417" t="s">
        <v>3325</v>
      </c>
      <c r="BK39" s="3417" t="s">
        <v>3844</v>
      </c>
      <c r="BL39" s="3420">
        <v>45183.000497685185</v>
      </c>
      <c r="BM39" s="3417">
        <v>137000</v>
      </c>
    </row>
    <row r="40" spans="1:65" hidden="1">
      <c r="A40" s="3417" t="s">
        <v>3845</v>
      </c>
      <c r="B40" s="3417" t="s">
        <v>3424</v>
      </c>
      <c r="C40" s="3417" t="s">
        <v>1465</v>
      </c>
      <c r="D40" s="3417" t="s">
        <v>3505</v>
      </c>
      <c r="E40" s="3417" t="s">
        <v>3846</v>
      </c>
      <c r="F40" s="3417" t="s">
        <v>3847</v>
      </c>
      <c r="G40" s="3417" t="s">
        <v>3847</v>
      </c>
      <c r="H40" s="3417" t="s">
        <v>3569</v>
      </c>
      <c r="I40" s="3417">
        <v>64837.47</v>
      </c>
      <c r="J40" s="3417">
        <v>124634.93</v>
      </c>
      <c r="K40" s="3417" t="s">
        <v>3433</v>
      </c>
      <c r="L40" s="3417" t="s">
        <v>3433</v>
      </c>
      <c r="M40" s="3417">
        <v>0</v>
      </c>
      <c r="N40" s="3417">
        <v>0</v>
      </c>
      <c r="O40" s="3417" t="s">
        <v>3490</v>
      </c>
      <c r="P40" s="3417" t="s">
        <v>3491</v>
      </c>
      <c r="Q40" s="3417" t="s">
        <v>3509</v>
      </c>
      <c r="R40" s="3417" t="s">
        <v>3837</v>
      </c>
      <c r="S40" s="3417" t="s">
        <v>3848</v>
      </c>
      <c r="T40" s="3417">
        <v>2</v>
      </c>
      <c r="U40" s="3417" t="s">
        <v>3433</v>
      </c>
      <c r="V40" s="3417">
        <v>0.3</v>
      </c>
      <c r="W40" s="3417" t="s">
        <v>3849</v>
      </c>
      <c r="X40" s="3417" t="s">
        <v>3458</v>
      </c>
      <c r="Y40" s="3417" t="s">
        <v>3433</v>
      </c>
      <c r="Z40" s="3417" t="s">
        <v>3459</v>
      </c>
      <c r="AA40" s="3417" t="s">
        <v>3850</v>
      </c>
      <c r="AB40" s="3417" t="s">
        <v>3433</v>
      </c>
      <c r="AC40" s="3417" t="s">
        <v>3433</v>
      </c>
      <c r="AD40" s="3417" t="s">
        <v>3851</v>
      </c>
      <c r="AE40" s="3417" t="s">
        <v>3852</v>
      </c>
      <c r="AF40" s="3417" t="s">
        <v>3853</v>
      </c>
      <c r="AG40" s="3417" t="s">
        <v>3853</v>
      </c>
      <c r="AH40" s="3417" t="s">
        <v>3442</v>
      </c>
      <c r="AI40" s="3417" t="s">
        <v>3479</v>
      </c>
      <c r="AJ40" s="3417" t="s">
        <v>3854</v>
      </c>
      <c r="AK40" s="3417" t="s">
        <v>3855</v>
      </c>
      <c r="AL40" s="3417" t="s">
        <v>3534</v>
      </c>
      <c r="AM40" s="3417" t="s">
        <v>3433</v>
      </c>
      <c r="AN40" s="3417">
        <v>332000</v>
      </c>
      <c r="AO40" s="3417">
        <v>67000</v>
      </c>
      <c r="AP40" s="3417" t="s">
        <v>3433</v>
      </c>
      <c r="AQ40" s="3417">
        <v>381800</v>
      </c>
      <c r="AR40" s="3417">
        <v>51204.959999999999</v>
      </c>
      <c r="AS40" s="3417">
        <v>58885.7</v>
      </c>
      <c r="AT40" s="3417">
        <v>3413.66</v>
      </c>
      <c r="AU40" s="3417">
        <v>3925.71</v>
      </c>
      <c r="AV40" s="3417">
        <v>26638</v>
      </c>
      <c r="AW40" s="3417">
        <v>30633</v>
      </c>
      <c r="AX40" s="3417" t="s">
        <v>3433</v>
      </c>
      <c r="AY40" s="3417" t="s">
        <v>3433</v>
      </c>
      <c r="AZ40" s="3417">
        <v>15</v>
      </c>
      <c r="BA40" s="3417">
        <v>381800</v>
      </c>
      <c r="BB40" s="3417" t="s">
        <v>3635</v>
      </c>
      <c r="BC40" s="3417">
        <v>59000</v>
      </c>
      <c r="BD40" s="3417">
        <v>59000</v>
      </c>
      <c r="BE40" s="3417">
        <v>30633</v>
      </c>
      <c r="BF40" s="3417">
        <v>15</v>
      </c>
      <c r="BG40" s="3417">
        <v>27517</v>
      </c>
      <c r="BH40" s="3417" t="s">
        <v>3519</v>
      </c>
      <c r="BI40" s="3417" t="s">
        <v>3856</v>
      </c>
      <c r="BJ40" s="3417" t="s">
        <v>3325</v>
      </c>
      <c r="BK40" s="3417" t="s">
        <v>3569</v>
      </c>
      <c r="BL40" s="3417" t="s">
        <v>3433</v>
      </c>
      <c r="BM40" s="3417" t="s">
        <v>3433</v>
      </c>
    </row>
    <row r="41" spans="1:65" hidden="1">
      <c r="A41" s="3417" t="s">
        <v>3857</v>
      </c>
      <c r="B41" s="3417" t="s">
        <v>3424</v>
      </c>
      <c r="C41" s="3417" t="s">
        <v>1465</v>
      </c>
      <c r="D41" s="3417" t="s">
        <v>3505</v>
      </c>
      <c r="E41" s="3417" t="s">
        <v>3555</v>
      </c>
      <c r="F41" s="3417" t="s">
        <v>3858</v>
      </c>
      <c r="G41" s="3417" t="s">
        <v>3858</v>
      </c>
      <c r="H41" s="3417" t="s">
        <v>3569</v>
      </c>
      <c r="I41" s="3417">
        <v>45954.22</v>
      </c>
      <c r="J41" s="3417">
        <v>91908.44</v>
      </c>
      <c r="K41" s="3417" t="s">
        <v>3433</v>
      </c>
      <c r="L41" s="3417" t="s">
        <v>3433</v>
      </c>
      <c r="M41" s="3417">
        <v>0</v>
      </c>
      <c r="N41" s="3417">
        <v>0</v>
      </c>
      <c r="O41" s="3417" t="s">
        <v>3429</v>
      </c>
      <c r="P41" s="3417" t="s">
        <v>3666</v>
      </c>
      <c r="Q41" s="3417" t="s">
        <v>3543</v>
      </c>
      <c r="R41" s="3417" t="s">
        <v>3431</v>
      </c>
      <c r="S41" s="3417" t="s">
        <v>3631</v>
      </c>
      <c r="T41" s="3417">
        <v>2</v>
      </c>
      <c r="U41" s="3417" t="s">
        <v>3433</v>
      </c>
      <c r="V41" s="3417">
        <v>0.3</v>
      </c>
      <c r="W41" s="3417" t="s">
        <v>3859</v>
      </c>
      <c r="X41" s="3417" t="s">
        <v>3458</v>
      </c>
      <c r="Y41" s="3417" t="s">
        <v>3433</v>
      </c>
      <c r="Z41" s="3417" t="s">
        <v>3459</v>
      </c>
      <c r="AA41" s="3417" t="s">
        <v>3850</v>
      </c>
      <c r="AB41" s="3417" t="s">
        <v>3433</v>
      </c>
      <c r="AC41" s="3417" t="s">
        <v>3433</v>
      </c>
      <c r="AD41" s="3417" t="s">
        <v>3851</v>
      </c>
      <c r="AE41" s="3417" t="s">
        <v>3852</v>
      </c>
      <c r="AF41" s="3417" t="s">
        <v>3853</v>
      </c>
      <c r="AG41" s="3417" t="s">
        <v>3853</v>
      </c>
      <c r="AH41" s="3417" t="s">
        <v>3442</v>
      </c>
      <c r="AI41" s="3417" t="s">
        <v>3479</v>
      </c>
      <c r="AJ41" s="3417" t="s">
        <v>3659</v>
      </c>
      <c r="AK41" s="3417" t="s">
        <v>3660</v>
      </c>
      <c r="AL41" s="3417" t="s">
        <v>3465</v>
      </c>
      <c r="AM41" s="3417" t="s">
        <v>3433</v>
      </c>
      <c r="AN41" s="3417">
        <v>250000</v>
      </c>
      <c r="AO41" s="3417">
        <v>50000</v>
      </c>
      <c r="AP41" s="3417" t="s">
        <v>3433</v>
      </c>
      <c r="AQ41" s="3417">
        <v>287500</v>
      </c>
      <c r="AR41" s="3417">
        <v>54401.97</v>
      </c>
      <c r="AS41" s="3417">
        <v>62562.26</v>
      </c>
      <c r="AT41" s="3417">
        <v>3626.8</v>
      </c>
      <c r="AU41" s="3417">
        <v>4170.82</v>
      </c>
      <c r="AV41" s="3417">
        <v>27201</v>
      </c>
      <c r="AW41" s="3417">
        <v>31281</v>
      </c>
      <c r="AX41" s="3417" t="s">
        <v>3433</v>
      </c>
      <c r="AY41" s="3417" t="s">
        <v>3433</v>
      </c>
      <c r="AZ41" s="3417">
        <v>15</v>
      </c>
      <c r="BA41" s="3417">
        <v>287500</v>
      </c>
      <c r="BB41" s="3417" t="s">
        <v>3635</v>
      </c>
      <c r="BC41" s="3417">
        <v>59000</v>
      </c>
      <c r="BD41" s="3417">
        <v>59000</v>
      </c>
      <c r="BE41" s="3417">
        <v>31281</v>
      </c>
      <c r="BF41" s="3417">
        <v>15</v>
      </c>
      <c r="BG41" s="3417">
        <v>27718</v>
      </c>
      <c r="BH41" s="3417" t="s">
        <v>3502</v>
      </c>
      <c r="BI41" s="3417" t="s">
        <v>3860</v>
      </c>
      <c r="BJ41" s="3417" t="s">
        <v>3325</v>
      </c>
      <c r="BK41" s="3417" t="s">
        <v>3861</v>
      </c>
      <c r="BL41" s="3417" t="s">
        <v>3433</v>
      </c>
      <c r="BM41" s="3417" t="s">
        <v>3433</v>
      </c>
    </row>
    <row r="42" spans="1:65" hidden="1">
      <c r="A42" s="3417" t="s">
        <v>3862</v>
      </c>
      <c r="B42" s="3417" t="s">
        <v>3424</v>
      </c>
      <c r="C42" s="3417" t="s">
        <v>1465</v>
      </c>
      <c r="D42" s="3417" t="s">
        <v>3505</v>
      </c>
      <c r="E42" s="3417" t="s">
        <v>3506</v>
      </c>
      <c r="F42" s="3417" t="s">
        <v>3863</v>
      </c>
      <c r="G42" s="3417" t="s">
        <v>3863</v>
      </c>
      <c r="H42" s="3417" t="s">
        <v>3864</v>
      </c>
      <c r="I42" s="3417">
        <v>57292.65</v>
      </c>
      <c r="J42" s="3417">
        <v>134221.63</v>
      </c>
      <c r="K42" s="3417" t="s">
        <v>3433</v>
      </c>
      <c r="L42" s="3417" t="s">
        <v>3433</v>
      </c>
      <c r="M42" s="3417">
        <v>0</v>
      </c>
      <c r="N42" s="3417">
        <v>0</v>
      </c>
      <c r="O42" s="3417" t="s">
        <v>3490</v>
      </c>
      <c r="P42" s="3417" t="s">
        <v>3491</v>
      </c>
      <c r="Q42" s="3417" t="s">
        <v>3492</v>
      </c>
      <c r="R42" s="3417" t="s">
        <v>3837</v>
      </c>
      <c r="S42" s="3417" t="s">
        <v>3865</v>
      </c>
      <c r="T42" s="3417">
        <v>2.5</v>
      </c>
      <c r="U42" s="3417" t="s">
        <v>3433</v>
      </c>
      <c r="V42" s="3417" t="s">
        <v>3433</v>
      </c>
      <c r="W42" s="3417" t="s">
        <v>3866</v>
      </c>
      <c r="X42" s="3417" t="s">
        <v>3458</v>
      </c>
      <c r="Y42" s="3417" t="s">
        <v>3433</v>
      </c>
      <c r="Z42" s="3417" t="s">
        <v>3459</v>
      </c>
      <c r="AA42" s="3417" t="s">
        <v>3436</v>
      </c>
      <c r="AB42" s="3417" t="s">
        <v>3433</v>
      </c>
      <c r="AC42" s="3417" t="s">
        <v>3433</v>
      </c>
      <c r="AD42" s="3417" t="s">
        <v>3867</v>
      </c>
      <c r="AE42" s="3417" t="s">
        <v>3868</v>
      </c>
      <c r="AF42" s="3417" t="s">
        <v>3869</v>
      </c>
      <c r="AG42" s="3417" t="s">
        <v>3869</v>
      </c>
      <c r="AH42" s="3417" t="s">
        <v>3442</v>
      </c>
      <c r="AI42" s="3417" t="s">
        <v>3479</v>
      </c>
      <c r="AJ42" s="3417" t="s">
        <v>3870</v>
      </c>
      <c r="AK42" s="3417" t="s">
        <v>3871</v>
      </c>
      <c r="AL42" s="3417" t="s">
        <v>3465</v>
      </c>
      <c r="AM42" s="3417" t="s">
        <v>3433</v>
      </c>
      <c r="AN42" s="3417">
        <v>470000</v>
      </c>
      <c r="AO42" s="3417">
        <v>94000</v>
      </c>
      <c r="AP42" s="3417" t="s">
        <v>3872</v>
      </c>
      <c r="AQ42" s="3417">
        <v>540500</v>
      </c>
      <c r="AR42" s="3417">
        <v>82034.95</v>
      </c>
      <c r="AS42" s="3417">
        <v>94340.19</v>
      </c>
      <c r="AT42" s="3417">
        <v>5469</v>
      </c>
      <c r="AU42" s="3417">
        <v>6289.35</v>
      </c>
      <c r="AV42" s="3417">
        <v>35017</v>
      </c>
      <c r="AW42" s="3417">
        <v>40269</v>
      </c>
      <c r="AX42" s="3417" t="s">
        <v>3433</v>
      </c>
      <c r="AY42" s="3417" t="s">
        <v>3433</v>
      </c>
      <c r="AZ42" s="3417">
        <v>15</v>
      </c>
      <c r="BA42" s="3417">
        <v>540500</v>
      </c>
      <c r="BB42" s="3417" t="s">
        <v>3635</v>
      </c>
      <c r="BC42" s="3417">
        <v>66000</v>
      </c>
      <c r="BD42" s="3417">
        <v>66000</v>
      </c>
      <c r="BE42" s="3417">
        <v>40269</v>
      </c>
      <c r="BF42" s="3417">
        <v>15</v>
      </c>
      <c r="BG42" s="3417">
        <v>24417</v>
      </c>
      <c r="BH42" s="3417" t="s">
        <v>3519</v>
      </c>
      <c r="BI42" s="3417" t="s">
        <v>3873</v>
      </c>
      <c r="BJ42" s="3417" t="s">
        <v>3325</v>
      </c>
      <c r="BK42" s="3417" t="s">
        <v>3508</v>
      </c>
      <c r="BL42" s="3420">
        <v>45161.000497685185</v>
      </c>
      <c r="BM42" s="3417">
        <v>540500</v>
      </c>
    </row>
    <row r="43" spans="1:65" hidden="1">
      <c r="A43" s="3417" t="s">
        <v>3874</v>
      </c>
      <c r="B43" s="3417" t="s">
        <v>3424</v>
      </c>
      <c r="C43" s="3417" t="s">
        <v>1465</v>
      </c>
      <c r="D43" s="3417" t="s">
        <v>3521</v>
      </c>
      <c r="E43" s="3417" t="s">
        <v>3664</v>
      </c>
      <c r="F43" s="3417" t="s">
        <v>3875</v>
      </c>
      <c r="G43" s="3417" t="s">
        <v>3875</v>
      </c>
      <c r="H43" s="3417" t="s">
        <v>3876</v>
      </c>
      <c r="I43" s="3417">
        <v>63203.19</v>
      </c>
      <c r="J43" s="3417">
        <v>107665.74</v>
      </c>
      <c r="K43" s="3417" t="s">
        <v>3433</v>
      </c>
      <c r="L43" s="3417" t="s">
        <v>3433</v>
      </c>
      <c r="M43" s="3417">
        <v>0</v>
      </c>
      <c r="N43" s="3417">
        <v>0</v>
      </c>
      <c r="O43" s="3417" t="s">
        <v>3490</v>
      </c>
      <c r="P43" s="3417" t="s">
        <v>3491</v>
      </c>
      <c r="Q43" s="3417" t="s">
        <v>3492</v>
      </c>
      <c r="R43" s="3417" t="s">
        <v>3837</v>
      </c>
      <c r="S43" s="3417" t="s">
        <v>3877</v>
      </c>
      <c r="T43" s="3417">
        <v>1.8</v>
      </c>
      <c r="U43" s="3417" t="s">
        <v>3433</v>
      </c>
      <c r="V43" s="3417">
        <v>0.3</v>
      </c>
      <c r="W43" s="3417" t="s">
        <v>3433</v>
      </c>
      <c r="X43" s="3417" t="s">
        <v>3458</v>
      </c>
      <c r="Y43" s="3417" t="s">
        <v>3433</v>
      </c>
      <c r="Z43" s="3417" t="s">
        <v>3459</v>
      </c>
      <c r="AA43" s="3417" t="s">
        <v>3475</v>
      </c>
      <c r="AB43" s="3417" t="s">
        <v>3433</v>
      </c>
      <c r="AC43" s="3417" t="s">
        <v>3433</v>
      </c>
      <c r="AD43" s="3417" t="s">
        <v>3867</v>
      </c>
      <c r="AE43" s="3417" t="s">
        <v>3868</v>
      </c>
      <c r="AF43" s="3417" t="s">
        <v>3869</v>
      </c>
      <c r="AG43" s="3417" t="s">
        <v>3869</v>
      </c>
      <c r="AH43" s="3417" t="s">
        <v>3442</v>
      </c>
      <c r="AI43" s="3417" t="s">
        <v>3479</v>
      </c>
      <c r="AJ43" s="3417" t="s">
        <v>3878</v>
      </c>
      <c r="AK43" s="3417" t="s">
        <v>3879</v>
      </c>
      <c r="AL43" s="3417" t="s">
        <v>3446</v>
      </c>
      <c r="AM43" s="3417" t="s">
        <v>3433</v>
      </c>
      <c r="AN43" s="3417">
        <v>227000</v>
      </c>
      <c r="AO43" s="3417">
        <v>46000</v>
      </c>
      <c r="AP43" s="3417" t="s">
        <v>3872</v>
      </c>
      <c r="AQ43" s="3417">
        <v>228200</v>
      </c>
      <c r="AR43" s="3417">
        <v>35915.910000000003</v>
      </c>
      <c r="AS43" s="3417">
        <v>36105.769999999997</v>
      </c>
      <c r="AT43" s="3417">
        <v>2394.39</v>
      </c>
      <c r="AU43" s="3417">
        <v>2407.0500000000002</v>
      </c>
      <c r="AV43" s="3417">
        <v>21084</v>
      </c>
      <c r="AW43" s="3417">
        <v>21195</v>
      </c>
      <c r="AX43" s="3417" t="s">
        <v>3433</v>
      </c>
      <c r="AY43" s="3417" t="s">
        <v>3433</v>
      </c>
      <c r="AZ43" s="3417">
        <v>0.53</v>
      </c>
      <c r="BA43" s="3417">
        <v>261050</v>
      </c>
      <c r="BB43" s="3417" t="s">
        <v>3448</v>
      </c>
      <c r="BC43" s="3417">
        <v>46000</v>
      </c>
      <c r="BD43" s="3417">
        <v>46000</v>
      </c>
      <c r="BE43" s="3417">
        <v>24246</v>
      </c>
      <c r="BF43" s="3417">
        <v>15</v>
      </c>
      <c r="BG43" s="3417">
        <v>22738</v>
      </c>
      <c r="BH43" s="3417" t="s">
        <v>3502</v>
      </c>
      <c r="BI43" s="3417" t="s">
        <v>3880</v>
      </c>
      <c r="BJ43" s="3417" t="s">
        <v>3325</v>
      </c>
      <c r="BK43" s="3417" t="s">
        <v>3586</v>
      </c>
      <c r="BL43" s="3420">
        <v>45161.000497685185</v>
      </c>
      <c r="BM43" s="3417">
        <v>228200</v>
      </c>
    </row>
    <row r="44" spans="1:65" hidden="1">
      <c r="A44" s="3417" t="s">
        <v>3881</v>
      </c>
      <c r="B44" s="3417" t="s">
        <v>3424</v>
      </c>
      <c r="C44" s="3417" t="s">
        <v>1465</v>
      </c>
      <c r="D44" s="3417" t="s">
        <v>3882</v>
      </c>
      <c r="E44" s="3417" t="s">
        <v>3883</v>
      </c>
      <c r="F44" s="3417" t="s">
        <v>3884</v>
      </c>
      <c r="G44" s="3417" t="s">
        <v>3884</v>
      </c>
      <c r="H44" s="3417" t="s">
        <v>3885</v>
      </c>
      <c r="I44" s="3417">
        <v>39059.79</v>
      </c>
      <c r="J44" s="3417">
        <v>46871.74</v>
      </c>
      <c r="K44" s="3417" t="s">
        <v>3433</v>
      </c>
      <c r="L44" s="3417" t="s">
        <v>3433</v>
      </c>
      <c r="M44" s="3417">
        <v>0</v>
      </c>
      <c r="N44" s="3417">
        <v>0</v>
      </c>
      <c r="O44" s="3417" t="s">
        <v>3429</v>
      </c>
      <c r="P44" s="3417" t="s">
        <v>3666</v>
      </c>
      <c r="Q44" s="3417" t="s">
        <v>3543</v>
      </c>
      <c r="R44" s="3417" t="s">
        <v>3431</v>
      </c>
      <c r="S44" s="3417" t="s">
        <v>3886</v>
      </c>
      <c r="T44" s="3417">
        <v>1.2</v>
      </c>
      <c r="U44" s="3417" t="s">
        <v>3433</v>
      </c>
      <c r="V44" s="3417" t="s">
        <v>3433</v>
      </c>
      <c r="W44" s="3417">
        <v>36</v>
      </c>
      <c r="X44" s="3417" t="s">
        <v>3458</v>
      </c>
      <c r="Y44" s="3417" t="s">
        <v>3433</v>
      </c>
      <c r="Z44" s="3417" t="s">
        <v>3459</v>
      </c>
      <c r="AA44" s="3417" t="s">
        <v>3475</v>
      </c>
      <c r="AB44" s="3417" t="s">
        <v>3433</v>
      </c>
      <c r="AC44" s="3417" t="s">
        <v>3433</v>
      </c>
      <c r="AD44" s="3417" t="s">
        <v>3887</v>
      </c>
      <c r="AE44" s="3417" t="s">
        <v>3888</v>
      </c>
      <c r="AF44" s="3417" t="s">
        <v>3851</v>
      </c>
      <c r="AG44" s="3417" t="s">
        <v>3851</v>
      </c>
      <c r="AH44" s="3417" t="s">
        <v>3442</v>
      </c>
      <c r="AI44" s="3417" t="s">
        <v>3479</v>
      </c>
      <c r="AJ44" s="3417" t="s">
        <v>3889</v>
      </c>
      <c r="AK44" s="3417" t="s">
        <v>3889</v>
      </c>
      <c r="AL44" s="3417" t="s">
        <v>3534</v>
      </c>
      <c r="AM44" s="3417" t="s">
        <v>3433</v>
      </c>
      <c r="AN44" s="3417">
        <v>49000</v>
      </c>
      <c r="AO44" s="3417">
        <v>10000</v>
      </c>
      <c r="AP44" s="3417" t="s">
        <v>3890</v>
      </c>
      <c r="AQ44" s="3417">
        <v>49000</v>
      </c>
      <c r="AR44" s="3417">
        <v>12544.87</v>
      </c>
      <c r="AS44" s="3417">
        <v>12544.87</v>
      </c>
      <c r="AT44" s="3417">
        <v>836.32</v>
      </c>
      <c r="AU44" s="3417">
        <v>836.32</v>
      </c>
      <c r="AV44" s="3417">
        <v>10454</v>
      </c>
      <c r="AW44" s="3417">
        <v>10454</v>
      </c>
      <c r="AX44" s="3417" t="s">
        <v>3433</v>
      </c>
      <c r="AY44" s="3417" t="s">
        <v>3433</v>
      </c>
      <c r="AZ44" s="3417">
        <v>0</v>
      </c>
      <c r="BA44" s="3417">
        <v>56350</v>
      </c>
      <c r="BB44" s="3417" t="s">
        <v>3448</v>
      </c>
      <c r="BC44" s="3417">
        <v>32000</v>
      </c>
      <c r="BD44" s="3417">
        <v>32000</v>
      </c>
      <c r="BE44" s="3417">
        <v>12022</v>
      </c>
      <c r="BF44" s="3417">
        <v>15</v>
      </c>
      <c r="BG44" s="3417">
        <v>21545</v>
      </c>
      <c r="BH44" s="3417" t="s">
        <v>3786</v>
      </c>
      <c r="BI44" s="3417" t="s">
        <v>3891</v>
      </c>
      <c r="BJ44" s="3417" t="s">
        <v>3325</v>
      </c>
      <c r="BK44" s="3417" t="s">
        <v>3892</v>
      </c>
      <c r="BL44" s="3420">
        <v>45136.000497685185</v>
      </c>
      <c r="BM44" s="3417">
        <v>49000</v>
      </c>
    </row>
    <row r="45" spans="1:65" s="3418" customFormat="1" hidden="1">
      <c r="A45" s="3418" t="s">
        <v>3893</v>
      </c>
      <c r="B45" s="3418" t="s">
        <v>3424</v>
      </c>
      <c r="C45" s="3418" t="s">
        <v>1465</v>
      </c>
      <c r="D45" s="3418" t="s">
        <v>3538</v>
      </c>
      <c r="E45" s="3418" t="s">
        <v>3894</v>
      </c>
      <c r="F45" s="3418" t="s">
        <v>3895</v>
      </c>
      <c r="G45" s="3418" t="s">
        <v>3895</v>
      </c>
      <c r="H45" s="3418" t="s">
        <v>3896</v>
      </c>
      <c r="I45" s="3418">
        <v>31558.240000000002</v>
      </c>
      <c r="J45" s="3418">
        <v>88363.07</v>
      </c>
      <c r="K45" s="3418" t="s">
        <v>3433</v>
      </c>
      <c r="L45" s="3418" t="s">
        <v>3433</v>
      </c>
      <c r="M45" s="3418">
        <v>0</v>
      </c>
      <c r="N45" s="3418">
        <v>0</v>
      </c>
      <c r="O45" s="3418" t="s">
        <v>3429</v>
      </c>
      <c r="P45" s="3418" t="s">
        <v>3666</v>
      </c>
      <c r="Q45" s="3418" t="s">
        <v>3543</v>
      </c>
      <c r="R45" s="3418" t="s">
        <v>3431</v>
      </c>
      <c r="S45" s="3418" t="s">
        <v>3897</v>
      </c>
      <c r="T45" s="3418">
        <v>2.8</v>
      </c>
      <c r="U45" s="3418" t="s">
        <v>3433</v>
      </c>
      <c r="V45" s="3418" t="s">
        <v>3433</v>
      </c>
      <c r="W45" s="3418">
        <v>60</v>
      </c>
      <c r="X45" s="3418" t="s">
        <v>3458</v>
      </c>
      <c r="Y45" s="3418" t="s">
        <v>3433</v>
      </c>
      <c r="Z45" s="3418" t="s">
        <v>3459</v>
      </c>
      <c r="AA45" s="3418" t="s">
        <v>3475</v>
      </c>
      <c r="AB45" s="3418" t="s">
        <v>3433</v>
      </c>
      <c r="AC45" s="3418" t="s">
        <v>3433</v>
      </c>
      <c r="AD45" s="3418" t="s">
        <v>3887</v>
      </c>
      <c r="AE45" s="3418" t="s">
        <v>3888</v>
      </c>
      <c r="AF45" s="3418" t="s">
        <v>3851</v>
      </c>
      <c r="AG45" s="3418" t="s">
        <v>3851</v>
      </c>
      <c r="AH45" s="3418" t="s">
        <v>3442</v>
      </c>
      <c r="AI45" s="3418" t="s">
        <v>3479</v>
      </c>
      <c r="AJ45" s="3418" t="s">
        <v>3633</v>
      </c>
      <c r="AK45" s="3418" t="s">
        <v>3550</v>
      </c>
      <c r="AL45" s="3418" t="s">
        <v>3446</v>
      </c>
      <c r="AM45" s="3418" t="s">
        <v>3482</v>
      </c>
      <c r="AN45" s="3418">
        <v>88100</v>
      </c>
      <c r="AO45" s="3418">
        <v>18000</v>
      </c>
      <c r="AP45" s="3418" t="s">
        <v>3890</v>
      </c>
      <c r="AQ45" s="3418">
        <v>88100</v>
      </c>
      <c r="AR45" s="3418">
        <v>27916.63</v>
      </c>
      <c r="AS45" s="3418">
        <v>27916.63</v>
      </c>
      <c r="AT45" s="3418">
        <v>1861.11</v>
      </c>
      <c r="AU45" s="3418">
        <v>1861.11</v>
      </c>
      <c r="AV45" s="3418">
        <v>9970</v>
      </c>
      <c r="AW45" s="3418">
        <v>9970</v>
      </c>
      <c r="AX45" s="3418" t="s">
        <v>3433</v>
      </c>
      <c r="AY45" s="3418" t="s">
        <v>3433</v>
      </c>
      <c r="AZ45" s="3418">
        <v>0</v>
      </c>
      <c r="BA45" s="3418">
        <v>101315</v>
      </c>
      <c r="BB45" s="3418" t="s">
        <v>3448</v>
      </c>
      <c r="BC45" s="3418">
        <v>27000</v>
      </c>
      <c r="BD45" s="3418">
        <v>27000</v>
      </c>
      <c r="BE45" s="3418">
        <v>11466</v>
      </c>
      <c r="BF45" s="3418">
        <v>15</v>
      </c>
      <c r="BG45" s="3418">
        <v>17029</v>
      </c>
      <c r="BH45" s="3418" t="s">
        <v>3786</v>
      </c>
      <c r="BI45" s="3418" t="s">
        <v>3898</v>
      </c>
      <c r="BJ45" s="3418" t="s">
        <v>3325</v>
      </c>
      <c r="BK45" s="3418" t="s">
        <v>3896</v>
      </c>
      <c r="BL45" s="3419">
        <v>45136.000497685185</v>
      </c>
      <c r="BM45" s="3418">
        <v>88100</v>
      </c>
    </row>
    <row r="46" spans="1:65" hidden="1">
      <c r="A46" s="3417" t="s">
        <v>3899</v>
      </c>
      <c r="B46" s="3417" t="s">
        <v>3424</v>
      </c>
      <c r="C46" s="3417" t="s">
        <v>1465</v>
      </c>
      <c r="D46" s="3417" t="s">
        <v>3505</v>
      </c>
      <c r="E46" s="3417" t="s">
        <v>3567</v>
      </c>
      <c r="F46" s="3417" t="s">
        <v>3900</v>
      </c>
      <c r="G46" s="3417" t="s">
        <v>3900</v>
      </c>
      <c r="H46" s="3417" t="s">
        <v>3569</v>
      </c>
      <c r="I46" s="3417">
        <v>27822.39</v>
      </c>
      <c r="J46" s="3417">
        <v>44515.82</v>
      </c>
      <c r="K46" s="3417" t="s">
        <v>3433</v>
      </c>
      <c r="L46" s="3417" t="s">
        <v>3433</v>
      </c>
      <c r="M46" s="3417">
        <v>0</v>
      </c>
      <c r="N46" s="3417">
        <v>0</v>
      </c>
      <c r="O46" s="3417" t="s">
        <v>3429</v>
      </c>
      <c r="P46" s="3417" t="s">
        <v>3430</v>
      </c>
      <c r="Q46" s="3417" t="s">
        <v>3430</v>
      </c>
      <c r="R46" s="3417" t="s">
        <v>3630</v>
      </c>
      <c r="S46" s="3417" t="s">
        <v>3473</v>
      </c>
      <c r="T46" s="3417">
        <v>1.6</v>
      </c>
      <c r="U46" s="3417" t="s">
        <v>3433</v>
      </c>
      <c r="V46" s="3417" t="s">
        <v>3901</v>
      </c>
      <c r="W46" s="3417">
        <v>45</v>
      </c>
      <c r="X46" s="3417" t="s">
        <v>3458</v>
      </c>
      <c r="Y46" s="3417" t="s">
        <v>3433</v>
      </c>
      <c r="Z46" s="3417" t="s">
        <v>3436</v>
      </c>
      <c r="AA46" s="3417" t="s">
        <v>3437</v>
      </c>
      <c r="AB46" s="3417" t="s">
        <v>3433</v>
      </c>
      <c r="AC46" s="3417" t="s">
        <v>3433</v>
      </c>
      <c r="AD46" s="3417" t="s">
        <v>3902</v>
      </c>
      <c r="AE46" s="3417" t="s">
        <v>3903</v>
      </c>
      <c r="AF46" s="3417" t="s">
        <v>3904</v>
      </c>
      <c r="AG46" s="3417" t="s">
        <v>3904</v>
      </c>
      <c r="AH46" s="3417" t="s">
        <v>3442</v>
      </c>
      <c r="AI46" s="3417" t="s">
        <v>3479</v>
      </c>
      <c r="AJ46" s="3417" t="s">
        <v>3905</v>
      </c>
      <c r="AK46" s="3417" t="s">
        <v>3906</v>
      </c>
      <c r="AL46" s="3417" t="s">
        <v>3907</v>
      </c>
      <c r="AM46" s="3417" t="s">
        <v>3580</v>
      </c>
      <c r="AN46" s="3417">
        <v>100000</v>
      </c>
      <c r="AO46" s="3417">
        <v>20000</v>
      </c>
      <c r="AP46" s="3417" t="s">
        <v>3433</v>
      </c>
      <c r="AQ46" s="3417">
        <v>100000</v>
      </c>
      <c r="AR46" s="3417">
        <v>35942.269999999997</v>
      </c>
      <c r="AS46" s="3417">
        <v>35942.269999999997</v>
      </c>
      <c r="AT46" s="3417">
        <v>2396.15</v>
      </c>
      <c r="AU46" s="3417">
        <v>2396.15</v>
      </c>
      <c r="AV46" s="3417">
        <v>22464</v>
      </c>
      <c r="AW46" s="3417">
        <v>22464</v>
      </c>
      <c r="AX46" s="3417" t="s">
        <v>3433</v>
      </c>
      <c r="AY46" s="3417" t="s">
        <v>3433</v>
      </c>
      <c r="AZ46" s="3417">
        <v>0</v>
      </c>
      <c r="BA46" s="3417">
        <v>115000</v>
      </c>
      <c r="BB46" s="3417" t="s">
        <v>3448</v>
      </c>
      <c r="BC46" s="3417">
        <v>50000</v>
      </c>
      <c r="BD46" s="3417">
        <v>50000</v>
      </c>
      <c r="BE46" s="3417">
        <v>25834</v>
      </c>
      <c r="BF46" s="3417">
        <v>15</v>
      </c>
      <c r="BG46" s="3417">
        <v>27151</v>
      </c>
      <c r="BH46" s="3417" t="s">
        <v>3552</v>
      </c>
      <c r="BI46" s="3417" t="s">
        <v>3908</v>
      </c>
      <c r="BJ46" s="3417" t="s">
        <v>3325</v>
      </c>
      <c r="BK46" s="3417" t="s">
        <v>3909</v>
      </c>
      <c r="BL46" s="3417" t="s">
        <v>3433</v>
      </c>
      <c r="BM46" s="3417" t="s">
        <v>3433</v>
      </c>
    </row>
    <row r="47" spans="1:65" hidden="1">
      <c r="A47" s="3417" t="s">
        <v>3910</v>
      </c>
      <c r="B47" s="3417" t="s">
        <v>3424</v>
      </c>
      <c r="C47" s="3417" t="s">
        <v>1465</v>
      </c>
      <c r="D47" s="3417" t="s">
        <v>3425</v>
      </c>
      <c r="E47" s="3417" t="s">
        <v>3911</v>
      </c>
      <c r="F47" s="3417" t="s">
        <v>3912</v>
      </c>
      <c r="G47" s="3417" t="s">
        <v>3912</v>
      </c>
      <c r="H47" s="3417" t="s">
        <v>3913</v>
      </c>
      <c r="I47" s="3417">
        <v>45880.63</v>
      </c>
      <c r="J47" s="3417">
        <v>100937.39</v>
      </c>
      <c r="K47" s="3417" t="s">
        <v>3433</v>
      </c>
      <c r="L47" s="3417" t="s">
        <v>3433</v>
      </c>
      <c r="M47" s="3417">
        <v>0</v>
      </c>
      <c r="N47" s="3417">
        <v>0</v>
      </c>
      <c r="O47" s="3417" t="s">
        <v>3429</v>
      </c>
      <c r="P47" s="3417" t="s">
        <v>3430</v>
      </c>
      <c r="Q47" s="3417" t="s">
        <v>3430</v>
      </c>
      <c r="R47" s="3417" t="s">
        <v>3630</v>
      </c>
      <c r="S47" s="3417" t="s">
        <v>3432</v>
      </c>
      <c r="T47" s="3417">
        <v>2.2000000000000002</v>
      </c>
      <c r="U47" s="3417" t="s">
        <v>3433</v>
      </c>
      <c r="V47" s="3417" t="s">
        <v>3433</v>
      </c>
      <c r="W47" s="3417" t="s">
        <v>3914</v>
      </c>
      <c r="X47" s="3417" t="s">
        <v>3458</v>
      </c>
      <c r="Y47" s="3417" t="s">
        <v>3433</v>
      </c>
      <c r="Z47" s="3417" t="s">
        <v>3436</v>
      </c>
      <c r="AA47" s="3417" t="s">
        <v>3437</v>
      </c>
      <c r="AB47" s="3417" t="s">
        <v>3433</v>
      </c>
      <c r="AC47" s="3417" t="s">
        <v>3433</v>
      </c>
      <c r="AD47" s="3417" t="s">
        <v>3902</v>
      </c>
      <c r="AE47" s="3417" t="s">
        <v>3903</v>
      </c>
      <c r="AF47" s="3417" t="s">
        <v>3904</v>
      </c>
      <c r="AG47" s="3417" t="s">
        <v>3904</v>
      </c>
      <c r="AH47" s="3417" t="s">
        <v>3442</v>
      </c>
      <c r="AI47" s="3417" t="s">
        <v>3479</v>
      </c>
      <c r="AJ47" s="3417" t="s">
        <v>3915</v>
      </c>
      <c r="AK47" s="3417" t="s">
        <v>3916</v>
      </c>
      <c r="AL47" s="3417" t="s">
        <v>3446</v>
      </c>
      <c r="AM47" s="3417" t="s">
        <v>3482</v>
      </c>
      <c r="AN47" s="3417">
        <v>259000</v>
      </c>
      <c r="AO47" s="3417">
        <v>52000</v>
      </c>
      <c r="AP47" s="3417" t="s">
        <v>3433</v>
      </c>
      <c r="AQ47" s="3417">
        <v>259000</v>
      </c>
      <c r="AR47" s="3417">
        <v>56450.83</v>
      </c>
      <c r="AS47" s="3417">
        <v>56450.83</v>
      </c>
      <c r="AT47" s="3417">
        <v>3763.39</v>
      </c>
      <c r="AU47" s="3417">
        <v>3763.39</v>
      </c>
      <c r="AV47" s="3417">
        <v>25659</v>
      </c>
      <c r="AW47" s="3417">
        <v>25659</v>
      </c>
      <c r="AX47" s="3417" t="s">
        <v>3433</v>
      </c>
      <c r="AY47" s="3417" t="s">
        <v>3433</v>
      </c>
      <c r="AZ47" s="3417">
        <v>0</v>
      </c>
      <c r="BA47" s="3417">
        <v>297850</v>
      </c>
      <c r="BB47" s="3417" t="s">
        <v>3448</v>
      </c>
      <c r="BC47" s="3417">
        <v>55000</v>
      </c>
      <c r="BD47" s="3417">
        <v>55000</v>
      </c>
      <c r="BE47" s="3417">
        <v>29508</v>
      </c>
      <c r="BF47" s="3417">
        <v>15</v>
      </c>
      <c r="BG47" s="3417">
        <v>29340</v>
      </c>
      <c r="BH47" s="3417" t="s">
        <v>3519</v>
      </c>
      <c r="BI47" s="3417" t="s">
        <v>3433</v>
      </c>
      <c r="BJ47" s="3417" t="s">
        <v>3325</v>
      </c>
      <c r="BK47" s="3417" t="s">
        <v>3917</v>
      </c>
      <c r="BL47" s="3417" t="s">
        <v>3433</v>
      </c>
      <c r="BM47" s="3417" t="s">
        <v>3433</v>
      </c>
    </row>
    <row r="48" spans="1:65" hidden="1">
      <c r="A48" s="3417" t="s">
        <v>3918</v>
      </c>
      <c r="B48" s="3417" t="s">
        <v>3424</v>
      </c>
      <c r="C48" s="3417" t="s">
        <v>1465</v>
      </c>
      <c r="D48" s="3417" t="s">
        <v>3425</v>
      </c>
      <c r="E48" s="3417" t="s">
        <v>3919</v>
      </c>
      <c r="F48" s="3417" t="s">
        <v>3920</v>
      </c>
      <c r="G48" s="3417" t="s">
        <v>3920</v>
      </c>
      <c r="H48" s="3417" t="s">
        <v>3921</v>
      </c>
      <c r="I48" s="3417">
        <v>33107.69</v>
      </c>
      <c r="J48" s="3417">
        <v>73704.72</v>
      </c>
      <c r="K48" s="3417" t="s">
        <v>3433</v>
      </c>
      <c r="L48" s="3417" t="s">
        <v>3433</v>
      </c>
      <c r="M48" s="3417">
        <v>0</v>
      </c>
      <c r="N48" s="3417">
        <v>0</v>
      </c>
      <c r="O48" s="3417" t="s">
        <v>3490</v>
      </c>
      <c r="P48" s="3417" t="s">
        <v>3922</v>
      </c>
      <c r="Q48" s="3417" t="s">
        <v>3430</v>
      </c>
      <c r="R48" s="3417" t="s">
        <v>3923</v>
      </c>
      <c r="S48" s="3417" t="s">
        <v>3924</v>
      </c>
      <c r="T48" s="3417">
        <v>2.5</v>
      </c>
      <c r="U48" s="3417" t="s">
        <v>3433</v>
      </c>
      <c r="V48" s="3417" t="s">
        <v>3433</v>
      </c>
      <c r="W48" s="3417" t="s">
        <v>3925</v>
      </c>
      <c r="X48" s="3417" t="s">
        <v>3458</v>
      </c>
      <c r="Y48" s="3417" t="s">
        <v>3433</v>
      </c>
      <c r="Z48" s="3417" t="s">
        <v>3436</v>
      </c>
      <c r="AA48" s="3417" t="s">
        <v>3437</v>
      </c>
      <c r="AB48" s="3417" t="s">
        <v>3433</v>
      </c>
      <c r="AC48" s="3417" t="s">
        <v>3433</v>
      </c>
      <c r="AD48" s="3417" t="s">
        <v>3902</v>
      </c>
      <c r="AE48" s="3417" t="s">
        <v>3903</v>
      </c>
      <c r="AF48" s="3417" t="s">
        <v>3904</v>
      </c>
      <c r="AG48" s="3417" t="s">
        <v>3904</v>
      </c>
      <c r="AH48" s="3417" t="s">
        <v>3442</v>
      </c>
      <c r="AI48" s="3417" t="s">
        <v>3479</v>
      </c>
      <c r="AJ48" s="3417" t="s">
        <v>3926</v>
      </c>
      <c r="AK48" s="3417" t="s">
        <v>3927</v>
      </c>
      <c r="AL48" s="3417" t="s">
        <v>3446</v>
      </c>
      <c r="AM48" s="3417" t="s">
        <v>3433</v>
      </c>
      <c r="AN48" s="3417">
        <v>143000</v>
      </c>
      <c r="AO48" s="3417">
        <v>28600</v>
      </c>
      <c r="AP48" s="3417" t="s">
        <v>3433</v>
      </c>
      <c r="AQ48" s="3417">
        <v>143000</v>
      </c>
      <c r="AR48" s="3417">
        <v>43192.38</v>
      </c>
      <c r="AS48" s="3417">
        <v>43192.38</v>
      </c>
      <c r="AT48" s="3417">
        <v>2879.49</v>
      </c>
      <c r="AU48" s="3417">
        <v>2879.49</v>
      </c>
      <c r="AV48" s="3417">
        <v>19402</v>
      </c>
      <c r="AW48" s="3417">
        <v>19402</v>
      </c>
      <c r="AX48" s="3417" t="s">
        <v>3433</v>
      </c>
      <c r="AY48" s="3417" t="s">
        <v>3433</v>
      </c>
      <c r="AZ48" s="3417">
        <v>0</v>
      </c>
      <c r="BA48" s="3417">
        <v>164450</v>
      </c>
      <c r="BB48" s="3417" t="s">
        <v>3448</v>
      </c>
      <c r="BC48" s="3417">
        <v>62000</v>
      </c>
      <c r="BD48" s="3417">
        <v>62000</v>
      </c>
      <c r="BE48" s="3417">
        <v>22312</v>
      </c>
      <c r="BF48" s="3417">
        <v>15</v>
      </c>
      <c r="BG48" s="3417">
        <v>21784</v>
      </c>
      <c r="BH48" s="3417" t="s">
        <v>3519</v>
      </c>
      <c r="BI48" s="3417" t="s">
        <v>3928</v>
      </c>
      <c r="BJ48" s="3417" t="s">
        <v>3325</v>
      </c>
      <c r="BK48" s="3417" t="s">
        <v>3929</v>
      </c>
      <c r="BL48" s="3417" t="s">
        <v>3433</v>
      </c>
      <c r="BM48" s="3417" t="s">
        <v>3433</v>
      </c>
    </row>
    <row r="49" spans="1:65" hidden="1">
      <c r="A49" s="3417" t="s">
        <v>3930</v>
      </c>
      <c r="B49" s="3417" t="s">
        <v>3424</v>
      </c>
      <c r="C49" s="3417" t="s">
        <v>1465</v>
      </c>
      <c r="D49" s="3417" t="s">
        <v>3505</v>
      </c>
      <c r="E49" s="3417" t="s">
        <v>3931</v>
      </c>
      <c r="F49" s="3417" t="s">
        <v>3932</v>
      </c>
      <c r="G49" s="3417" t="s">
        <v>3932</v>
      </c>
      <c r="H49" s="3417" t="s">
        <v>3933</v>
      </c>
      <c r="I49" s="3417">
        <v>77391.100000000006</v>
      </c>
      <c r="J49" s="3417">
        <v>177999.53</v>
      </c>
      <c r="K49" s="3417" t="s">
        <v>3433</v>
      </c>
      <c r="L49" s="3417" t="s">
        <v>3433</v>
      </c>
      <c r="M49" s="3417">
        <v>0</v>
      </c>
      <c r="N49" s="3417">
        <v>0</v>
      </c>
      <c r="O49" s="3417" t="s">
        <v>3429</v>
      </c>
      <c r="P49" s="3417" t="s">
        <v>3666</v>
      </c>
      <c r="Q49" s="3417" t="s">
        <v>3543</v>
      </c>
      <c r="R49" s="3417" t="s">
        <v>3431</v>
      </c>
      <c r="S49" s="3417" t="s">
        <v>3934</v>
      </c>
      <c r="T49" s="3417">
        <v>2.2999999999999998</v>
      </c>
      <c r="U49" s="3417" t="s">
        <v>3433</v>
      </c>
      <c r="V49" s="3417" t="s">
        <v>3935</v>
      </c>
      <c r="W49" s="3417" t="s">
        <v>3936</v>
      </c>
      <c r="X49" s="3417" t="s">
        <v>3458</v>
      </c>
      <c r="Y49" s="3417" t="s">
        <v>3433</v>
      </c>
      <c r="Z49" s="3417" t="s">
        <v>3459</v>
      </c>
      <c r="AA49" s="3417" t="s">
        <v>3937</v>
      </c>
      <c r="AB49" s="3417" t="s">
        <v>3433</v>
      </c>
      <c r="AC49" s="3417" t="s">
        <v>3433</v>
      </c>
      <c r="AD49" s="3417" t="s">
        <v>3938</v>
      </c>
      <c r="AE49" s="3417" t="s">
        <v>3939</v>
      </c>
      <c r="AF49" s="3417" t="s">
        <v>3940</v>
      </c>
      <c r="AG49" s="3417" t="s">
        <v>3940</v>
      </c>
      <c r="AH49" s="3417" t="s">
        <v>3442</v>
      </c>
      <c r="AI49" s="3417" t="s">
        <v>3479</v>
      </c>
      <c r="AJ49" s="3417" t="s">
        <v>3941</v>
      </c>
      <c r="AK49" s="3417" t="s">
        <v>3942</v>
      </c>
      <c r="AL49" s="3417" t="s">
        <v>3446</v>
      </c>
      <c r="AM49" s="3417" t="s">
        <v>3482</v>
      </c>
      <c r="AN49" s="3417">
        <v>688000</v>
      </c>
      <c r="AO49" s="3417">
        <v>138000</v>
      </c>
      <c r="AP49" s="3417" t="s">
        <v>3433</v>
      </c>
      <c r="AQ49" s="3417">
        <v>791200</v>
      </c>
      <c r="AR49" s="3417">
        <v>88899.11</v>
      </c>
      <c r="AS49" s="3417">
        <v>102233.98</v>
      </c>
      <c r="AT49" s="3417">
        <v>5926.61</v>
      </c>
      <c r="AU49" s="3417">
        <v>6815.6</v>
      </c>
      <c r="AV49" s="3417">
        <v>38652</v>
      </c>
      <c r="AW49" s="3417">
        <v>44450</v>
      </c>
      <c r="AX49" s="3417" t="s">
        <v>3433</v>
      </c>
      <c r="AY49" s="3417" t="s">
        <v>3433</v>
      </c>
      <c r="AZ49" s="3417">
        <v>15</v>
      </c>
      <c r="BA49" s="3417">
        <v>791200</v>
      </c>
      <c r="BB49" s="3417" t="s">
        <v>3635</v>
      </c>
      <c r="BC49" s="3417">
        <v>77000</v>
      </c>
      <c r="BD49" s="3417">
        <v>77000</v>
      </c>
      <c r="BE49" s="3417">
        <v>44450</v>
      </c>
      <c r="BF49" s="3417">
        <v>15</v>
      </c>
      <c r="BG49" s="3417">
        <v>31878</v>
      </c>
      <c r="BH49" s="3417" t="s">
        <v>3502</v>
      </c>
      <c r="BI49" s="3417" t="s">
        <v>3943</v>
      </c>
      <c r="BJ49" s="3417" t="s">
        <v>3325</v>
      </c>
      <c r="BK49" s="3417" t="s">
        <v>3944</v>
      </c>
      <c r="BL49" s="3417" t="s">
        <v>3433</v>
      </c>
      <c r="BM49" s="3417" t="s">
        <v>3433</v>
      </c>
    </row>
    <row r="50" spans="1:65" hidden="1">
      <c r="A50" s="3417" t="s">
        <v>3945</v>
      </c>
      <c r="B50" s="3417" t="s">
        <v>3424</v>
      </c>
      <c r="C50" s="3417" t="s">
        <v>1465</v>
      </c>
      <c r="D50" s="3417" t="s">
        <v>3521</v>
      </c>
      <c r="E50" s="3417" t="s">
        <v>3946</v>
      </c>
      <c r="F50" s="3417" t="s">
        <v>3947</v>
      </c>
      <c r="G50" s="3417" t="s">
        <v>3947</v>
      </c>
      <c r="H50" s="3417" t="s">
        <v>3948</v>
      </c>
      <c r="I50" s="3417">
        <v>20354.939999999999</v>
      </c>
      <c r="J50" s="3417">
        <v>47549.3</v>
      </c>
      <c r="K50" s="3417" t="s">
        <v>3433</v>
      </c>
      <c r="L50" s="3417" t="s">
        <v>3433</v>
      </c>
      <c r="M50" s="3417">
        <v>0</v>
      </c>
      <c r="N50" s="3417">
        <v>0</v>
      </c>
      <c r="O50" s="3417" t="s">
        <v>3429</v>
      </c>
      <c r="P50" s="3417" t="s">
        <v>3666</v>
      </c>
      <c r="Q50" s="3417" t="s">
        <v>3543</v>
      </c>
      <c r="R50" s="3417" t="s">
        <v>3431</v>
      </c>
      <c r="S50" s="3417" t="s">
        <v>3949</v>
      </c>
      <c r="T50" s="3417">
        <v>2.4</v>
      </c>
      <c r="U50" s="3417" t="s">
        <v>3433</v>
      </c>
      <c r="V50" s="3417">
        <v>0.4</v>
      </c>
      <c r="W50" s="3417">
        <v>45</v>
      </c>
      <c r="X50" s="3417" t="s">
        <v>3458</v>
      </c>
      <c r="Y50" s="3417" t="s">
        <v>3433</v>
      </c>
      <c r="Z50" s="3417" t="s">
        <v>3459</v>
      </c>
      <c r="AA50" s="3417" t="s">
        <v>3850</v>
      </c>
      <c r="AB50" s="3417" t="s">
        <v>3433</v>
      </c>
      <c r="AC50" s="3417" t="s">
        <v>3433</v>
      </c>
      <c r="AD50" s="3417" t="s">
        <v>3950</v>
      </c>
      <c r="AE50" s="3417" t="s">
        <v>3951</v>
      </c>
      <c r="AF50" s="3417" t="s">
        <v>3952</v>
      </c>
      <c r="AG50" s="3417" t="s">
        <v>3952</v>
      </c>
      <c r="AH50" s="3417" t="s">
        <v>3442</v>
      </c>
      <c r="AI50" s="3417" t="s">
        <v>3479</v>
      </c>
      <c r="AJ50" s="3417" t="s">
        <v>3953</v>
      </c>
      <c r="AK50" s="3417" t="s">
        <v>3954</v>
      </c>
      <c r="AL50" s="3417" t="s">
        <v>3534</v>
      </c>
      <c r="AM50" s="3417" t="s">
        <v>3433</v>
      </c>
      <c r="AN50" s="3417">
        <v>96000</v>
      </c>
      <c r="AO50" s="3417">
        <v>20000</v>
      </c>
      <c r="AP50" s="3417" t="s">
        <v>3433</v>
      </c>
      <c r="AQ50" s="3417">
        <v>110400</v>
      </c>
      <c r="AR50" s="3417">
        <v>47163</v>
      </c>
      <c r="AS50" s="3417">
        <v>54237.45</v>
      </c>
      <c r="AT50" s="3417">
        <v>3144.2</v>
      </c>
      <c r="AU50" s="3417">
        <v>3615.83</v>
      </c>
      <c r="AV50" s="3417">
        <v>20190</v>
      </c>
      <c r="AW50" s="3417">
        <v>23218</v>
      </c>
      <c r="AX50" s="3417" t="s">
        <v>3433</v>
      </c>
      <c r="AY50" s="3417" t="s">
        <v>3433</v>
      </c>
      <c r="AZ50" s="3417">
        <v>15</v>
      </c>
      <c r="BA50" s="3417">
        <v>110400</v>
      </c>
      <c r="BB50" s="3417" t="s">
        <v>3635</v>
      </c>
      <c r="BC50" s="3417">
        <v>46000</v>
      </c>
      <c r="BD50" s="3417">
        <v>46000</v>
      </c>
      <c r="BE50" s="3417">
        <v>23218</v>
      </c>
      <c r="BF50" s="3417">
        <v>15</v>
      </c>
      <c r="BG50" s="3417">
        <v>22585</v>
      </c>
      <c r="BH50" s="3417" t="s">
        <v>3502</v>
      </c>
      <c r="BI50" s="3417" t="s">
        <v>3955</v>
      </c>
      <c r="BJ50" s="3417" t="s">
        <v>3325</v>
      </c>
      <c r="BK50" s="3417" t="s">
        <v>3945</v>
      </c>
      <c r="BL50" s="3420">
        <v>45121.000497685185</v>
      </c>
      <c r="BM50" s="3417">
        <v>110400</v>
      </c>
    </row>
    <row r="51" spans="1:65" hidden="1">
      <c r="A51" s="3417" t="s">
        <v>3956</v>
      </c>
      <c r="B51" s="3417" t="s">
        <v>3424</v>
      </c>
      <c r="C51" s="3417" t="s">
        <v>1465</v>
      </c>
      <c r="D51" s="3417" t="s">
        <v>3521</v>
      </c>
      <c r="E51" s="3417" t="s">
        <v>3957</v>
      </c>
      <c r="F51" s="3417" t="s">
        <v>3958</v>
      </c>
      <c r="G51" s="3417" t="s">
        <v>3958</v>
      </c>
      <c r="H51" s="3417" t="s">
        <v>3959</v>
      </c>
      <c r="I51" s="3417">
        <v>34099.22</v>
      </c>
      <c r="J51" s="3417">
        <v>61378.59</v>
      </c>
      <c r="K51" s="3417" t="s">
        <v>3433</v>
      </c>
      <c r="L51" s="3417" t="s">
        <v>3433</v>
      </c>
      <c r="M51" s="3417">
        <v>0</v>
      </c>
      <c r="N51" s="3417">
        <v>0</v>
      </c>
      <c r="O51" s="3417" t="s">
        <v>3429</v>
      </c>
      <c r="P51" s="3417" t="s">
        <v>3666</v>
      </c>
      <c r="Q51" s="3417" t="s">
        <v>3543</v>
      </c>
      <c r="R51" s="3417" t="s">
        <v>3431</v>
      </c>
      <c r="S51" s="3417" t="s">
        <v>3801</v>
      </c>
      <c r="T51" s="3417">
        <v>1.8</v>
      </c>
      <c r="U51" s="3417" t="s">
        <v>3433</v>
      </c>
      <c r="V51" s="3417">
        <v>0.3</v>
      </c>
      <c r="W51" s="3417" t="s">
        <v>3433</v>
      </c>
      <c r="X51" s="3417" t="s">
        <v>3458</v>
      </c>
      <c r="Y51" s="3417" t="s">
        <v>3433</v>
      </c>
      <c r="Z51" s="3417" t="s">
        <v>3459</v>
      </c>
      <c r="AA51" s="3417" t="s">
        <v>3960</v>
      </c>
      <c r="AB51" s="3417" t="s">
        <v>3433</v>
      </c>
      <c r="AC51" s="3417" t="s">
        <v>3433</v>
      </c>
      <c r="AD51" s="3417" t="s">
        <v>3961</v>
      </c>
      <c r="AE51" s="3417" t="s">
        <v>3962</v>
      </c>
      <c r="AF51" s="3417" t="s">
        <v>3963</v>
      </c>
      <c r="AG51" s="3417" t="s">
        <v>3963</v>
      </c>
      <c r="AH51" s="3417" t="s">
        <v>3442</v>
      </c>
      <c r="AI51" s="3417" t="s">
        <v>3479</v>
      </c>
      <c r="AJ51" s="3417" t="s">
        <v>3964</v>
      </c>
      <c r="AK51" s="3417" t="s">
        <v>3965</v>
      </c>
      <c r="AL51" s="3417" t="s">
        <v>3465</v>
      </c>
      <c r="AM51" s="3417" t="s">
        <v>3433</v>
      </c>
      <c r="AN51" s="3417">
        <v>150500</v>
      </c>
      <c r="AO51" s="3417">
        <v>31000</v>
      </c>
      <c r="AP51" s="3417" t="s">
        <v>3966</v>
      </c>
      <c r="AQ51" s="3417">
        <v>173075</v>
      </c>
      <c r="AR51" s="3417">
        <v>44135.9</v>
      </c>
      <c r="AS51" s="3417">
        <v>50756.29</v>
      </c>
      <c r="AT51" s="3417">
        <v>2942.39</v>
      </c>
      <c r="AU51" s="3417">
        <v>3383.75</v>
      </c>
      <c r="AV51" s="3417">
        <v>24520</v>
      </c>
      <c r="AW51" s="3417">
        <v>28198</v>
      </c>
      <c r="AX51" s="3417" t="s">
        <v>3433</v>
      </c>
      <c r="AY51" s="3417" t="s">
        <v>3433</v>
      </c>
      <c r="AZ51" s="3417">
        <v>15</v>
      </c>
      <c r="BA51" s="3417">
        <v>173075</v>
      </c>
      <c r="BB51" s="3417" t="s">
        <v>3635</v>
      </c>
      <c r="BC51" s="3417">
        <v>58000</v>
      </c>
      <c r="BD51" s="3417">
        <v>58000</v>
      </c>
      <c r="BE51" s="3417">
        <v>28198</v>
      </c>
      <c r="BF51" s="3417">
        <v>15</v>
      </c>
      <c r="BG51" s="3417">
        <v>29429</v>
      </c>
      <c r="BH51" s="3417" t="s">
        <v>3519</v>
      </c>
      <c r="BI51" s="3417" t="s">
        <v>3967</v>
      </c>
      <c r="BJ51" s="3417" t="s">
        <v>3325</v>
      </c>
      <c r="BK51" s="3417" t="s">
        <v>3968</v>
      </c>
      <c r="BL51" s="3417" t="s">
        <v>3433</v>
      </c>
      <c r="BM51" s="3417" t="s">
        <v>3433</v>
      </c>
    </row>
    <row r="52" spans="1:65" hidden="1">
      <c r="A52" s="3417" t="s">
        <v>3969</v>
      </c>
      <c r="B52" s="3417" t="s">
        <v>3424</v>
      </c>
      <c r="C52" s="3417" t="s">
        <v>1465</v>
      </c>
      <c r="D52" s="3417" t="s">
        <v>3505</v>
      </c>
      <c r="E52" s="3417" t="s">
        <v>3970</v>
      </c>
      <c r="F52" s="3417" t="s">
        <v>3971</v>
      </c>
      <c r="G52" s="3417" t="s">
        <v>3971</v>
      </c>
      <c r="H52" s="3417" t="s">
        <v>3972</v>
      </c>
      <c r="I52" s="3417">
        <v>43400</v>
      </c>
      <c r="J52" s="3417">
        <v>86800</v>
      </c>
      <c r="K52" s="3417" t="s">
        <v>3433</v>
      </c>
      <c r="L52" s="3417" t="s">
        <v>3433</v>
      </c>
      <c r="M52" s="3417">
        <v>0</v>
      </c>
      <c r="N52" s="3417">
        <v>0</v>
      </c>
      <c r="O52" s="3417" t="s">
        <v>3429</v>
      </c>
      <c r="P52" s="3417" t="s">
        <v>3666</v>
      </c>
      <c r="Q52" s="3417" t="s">
        <v>3543</v>
      </c>
      <c r="R52" s="3417" t="s">
        <v>3431</v>
      </c>
      <c r="S52" s="3417" t="s">
        <v>3631</v>
      </c>
      <c r="T52" s="3417">
        <v>2</v>
      </c>
      <c r="U52" s="3417" t="s">
        <v>3433</v>
      </c>
      <c r="V52" s="3417">
        <v>0.3</v>
      </c>
      <c r="W52" s="3417">
        <v>45</v>
      </c>
      <c r="X52" s="3417" t="s">
        <v>3458</v>
      </c>
      <c r="Y52" s="3417" t="s">
        <v>3433</v>
      </c>
      <c r="Z52" s="3417" t="s">
        <v>3459</v>
      </c>
      <c r="AA52" s="3417" t="s">
        <v>3475</v>
      </c>
      <c r="AB52" s="3417" t="s">
        <v>3433</v>
      </c>
      <c r="AC52" s="3417" t="s">
        <v>3433</v>
      </c>
      <c r="AD52" s="3417" t="s">
        <v>3961</v>
      </c>
      <c r="AE52" s="3417" t="s">
        <v>3962</v>
      </c>
      <c r="AF52" s="3417" t="s">
        <v>3963</v>
      </c>
      <c r="AG52" s="3417" t="s">
        <v>3963</v>
      </c>
      <c r="AH52" s="3417" t="s">
        <v>3442</v>
      </c>
      <c r="AI52" s="3417" t="s">
        <v>3479</v>
      </c>
      <c r="AJ52" s="3417" t="s">
        <v>3463</v>
      </c>
      <c r="AK52" s="3417" t="s">
        <v>3464</v>
      </c>
      <c r="AL52" s="3417" t="s">
        <v>3465</v>
      </c>
      <c r="AM52" s="3417" t="s">
        <v>3433</v>
      </c>
      <c r="AN52" s="3417">
        <v>287000</v>
      </c>
      <c r="AO52" s="3417">
        <v>58000</v>
      </c>
      <c r="AP52" s="3417" t="s">
        <v>3433</v>
      </c>
      <c r="AQ52" s="3417">
        <v>330050</v>
      </c>
      <c r="AR52" s="3417">
        <v>66129.03</v>
      </c>
      <c r="AS52" s="3417">
        <v>76048.39</v>
      </c>
      <c r="AT52" s="3417">
        <v>4408.6000000000004</v>
      </c>
      <c r="AU52" s="3417">
        <v>5069.8900000000003</v>
      </c>
      <c r="AV52" s="3417">
        <v>33065</v>
      </c>
      <c r="AW52" s="3417">
        <v>38024</v>
      </c>
      <c r="AX52" s="3417" t="s">
        <v>3433</v>
      </c>
      <c r="AY52" s="3417" t="s">
        <v>3433</v>
      </c>
      <c r="AZ52" s="3417">
        <v>15</v>
      </c>
      <c r="BA52" s="3417">
        <v>330050</v>
      </c>
      <c r="BB52" s="3417" t="s">
        <v>3635</v>
      </c>
      <c r="BC52" s="3417">
        <v>58000</v>
      </c>
      <c r="BD52" s="3417">
        <v>58000</v>
      </c>
      <c r="BE52" s="3417">
        <v>38024</v>
      </c>
      <c r="BF52" s="3417">
        <v>15</v>
      </c>
      <c r="BG52" s="3417">
        <v>19975</v>
      </c>
      <c r="BH52" s="3417" t="s">
        <v>3502</v>
      </c>
      <c r="BI52" s="3417" t="s">
        <v>3973</v>
      </c>
      <c r="BJ52" s="3417" t="s">
        <v>3325</v>
      </c>
      <c r="BK52" s="3417" t="s">
        <v>3974</v>
      </c>
      <c r="BL52" s="3417" t="s">
        <v>3433</v>
      </c>
      <c r="BM52" s="3417" t="s">
        <v>3433</v>
      </c>
    </row>
    <row r="53" spans="1:65" hidden="1">
      <c r="A53" s="3417" t="s">
        <v>3975</v>
      </c>
      <c r="B53" s="3417" t="s">
        <v>3424</v>
      </c>
      <c r="C53" s="3417" t="s">
        <v>1465</v>
      </c>
      <c r="D53" s="3417" t="s">
        <v>3521</v>
      </c>
      <c r="E53" s="3417" t="s">
        <v>3957</v>
      </c>
      <c r="F53" s="3417" t="s">
        <v>3976</v>
      </c>
      <c r="G53" s="3417" t="s">
        <v>3976</v>
      </c>
      <c r="H53" s="3417" t="s">
        <v>3977</v>
      </c>
      <c r="I53" s="3417">
        <v>31562.01</v>
      </c>
      <c r="J53" s="3417">
        <v>56811.61</v>
      </c>
      <c r="K53" s="3417" t="s">
        <v>3433</v>
      </c>
      <c r="L53" s="3417" t="s">
        <v>3433</v>
      </c>
      <c r="M53" s="3417">
        <v>0</v>
      </c>
      <c r="N53" s="3417">
        <v>0</v>
      </c>
      <c r="O53" s="3417" t="s">
        <v>3429</v>
      </c>
      <c r="P53" s="3417" t="s">
        <v>3666</v>
      </c>
      <c r="Q53" s="3417" t="s">
        <v>3543</v>
      </c>
      <c r="R53" s="3417" t="s">
        <v>3431</v>
      </c>
      <c r="S53" s="3417" t="s">
        <v>3801</v>
      </c>
      <c r="T53" s="3417">
        <v>1.8</v>
      </c>
      <c r="U53" s="3417" t="s">
        <v>3433</v>
      </c>
      <c r="V53" s="3417">
        <v>0.3</v>
      </c>
      <c r="W53" s="3417" t="s">
        <v>3433</v>
      </c>
      <c r="X53" s="3417" t="s">
        <v>3458</v>
      </c>
      <c r="Y53" s="3417" t="s">
        <v>3433</v>
      </c>
      <c r="Z53" s="3417" t="s">
        <v>3459</v>
      </c>
      <c r="AA53" s="3417" t="s">
        <v>3960</v>
      </c>
      <c r="AB53" s="3417" t="s">
        <v>3433</v>
      </c>
      <c r="AC53" s="3417" t="s">
        <v>3433</v>
      </c>
      <c r="AD53" s="3417" t="s">
        <v>3961</v>
      </c>
      <c r="AE53" s="3417" t="s">
        <v>3962</v>
      </c>
      <c r="AF53" s="3417" t="s">
        <v>3963</v>
      </c>
      <c r="AG53" s="3417" t="s">
        <v>3963</v>
      </c>
      <c r="AH53" s="3417" t="s">
        <v>3442</v>
      </c>
      <c r="AI53" s="3417" t="s">
        <v>3479</v>
      </c>
      <c r="AJ53" s="3417" t="s">
        <v>3978</v>
      </c>
      <c r="AK53" s="3417" t="s">
        <v>3978</v>
      </c>
      <c r="AL53" s="3417" t="s">
        <v>3534</v>
      </c>
      <c r="AM53" s="3417" t="s">
        <v>3433</v>
      </c>
      <c r="AN53" s="3417">
        <v>144000</v>
      </c>
      <c r="AO53" s="3417">
        <v>29000</v>
      </c>
      <c r="AP53" s="3417" t="s">
        <v>3966</v>
      </c>
      <c r="AQ53" s="3417">
        <v>165600</v>
      </c>
      <c r="AR53" s="3417">
        <v>45624.47</v>
      </c>
      <c r="AS53" s="3417">
        <v>52468.14</v>
      </c>
      <c r="AT53" s="3417">
        <v>3041.63</v>
      </c>
      <c r="AU53" s="3417">
        <v>3497.88</v>
      </c>
      <c r="AV53" s="3417">
        <v>25347</v>
      </c>
      <c r="AW53" s="3417">
        <v>29149</v>
      </c>
      <c r="AX53" s="3417" t="s">
        <v>3433</v>
      </c>
      <c r="AY53" s="3417" t="s">
        <v>3433</v>
      </c>
      <c r="AZ53" s="3417">
        <v>15</v>
      </c>
      <c r="BA53" s="3417">
        <v>165600</v>
      </c>
      <c r="BB53" s="3417" t="s">
        <v>3635</v>
      </c>
      <c r="BC53" s="3417">
        <v>58000</v>
      </c>
      <c r="BD53" s="3417">
        <v>58000</v>
      </c>
      <c r="BE53" s="3417">
        <v>29149</v>
      </c>
      <c r="BF53" s="3417">
        <v>15</v>
      </c>
      <c r="BG53" s="3417">
        <v>28168</v>
      </c>
      <c r="BH53" s="3417" t="s">
        <v>3519</v>
      </c>
      <c r="BI53" s="3417" t="s">
        <v>3979</v>
      </c>
      <c r="BJ53" s="3417" t="s">
        <v>3325</v>
      </c>
      <c r="BK53" s="3417" t="s">
        <v>3980</v>
      </c>
      <c r="BL53" s="3417" t="s">
        <v>3433</v>
      </c>
      <c r="BM53" s="3417" t="s">
        <v>3433</v>
      </c>
    </row>
    <row r="54" spans="1:65" hidden="1">
      <c r="A54" s="3417" t="s">
        <v>3981</v>
      </c>
      <c r="B54" s="3417" t="s">
        <v>3424</v>
      </c>
      <c r="C54" s="3417" t="s">
        <v>1465</v>
      </c>
      <c r="D54" s="3417" t="s">
        <v>3505</v>
      </c>
      <c r="E54" s="3417" t="s">
        <v>3506</v>
      </c>
      <c r="F54" s="3417" t="s">
        <v>3982</v>
      </c>
      <c r="G54" s="3417" t="s">
        <v>3982</v>
      </c>
      <c r="H54" s="3417" t="s">
        <v>3983</v>
      </c>
      <c r="I54" s="3417">
        <v>41091.4</v>
      </c>
      <c r="J54" s="3417">
        <v>93718.5</v>
      </c>
      <c r="K54" s="3417" t="s">
        <v>3433</v>
      </c>
      <c r="L54" s="3417" t="s">
        <v>3433</v>
      </c>
      <c r="M54" s="3417">
        <v>0</v>
      </c>
      <c r="N54" s="3417">
        <v>0</v>
      </c>
      <c r="O54" s="3417" t="s">
        <v>3490</v>
      </c>
      <c r="P54" s="3417" t="s">
        <v>3491</v>
      </c>
      <c r="Q54" s="3417" t="s">
        <v>3492</v>
      </c>
      <c r="R54" s="3417" t="s">
        <v>3984</v>
      </c>
      <c r="S54" s="3417" t="s">
        <v>3985</v>
      </c>
      <c r="T54" s="3417">
        <v>0.8</v>
      </c>
      <c r="U54" s="3417" t="s">
        <v>3433</v>
      </c>
      <c r="V54" s="3417">
        <v>0.3</v>
      </c>
      <c r="W54" s="3417" t="s">
        <v>3433</v>
      </c>
      <c r="X54" s="3417" t="s">
        <v>3458</v>
      </c>
      <c r="Y54" s="3417" t="s">
        <v>3433</v>
      </c>
      <c r="Z54" s="3417" t="s">
        <v>3986</v>
      </c>
      <c r="AA54" s="3417" t="s">
        <v>3937</v>
      </c>
      <c r="AB54" s="3417" t="s">
        <v>3433</v>
      </c>
      <c r="AC54" s="3417" t="s">
        <v>3433</v>
      </c>
      <c r="AD54" s="3417" t="s">
        <v>3987</v>
      </c>
      <c r="AE54" s="3417" t="s">
        <v>3988</v>
      </c>
      <c r="AF54" s="3417" t="s">
        <v>3989</v>
      </c>
      <c r="AG54" s="3417" t="s">
        <v>3989</v>
      </c>
      <c r="AH54" s="3417" t="s">
        <v>3442</v>
      </c>
      <c r="AI54" s="3417" t="s">
        <v>3479</v>
      </c>
      <c r="AJ54" s="3417" t="s">
        <v>3990</v>
      </c>
      <c r="AK54" s="3417" t="s">
        <v>3991</v>
      </c>
      <c r="AL54" s="3417" t="s">
        <v>3992</v>
      </c>
      <c r="AM54" s="3417" t="s">
        <v>3433</v>
      </c>
      <c r="AN54" s="3417">
        <v>324000</v>
      </c>
      <c r="AO54" s="3417">
        <v>65000</v>
      </c>
      <c r="AP54" s="3417" t="s">
        <v>3433</v>
      </c>
      <c r="AQ54" s="3417">
        <v>372600</v>
      </c>
      <c r="AR54" s="3417">
        <v>78848.62</v>
      </c>
      <c r="AS54" s="3417">
        <v>90675.91</v>
      </c>
      <c r="AT54" s="3417">
        <v>5256.57</v>
      </c>
      <c r="AU54" s="3417">
        <v>6045.06</v>
      </c>
      <c r="AV54" s="3417">
        <v>34572</v>
      </c>
      <c r="AW54" s="3417">
        <v>39757</v>
      </c>
      <c r="AX54" s="3417" t="s">
        <v>3433</v>
      </c>
      <c r="AY54" s="3417" t="s">
        <v>3433</v>
      </c>
      <c r="AZ54" s="3417">
        <v>15</v>
      </c>
      <c r="BA54" s="3417">
        <v>372600</v>
      </c>
      <c r="BB54" s="3417" t="s">
        <v>3635</v>
      </c>
      <c r="BC54" s="3417">
        <v>66000</v>
      </c>
      <c r="BD54" s="3417">
        <v>66000</v>
      </c>
      <c r="BE54" s="3417">
        <v>39757</v>
      </c>
      <c r="BF54" s="3417">
        <v>15</v>
      </c>
      <c r="BG54" s="3417">
        <v>24350</v>
      </c>
      <c r="BH54" s="3417" t="s">
        <v>3519</v>
      </c>
      <c r="BI54" s="3417" t="s">
        <v>3993</v>
      </c>
      <c r="BJ54" s="3417" t="s">
        <v>3325</v>
      </c>
      <c r="BK54" s="3417" t="s">
        <v>3981</v>
      </c>
      <c r="BL54" s="3417" t="s">
        <v>3433</v>
      </c>
      <c r="BM54" s="3417" t="s">
        <v>3433</v>
      </c>
    </row>
    <row r="55" spans="1:65" hidden="1">
      <c r="A55" s="3417" t="s">
        <v>3994</v>
      </c>
      <c r="B55" s="3417" t="s">
        <v>3424</v>
      </c>
      <c r="C55" s="3417" t="s">
        <v>1465</v>
      </c>
      <c r="D55" s="3417" t="s">
        <v>3425</v>
      </c>
      <c r="E55" s="3417" t="s">
        <v>3919</v>
      </c>
      <c r="F55" s="3417" t="s">
        <v>3995</v>
      </c>
      <c r="G55" s="3417" t="s">
        <v>3995</v>
      </c>
      <c r="H55" s="3417" t="s">
        <v>3455</v>
      </c>
      <c r="I55" s="3417">
        <v>29561.58</v>
      </c>
      <c r="J55" s="3417">
        <v>65035.47</v>
      </c>
      <c r="K55" s="3417" t="s">
        <v>3433</v>
      </c>
      <c r="L55" s="3417" t="s">
        <v>3433</v>
      </c>
      <c r="M55" s="3417">
        <v>0</v>
      </c>
      <c r="N55" s="3417">
        <v>0</v>
      </c>
      <c r="O55" s="3417" t="s">
        <v>3429</v>
      </c>
      <c r="P55" s="3417" t="s">
        <v>3430</v>
      </c>
      <c r="Q55" s="3417" t="s">
        <v>3430</v>
      </c>
      <c r="R55" s="3417" t="s">
        <v>3996</v>
      </c>
      <c r="S55" s="3417" t="s">
        <v>3432</v>
      </c>
      <c r="T55" s="3417">
        <v>2.2000000000000002</v>
      </c>
      <c r="U55" s="3417" t="s">
        <v>3433</v>
      </c>
      <c r="V55" s="3417" t="s">
        <v>3433</v>
      </c>
      <c r="W55" s="3417">
        <v>36</v>
      </c>
      <c r="X55" s="3417" t="s">
        <v>3458</v>
      </c>
      <c r="Y55" s="3417" t="s">
        <v>3433</v>
      </c>
      <c r="Z55" s="3417" t="s">
        <v>3997</v>
      </c>
      <c r="AA55" s="3417" t="s">
        <v>3960</v>
      </c>
      <c r="AB55" s="3417" t="s">
        <v>3433</v>
      </c>
      <c r="AC55" s="3417" t="s">
        <v>3433</v>
      </c>
      <c r="AD55" s="3417" t="s">
        <v>3998</v>
      </c>
      <c r="AE55" s="3417" t="s">
        <v>3999</v>
      </c>
      <c r="AF55" s="3417" t="s">
        <v>3961</v>
      </c>
      <c r="AG55" s="3417" t="s">
        <v>3961</v>
      </c>
      <c r="AH55" s="3417" t="s">
        <v>3442</v>
      </c>
      <c r="AI55" s="3417" t="s">
        <v>3479</v>
      </c>
      <c r="AJ55" s="3417" t="s">
        <v>3463</v>
      </c>
      <c r="AK55" s="3417" t="s">
        <v>3464</v>
      </c>
      <c r="AL55" s="3417" t="s">
        <v>3465</v>
      </c>
      <c r="AM55" s="3417" t="s">
        <v>3433</v>
      </c>
      <c r="AN55" s="3417">
        <v>202000</v>
      </c>
      <c r="AO55" s="3417">
        <v>41000</v>
      </c>
      <c r="AP55" s="3417" t="s">
        <v>4000</v>
      </c>
      <c r="AQ55" s="3417">
        <v>232000</v>
      </c>
      <c r="AR55" s="3417">
        <v>68331.94</v>
      </c>
      <c r="AS55" s="3417">
        <v>78480.240000000005</v>
      </c>
      <c r="AT55" s="3417">
        <v>4555.46</v>
      </c>
      <c r="AU55" s="3417">
        <v>5232.0200000000004</v>
      </c>
      <c r="AV55" s="3417">
        <v>31060</v>
      </c>
      <c r="AW55" s="3417">
        <v>35673</v>
      </c>
      <c r="AX55" s="3417" t="s">
        <v>3433</v>
      </c>
      <c r="AY55" s="3417" t="s">
        <v>3433</v>
      </c>
      <c r="AZ55" s="3417">
        <v>14.85</v>
      </c>
      <c r="BA55" s="3417">
        <v>232000</v>
      </c>
      <c r="BB55" s="3417" t="s">
        <v>3635</v>
      </c>
      <c r="BC55" s="3417">
        <v>62000</v>
      </c>
      <c r="BD55" s="3417">
        <v>62000</v>
      </c>
      <c r="BE55" s="3417">
        <v>35673</v>
      </c>
      <c r="BF55" s="3417">
        <v>14.85</v>
      </c>
      <c r="BG55" s="3417">
        <v>25854</v>
      </c>
      <c r="BH55" s="3417" t="s">
        <v>3519</v>
      </c>
      <c r="BI55" s="3417" t="s">
        <v>4001</v>
      </c>
      <c r="BJ55" s="3417" t="s">
        <v>3325</v>
      </c>
      <c r="BK55" s="3417" t="s">
        <v>4002</v>
      </c>
      <c r="BL55" s="3417" t="s">
        <v>3433</v>
      </c>
      <c r="BM55" s="3417" t="s">
        <v>3433</v>
      </c>
    </row>
    <row r="56" spans="1:65" hidden="1">
      <c r="A56" s="3417" t="s">
        <v>4003</v>
      </c>
      <c r="B56" s="3417" t="s">
        <v>3424</v>
      </c>
      <c r="C56" s="3417" t="s">
        <v>1465</v>
      </c>
      <c r="D56" s="3417" t="s">
        <v>3505</v>
      </c>
      <c r="E56" s="3417" t="s">
        <v>4004</v>
      </c>
      <c r="F56" s="3417" t="s">
        <v>4005</v>
      </c>
      <c r="G56" s="3417" t="s">
        <v>4005</v>
      </c>
      <c r="H56" s="3417" t="s">
        <v>3690</v>
      </c>
      <c r="I56" s="3417">
        <v>59523.360000000001</v>
      </c>
      <c r="J56" s="3417">
        <v>130951.38</v>
      </c>
      <c r="K56" s="3417" t="s">
        <v>3433</v>
      </c>
      <c r="L56" s="3417" t="s">
        <v>3433</v>
      </c>
      <c r="M56" s="3417">
        <v>0</v>
      </c>
      <c r="N56" s="3417">
        <v>0</v>
      </c>
      <c r="O56" s="3417" t="s">
        <v>3429</v>
      </c>
      <c r="P56" s="3417" t="s">
        <v>4006</v>
      </c>
      <c r="Q56" s="3417" t="s">
        <v>3543</v>
      </c>
      <c r="R56" s="3417" t="s">
        <v>3431</v>
      </c>
      <c r="S56" s="3417" t="s">
        <v>3432</v>
      </c>
      <c r="T56" s="3417">
        <v>2.2000000000000002</v>
      </c>
      <c r="U56" s="3417" t="s">
        <v>3433</v>
      </c>
      <c r="V56" s="3417" t="s">
        <v>3433</v>
      </c>
      <c r="W56" s="3417" t="s">
        <v>3433</v>
      </c>
      <c r="X56" s="3417" t="s">
        <v>3458</v>
      </c>
      <c r="Y56" s="3417" t="s">
        <v>3433</v>
      </c>
      <c r="Z56" s="3417" t="s">
        <v>3433</v>
      </c>
      <c r="AA56" s="3417" t="s">
        <v>3433</v>
      </c>
      <c r="AB56" s="3417" t="s">
        <v>3433</v>
      </c>
      <c r="AC56" s="3417" t="s">
        <v>3433</v>
      </c>
      <c r="AD56" s="3417" t="s">
        <v>4007</v>
      </c>
      <c r="AE56" s="3417" t="s">
        <v>4008</v>
      </c>
      <c r="AF56" s="3417" t="s">
        <v>4009</v>
      </c>
      <c r="AG56" s="3417" t="s">
        <v>4009</v>
      </c>
      <c r="AH56" s="3417" t="s">
        <v>3442</v>
      </c>
      <c r="AI56" s="3417" t="s">
        <v>3479</v>
      </c>
      <c r="AJ56" s="3417" t="s">
        <v>4010</v>
      </c>
      <c r="AK56" s="3417" t="s">
        <v>4011</v>
      </c>
      <c r="AL56" s="3417" t="s">
        <v>3907</v>
      </c>
      <c r="AM56" s="3417" t="s">
        <v>3580</v>
      </c>
      <c r="AN56" s="3417">
        <v>188205.82</v>
      </c>
      <c r="AO56" s="3417">
        <v>57000</v>
      </c>
      <c r="AP56" s="3417" t="s">
        <v>3433</v>
      </c>
      <c r="AQ56" s="3417">
        <v>188205.82</v>
      </c>
      <c r="AR56" s="3417">
        <v>31618.81</v>
      </c>
      <c r="AS56" s="3417">
        <v>31618.81</v>
      </c>
      <c r="AT56" s="3417">
        <v>2107.92</v>
      </c>
      <c r="AU56" s="3417">
        <v>2107.92</v>
      </c>
      <c r="AV56" s="3417">
        <v>14372</v>
      </c>
      <c r="AW56" s="3417">
        <v>14372</v>
      </c>
      <c r="AX56" s="3417" t="s">
        <v>3433</v>
      </c>
      <c r="AY56" s="3417" t="s">
        <v>3433</v>
      </c>
      <c r="AZ56" s="3417">
        <v>0</v>
      </c>
      <c r="BA56" s="3417" t="s">
        <v>3433</v>
      </c>
      <c r="BB56" s="3417" t="s">
        <v>3433</v>
      </c>
      <c r="BC56" s="3417">
        <v>29000</v>
      </c>
      <c r="BD56" s="3417">
        <v>29000</v>
      </c>
      <c r="BE56" s="3417" t="s">
        <v>3433</v>
      </c>
      <c r="BF56" s="3417" t="s">
        <v>3433</v>
      </c>
      <c r="BG56" s="3417" t="s">
        <v>3433</v>
      </c>
      <c r="BH56" s="3417" t="s">
        <v>3502</v>
      </c>
      <c r="BI56" s="3417" t="s">
        <v>3433</v>
      </c>
      <c r="BJ56" s="3417" t="s">
        <v>3276</v>
      </c>
      <c r="BK56" s="3417" t="s">
        <v>3433</v>
      </c>
      <c r="BL56" s="3417" t="s">
        <v>3433</v>
      </c>
      <c r="BM56" s="3417" t="s">
        <v>3433</v>
      </c>
    </row>
    <row r="58" spans="1:65" ht="13.5">
      <c r="A58" s="3428" t="s">
        <v>4145</v>
      </c>
    </row>
    <row r="95" spans="1:1">
      <c r="A95" s="3417" t="s">
        <v>4115</v>
      </c>
    </row>
    <row r="239" spans="60:66">
      <c r="BH239" s="3417" t="s">
        <v>4320</v>
      </c>
      <c r="BN239" s="3417" t="s">
        <v>4319</v>
      </c>
    </row>
    <row r="240" spans="60:66">
      <c r="BH240" s="3417">
        <f>BH244/BH243</f>
        <v>0.2042200072659518</v>
      </c>
      <c r="BN240" s="3417">
        <f>'比较法-住宅、综合'!N48/'比较法-住宅、综合'!N44</f>
        <v>0.23405348898998374</v>
      </c>
    </row>
    <row r="242" spans="58:60">
      <c r="BF242" s="3417" t="s">
        <v>4268</v>
      </c>
      <c r="BH242" s="3417">
        <v>45000</v>
      </c>
    </row>
    <row r="243" spans="58:60">
      <c r="BF243" s="3417" t="s">
        <v>4327</v>
      </c>
      <c r="BH243" s="3417">
        <v>30580.99</v>
      </c>
    </row>
    <row r="244" spans="58:60">
      <c r="BF244" s="3417" t="s">
        <v>4269</v>
      </c>
      <c r="BH244" s="3417">
        <v>6245.25</v>
      </c>
    </row>
    <row r="245" spans="58:60">
      <c r="BF245" s="3417" t="s">
        <v>4322</v>
      </c>
      <c r="BH245" s="3417">
        <f>ROUND(BH242*10000/BH243,0)</f>
        <v>14715</v>
      </c>
    </row>
    <row r="246" spans="58:60" ht="24">
      <c r="BF246" s="3467" t="s">
        <v>4314</v>
      </c>
      <c r="BH246" s="3417">
        <f>BH243+BH244</f>
        <v>36826.240000000005</v>
      </c>
    </row>
    <row r="247" spans="58:60">
      <c r="BF247" s="3468" t="s">
        <v>4321</v>
      </c>
      <c r="BH247" s="3468">
        <f>ROUND(BH242/BH246*10000,0)</f>
        <v>12220</v>
      </c>
    </row>
    <row r="249" spans="58:60">
      <c r="BF249" s="3417" t="s">
        <v>4323</v>
      </c>
      <c r="BH249" s="3417">
        <v>38226.239999999998</v>
      </c>
    </row>
    <row r="250" spans="58:60">
      <c r="BF250" s="3417" t="s">
        <v>4324</v>
      </c>
      <c r="BH250" s="3417">
        <f>BH249-BH246</f>
        <v>1399.9999999999927</v>
      </c>
    </row>
    <row r="251" spans="58:60">
      <c r="BF251" s="3417" t="s">
        <v>4326</v>
      </c>
      <c r="BH251" s="3417">
        <f>5000*BH250/10000</f>
        <v>699.99999999999636</v>
      </c>
    </row>
    <row r="252" spans="58:60">
      <c r="BF252" s="3417" t="s">
        <v>4325</v>
      </c>
      <c r="BH252" s="3417">
        <f>BH242+BH251</f>
        <v>45700</v>
      </c>
    </row>
    <row r="253" spans="58:60">
      <c r="BH253" s="3469">
        <f>BH252/BH242/100</f>
        <v>1.0155555555555555E-2</v>
      </c>
    </row>
  </sheetData>
  <autoFilter ref="A6:BM56">
    <filterColumn colId="3">
      <filters>
        <filter val="大兴区"/>
        <filter val="房山区"/>
      </filters>
    </filterColumn>
  </autoFilter>
  <phoneticPr fontId="224" type="noConversion"/>
  <hyperlinks>
    <hyperlink ref="A58"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workbookViewId="0">
      <pane ySplit="1" topLeftCell="A17" activePane="bottomLeft" state="frozen"/>
      <selection pane="bottomLeft" activeCell="B10" sqref="B10"/>
    </sheetView>
  </sheetViews>
  <sheetFormatPr defaultRowHeight="12"/>
  <cols>
    <col min="1" max="1" width="4.75" style="3423" customWidth="1"/>
    <col min="2" max="2" width="20" style="3423" customWidth="1"/>
    <col min="3" max="3" width="20" style="3423" hidden="1" customWidth="1"/>
    <col min="4" max="4" width="5.125" style="3423" customWidth="1"/>
    <col min="5" max="5" width="9" style="3423" hidden="1" customWidth="1"/>
    <col min="6" max="6" width="12.5" style="3423" customWidth="1"/>
    <col min="7" max="7" width="9.75" style="3423" customWidth="1"/>
    <col min="8" max="8" width="9.625" style="3423" customWidth="1"/>
    <col min="9" max="9" width="9.75" style="3423" customWidth="1"/>
    <col min="10" max="10" width="10.125" style="3423" customWidth="1"/>
    <col min="11" max="12" width="20" style="3423" hidden="1" customWidth="1"/>
    <col min="13" max="13" width="12.375" style="3423" customWidth="1"/>
    <col min="14" max="14" width="9.5" style="3423" customWidth="1"/>
    <col min="15" max="16" width="20" style="3423" hidden="1" customWidth="1"/>
    <col min="17" max="17" width="10.625" style="3423" customWidth="1"/>
    <col min="18" max="19" width="20" style="3423" hidden="1" customWidth="1"/>
    <col min="20" max="20" width="9.375" style="3423" customWidth="1"/>
    <col min="21" max="21" width="8.125" style="3423" customWidth="1"/>
    <col min="22" max="22" width="11.875" style="3423" customWidth="1"/>
    <col min="23" max="23" width="12.125" style="3423" customWidth="1"/>
    <col min="24" max="24" width="8.5" style="3423" customWidth="1"/>
    <col min="25" max="25" width="20" style="3423" hidden="1" customWidth="1"/>
    <col min="26" max="26" width="6.75" style="3423" customWidth="1"/>
    <col min="27" max="27" width="8" style="3423" customWidth="1"/>
    <col min="28" max="28" width="7.625" style="3423" customWidth="1"/>
    <col min="29" max="29" width="13.25" style="3423" customWidth="1"/>
    <col min="30" max="31" width="20" style="3423" customWidth="1"/>
    <col min="32" max="16384" width="9" style="3423"/>
  </cols>
  <sheetData>
    <row r="1" spans="1:30" s="3424" customFormat="1" ht="24">
      <c r="A1" s="3424" t="s">
        <v>4146</v>
      </c>
      <c r="B1" s="3424" t="s">
        <v>3360</v>
      </c>
      <c r="C1" s="3424" t="s">
        <v>3362</v>
      </c>
      <c r="D1" s="3424" t="s">
        <v>3363</v>
      </c>
      <c r="E1" s="3424" t="s">
        <v>3364</v>
      </c>
      <c r="F1" s="3424" t="s">
        <v>3366</v>
      </c>
      <c r="G1" s="3424" t="s">
        <v>3368</v>
      </c>
      <c r="H1" s="3424" t="s">
        <v>3369</v>
      </c>
      <c r="I1" s="3424" t="s">
        <v>3374</v>
      </c>
      <c r="J1" s="3424" t="s">
        <v>3375</v>
      </c>
      <c r="K1" s="3424" t="s">
        <v>3376</v>
      </c>
      <c r="L1" s="3424" t="s">
        <v>3377</v>
      </c>
      <c r="M1" s="3424" t="s">
        <v>1548</v>
      </c>
      <c r="N1" s="3424" t="s">
        <v>3379</v>
      </c>
      <c r="O1" s="3424" t="s">
        <v>3382</v>
      </c>
      <c r="P1" s="3424" t="s">
        <v>3383</v>
      </c>
      <c r="Q1" s="3424" t="s">
        <v>3391</v>
      </c>
      <c r="R1" s="3424" t="s">
        <v>3392</v>
      </c>
      <c r="S1" s="3424" t="s">
        <v>3393</v>
      </c>
      <c r="T1" s="3424" t="s">
        <v>3394</v>
      </c>
      <c r="U1" s="3424" t="s">
        <v>3401</v>
      </c>
      <c r="V1" s="3424" t="s">
        <v>3403</v>
      </c>
      <c r="W1" s="3424" t="s">
        <v>3405</v>
      </c>
      <c r="X1" s="3424" t="s">
        <v>3407</v>
      </c>
      <c r="Y1" s="3424" t="s">
        <v>3409</v>
      </c>
      <c r="Z1" s="3424" t="s">
        <v>3410</v>
      </c>
      <c r="AA1" s="3424" t="s">
        <v>3411</v>
      </c>
      <c r="AB1" s="3424" t="s">
        <v>3414</v>
      </c>
      <c r="AC1" s="3424" t="s">
        <v>3357</v>
      </c>
      <c r="AD1" s="3424" t="s">
        <v>3418</v>
      </c>
    </row>
    <row r="2" spans="1:30">
      <c r="A2" s="3423">
        <v>1</v>
      </c>
      <c r="B2" s="3423" t="s">
        <v>3504</v>
      </c>
      <c r="C2" s="3423" t="s">
        <v>1465</v>
      </c>
      <c r="D2" s="3423" t="s">
        <v>3505</v>
      </c>
      <c r="E2" s="3423" t="s">
        <v>3506</v>
      </c>
      <c r="F2" s="3423" t="s">
        <v>3507</v>
      </c>
      <c r="G2" s="3423">
        <v>29897.27</v>
      </c>
      <c r="H2" s="3423">
        <v>65733.16</v>
      </c>
      <c r="I2" s="3423" t="s">
        <v>3490</v>
      </c>
      <c r="J2" s="3423" t="s">
        <v>3491</v>
      </c>
      <c r="K2" s="3423" t="s">
        <v>3509</v>
      </c>
      <c r="L2" s="3423" t="s">
        <v>3510</v>
      </c>
      <c r="M2" s="3423" t="s">
        <v>3511</v>
      </c>
      <c r="N2" s="3423">
        <v>0.76</v>
      </c>
      <c r="O2" s="3423" t="s">
        <v>3458</v>
      </c>
      <c r="P2" s="3423" t="s">
        <v>3433</v>
      </c>
      <c r="Q2" s="3423" t="s">
        <v>3515</v>
      </c>
      <c r="R2" s="3423" t="s">
        <v>3442</v>
      </c>
      <c r="S2" s="3423" t="s">
        <v>3479</v>
      </c>
      <c r="T2" s="3423" t="s">
        <v>3516</v>
      </c>
      <c r="U2" s="3423">
        <v>222500</v>
      </c>
      <c r="V2" s="3423">
        <v>74421.509999999995</v>
      </c>
      <c r="W2" s="3423">
        <v>4961.43</v>
      </c>
      <c r="X2" s="3423">
        <v>33849</v>
      </c>
      <c r="Y2" s="3423" t="s">
        <v>3433</v>
      </c>
      <c r="Z2" s="3423">
        <v>0</v>
      </c>
      <c r="AA2" s="3423">
        <v>255875</v>
      </c>
      <c r="AB2" s="3423" t="s">
        <v>3433</v>
      </c>
      <c r="AC2" s="3423" t="s">
        <v>3519</v>
      </c>
      <c r="AD2" s="3423" t="s">
        <v>3433</v>
      </c>
    </row>
    <row r="3" spans="1:30">
      <c r="A3" s="3423">
        <v>2</v>
      </c>
      <c r="B3" s="3423" t="s">
        <v>3537</v>
      </c>
      <c r="C3" s="3423" t="s">
        <v>1465</v>
      </c>
      <c r="D3" s="3423" t="s">
        <v>3538</v>
      </c>
      <c r="E3" s="3423" t="s">
        <v>3539</v>
      </c>
      <c r="F3" s="3423" t="s">
        <v>3540</v>
      </c>
      <c r="G3" s="3423">
        <v>48345.71</v>
      </c>
      <c r="H3" s="3423">
        <v>90571.42</v>
      </c>
      <c r="I3" s="3423" t="s">
        <v>3429</v>
      </c>
      <c r="J3" s="3423" t="s">
        <v>3542</v>
      </c>
      <c r="K3" s="3423" t="s">
        <v>3543</v>
      </c>
      <c r="L3" s="3423" t="s">
        <v>3527</v>
      </c>
      <c r="M3" s="3423" t="s">
        <v>3544</v>
      </c>
      <c r="N3" s="3423" t="s">
        <v>3433</v>
      </c>
      <c r="O3" s="3423" t="s">
        <v>3458</v>
      </c>
      <c r="P3" s="3423" t="s">
        <v>3433</v>
      </c>
      <c r="Q3" s="3423" t="s">
        <v>3548</v>
      </c>
      <c r="R3" s="3423" t="s">
        <v>3442</v>
      </c>
      <c r="S3" s="3423" t="s">
        <v>3443</v>
      </c>
      <c r="T3" s="3423" t="s">
        <v>3549</v>
      </c>
      <c r="U3" s="3423">
        <v>164400</v>
      </c>
      <c r="V3" s="3423">
        <v>34005.08</v>
      </c>
      <c r="W3" s="3423">
        <v>2267.0100000000002</v>
      </c>
      <c r="X3" s="3423">
        <v>18151</v>
      </c>
      <c r="Y3" s="3423" t="s">
        <v>3433</v>
      </c>
      <c r="Z3" s="3423">
        <v>0</v>
      </c>
      <c r="AA3" s="3423" t="s">
        <v>3433</v>
      </c>
      <c r="AB3" s="3423">
        <v>45000</v>
      </c>
      <c r="AC3" s="3423" t="s">
        <v>3552</v>
      </c>
      <c r="AD3" s="3423" t="s">
        <v>4124</v>
      </c>
    </row>
    <row r="4" spans="1:30">
      <c r="A4" s="3423">
        <v>3</v>
      </c>
      <c r="B4" s="3423" t="s">
        <v>3554</v>
      </c>
      <c r="C4" s="3423" t="s">
        <v>1465</v>
      </c>
      <c r="D4" s="3423" t="s">
        <v>3505</v>
      </c>
      <c r="E4" s="3423" t="s">
        <v>3555</v>
      </c>
      <c r="F4" s="3423" t="s">
        <v>3556</v>
      </c>
      <c r="G4" s="3423">
        <v>69411.009999999995</v>
      </c>
      <c r="H4" s="3423">
        <v>144005.16</v>
      </c>
      <c r="I4" s="3423" t="s">
        <v>3490</v>
      </c>
      <c r="J4" s="3423" t="s">
        <v>3558</v>
      </c>
      <c r="K4" s="3423" t="s">
        <v>3559</v>
      </c>
      <c r="L4" s="3423" t="s">
        <v>3527</v>
      </c>
      <c r="M4" s="3423" t="s">
        <v>3560</v>
      </c>
      <c r="N4" s="3423">
        <v>1.39</v>
      </c>
      <c r="O4" s="3423" t="s">
        <v>3458</v>
      </c>
      <c r="P4" s="3423" t="s">
        <v>3433</v>
      </c>
      <c r="Q4" s="3423" t="s">
        <v>3564</v>
      </c>
      <c r="R4" s="3423" t="s">
        <v>3442</v>
      </c>
      <c r="S4" s="3423" t="s">
        <v>3443</v>
      </c>
      <c r="T4" s="3423" t="s">
        <v>3516</v>
      </c>
      <c r="U4" s="3423">
        <v>321700</v>
      </c>
      <c r="V4" s="3423">
        <v>46347.11</v>
      </c>
      <c r="W4" s="3423">
        <v>3089.81</v>
      </c>
      <c r="X4" s="3423">
        <v>22339</v>
      </c>
      <c r="Y4" s="3423" t="s">
        <v>3433</v>
      </c>
      <c r="Z4" s="3423">
        <v>0</v>
      </c>
      <c r="AA4" s="3423">
        <v>369955</v>
      </c>
      <c r="AB4" s="3423">
        <v>59000</v>
      </c>
      <c r="AC4" s="3423" t="s">
        <v>3502</v>
      </c>
      <c r="AD4" s="3423" t="s">
        <v>3433</v>
      </c>
    </row>
    <row r="5" spans="1:30">
      <c r="A5" s="3423">
        <v>4</v>
      </c>
      <c r="B5" s="3423" t="s">
        <v>3566</v>
      </c>
      <c r="C5" s="3423" t="s">
        <v>1465</v>
      </c>
      <c r="D5" s="3423" t="s">
        <v>3505</v>
      </c>
      <c r="E5" s="3423" t="s">
        <v>3567</v>
      </c>
      <c r="F5" s="3423" t="s">
        <v>3568</v>
      </c>
      <c r="G5" s="3423">
        <v>67135.210000000006</v>
      </c>
      <c r="H5" s="3423">
        <v>119514.23</v>
      </c>
      <c r="I5" s="3423" t="s">
        <v>3490</v>
      </c>
      <c r="J5" s="3423" t="s">
        <v>3570</v>
      </c>
      <c r="K5" s="3423" t="s">
        <v>3571</v>
      </c>
      <c r="L5" s="3423" t="s">
        <v>3527</v>
      </c>
      <c r="M5" s="3423" t="s">
        <v>3572</v>
      </c>
      <c r="N5" s="3423">
        <v>27.9</v>
      </c>
      <c r="O5" s="3423" t="s">
        <v>3458</v>
      </c>
      <c r="P5" s="3423" t="s">
        <v>3433</v>
      </c>
      <c r="Q5" s="3423" t="s">
        <v>3576</v>
      </c>
      <c r="R5" s="3423" t="s">
        <v>3442</v>
      </c>
      <c r="S5" s="3423" t="s">
        <v>3443</v>
      </c>
      <c r="T5" s="3423" t="s">
        <v>3577</v>
      </c>
      <c r="U5" s="3423">
        <v>214600</v>
      </c>
      <c r="V5" s="3423">
        <v>31965.34</v>
      </c>
      <c r="W5" s="3423">
        <v>2131.02</v>
      </c>
      <c r="X5" s="3423">
        <v>17956</v>
      </c>
      <c r="Y5" s="3423" t="s">
        <v>3433</v>
      </c>
      <c r="Z5" s="3423">
        <v>0</v>
      </c>
      <c r="AA5" s="3423">
        <v>246790</v>
      </c>
      <c r="AB5" s="3423">
        <v>50000</v>
      </c>
      <c r="AC5" s="3423" t="s">
        <v>3552</v>
      </c>
      <c r="AD5" s="3423" t="s">
        <v>3433</v>
      </c>
    </row>
    <row r="6" spans="1:30">
      <c r="A6" s="3423">
        <v>5</v>
      </c>
      <c r="B6" s="3423" t="s">
        <v>3637</v>
      </c>
      <c r="C6" s="3423" t="s">
        <v>1465</v>
      </c>
      <c r="D6" s="3423" t="s">
        <v>3538</v>
      </c>
      <c r="E6" s="3423" t="s">
        <v>3638</v>
      </c>
      <c r="F6" s="3423" t="s">
        <v>3639</v>
      </c>
      <c r="G6" s="3423">
        <v>34786</v>
      </c>
      <c r="H6" s="3423">
        <v>84979</v>
      </c>
      <c r="I6" s="3423" t="s">
        <v>3490</v>
      </c>
      <c r="J6" s="3423" t="s">
        <v>3641</v>
      </c>
      <c r="K6" s="3423" t="s">
        <v>3492</v>
      </c>
      <c r="L6" s="3423" t="s">
        <v>3617</v>
      </c>
      <c r="M6" s="3423" t="s">
        <v>3642</v>
      </c>
      <c r="N6" s="3423" t="s">
        <v>3433</v>
      </c>
      <c r="O6" s="3423" t="s">
        <v>3458</v>
      </c>
      <c r="P6" s="3423" t="s">
        <v>3433</v>
      </c>
      <c r="Q6" s="3423" t="s">
        <v>3646</v>
      </c>
      <c r="R6" s="3423" t="s">
        <v>3442</v>
      </c>
      <c r="S6" s="3423" t="s">
        <v>3443</v>
      </c>
      <c r="T6" s="3423" t="s">
        <v>3647</v>
      </c>
      <c r="U6" s="3423">
        <v>160300</v>
      </c>
      <c r="V6" s="3423">
        <v>46081.75</v>
      </c>
      <c r="W6" s="3423">
        <v>3072.12</v>
      </c>
      <c r="X6" s="3423">
        <v>18863</v>
      </c>
      <c r="Y6" s="3423" t="s">
        <v>3433</v>
      </c>
      <c r="Z6" s="3423">
        <v>0</v>
      </c>
      <c r="AA6" s="3423">
        <v>184345</v>
      </c>
      <c r="AB6" s="3423">
        <v>48000</v>
      </c>
      <c r="AC6" s="3423" t="s">
        <v>3502</v>
      </c>
      <c r="AD6" s="3423" t="s">
        <v>3433</v>
      </c>
    </row>
    <row r="7" spans="1:30">
      <c r="A7" s="3423">
        <v>6</v>
      </c>
      <c r="B7" s="3423" t="s">
        <v>3650</v>
      </c>
      <c r="C7" s="3423" t="s">
        <v>1465</v>
      </c>
      <c r="D7" s="3423" t="s">
        <v>3505</v>
      </c>
      <c r="E7" s="3423" t="s">
        <v>3506</v>
      </c>
      <c r="F7" s="3423" t="s">
        <v>3651</v>
      </c>
      <c r="G7" s="3423">
        <v>47035.47</v>
      </c>
      <c r="H7" s="3423">
        <v>117588.68</v>
      </c>
      <c r="I7" s="3423" t="s">
        <v>3490</v>
      </c>
      <c r="J7" s="3423" t="s">
        <v>3652</v>
      </c>
      <c r="K7" s="3423" t="s">
        <v>3653</v>
      </c>
      <c r="L7" s="3423" t="s">
        <v>3654</v>
      </c>
      <c r="M7" s="3423" t="s">
        <v>3655</v>
      </c>
      <c r="N7" s="3423">
        <v>42</v>
      </c>
      <c r="O7" s="3423" t="s">
        <v>3458</v>
      </c>
      <c r="P7" s="3423" t="s">
        <v>3433</v>
      </c>
      <c r="Q7" s="3423" t="s">
        <v>3658</v>
      </c>
      <c r="R7" s="3423" t="s">
        <v>3442</v>
      </c>
      <c r="S7" s="3423" t="s">
        <v>3443</v>
      </c>
      <c r="T7" s="3423" t="s">
        <v>3659</v>
      </c>
      <c r="U7" s="3423">
        <v>487600</v>
      </c>
      <c r="V7" s="3423">
        <v>103666.44</v>
      </c>
      <c r="W7" s="3423">
        <v>6911.1</v>
      </c>
      <c r="X7" s="3423">
        <v>41467</v>
      </c>
      <c r="Y7" s="3423" t="s">
        <v>3433</v>
      </c>
      <c r="Z7" s="3423">
        <v>15</v>
      </c>
      <c r="AA7" s="3423">
        <v>487600</v>
      </c>
      <c r="AB7" s="3423">
        <v>66000</v>
      </c>
      <c r="AC7" s="3423" t="s">
        <v>3519</v>
      </c>
      <c r="AD7" s="3423" t="s">
        <v>3662</v>
      </c>
    </row>
    <row r="8" spans="1:30">
      <c r="A8" s="3423">
        <v>7</v>
      </c>
      <c r="B8" s="3423" t="s">
        <v>3671</v>
      </c>
      <c r="C8" s="3423" t="s">
        <v>1465</v>
      </c>
      <c r="D8" s="3423" t="s">
        <v>3505</v>
      </c>
      <c r="E8" s="3423" t="s">
        <v>3672</v>
      </c>
      <c r="F8" s="3423" t="s">
        <v>3674</v>
      </c>
      <c r="G8" s="3423">
        <v>147727.42000000001</v>
      </c>
      <c r="H8" s="3423">
        <v>332097.21000000002</v>
      </c>
      <c r="I8" s="3423" t="s">
        <v>3490</v>
      </c>
      <c r="J8" s="3423" t="s">
        <v>3676</v>
      </c>
      <c r="K8" s="3423" t="s">
        <v>3677</v>
      </c>
      <c r="L8" s="3423" t="s">
        <v>3678</v>
      </c>
      <c r="M8" s="3423" t="s">
        <v>3679</v>
      </c>
      <c r="N8" s="3423">
        <v>36.35</v>
      </c>
      <c r="O8" s="3423" t="s">
        <v>3458</v>
      </c>
      <c r="P8" s="3423" t="s">
        <v>3433</v>
      </c>
      <c r="Q8" s="3423" t="s">
        <v>3682</v>
      </c>
      <c r="R8" s="3423" t="s">
        <v>3442</v>
      </c>
      <c r="S8" s="3423" t="s">
        <v>3443</v>
      </c>
      <c r="T8" s="3423" t="s">
        <v>3683</v>
      </c>
      <c r="U8" s="3423">
        <v>753800</v>
      </c>
      <c r="V8" s="3423">
        <v>51026.41</v>
      </c>
      <c r="W8" s="3423">
        <v>3401.76</v>
      </c>
      <c r="X8" s="3423">
        <v>22698</v>
      </c>
      <c r="Y8" s="3423" t="s">
        <v>3433</v>
      </c>
      <c r="Z8" s="3423">
        <v>0.51</v>
      </c>
      <c r="AA8" s="3423">
        <v>862500</v>
      </c>
      <c r="AB8" s="3423">
        <v>65000</v>
      </c>
      <c r="AC8" s="3423" t="s">
        <v>3519</v>
      </c>
      <c r="AD8" s="3423" t="s">
        <v>3685</v>
      </c>
    </row>
    <row r="9" spans="1:30" s="3427" customFormat="1">
      <c r="A9" s="3427">
        <v>8</v>
      </c>
      <c r="B9" s="3427" t="s">
        <v>3687</v>
      </c>
      <c r="C9" s="3427" t="s">
        <v>1465</v>
      </c>
      <c r="D9" s="3427" t="s">
        <v>3505</v>
      </c>
      <c r="E9" s="3427" t="s">
        <v>3688</v>
      </c>
      <c r="F9" s="3427" t="s">
        <v>3689</v>
      </c>
      <c r="G9" s="3427">
        <v>28343.9</v>
      </c>
      <c r="H9" s="3427">
        <v>62356.59</v>
      </c>
      <c r="I9" s="3427" t="s">
        <v>3429</v>
      </c>
      <c r="J9" s="3427" t="s">
        <v>4290</v>
      </c>
      <c r="K9" s="3427" t="s">
        <v>3543</v>
      </c>
      <c r="L9" s="3427" t="s">
        <v>3431</v>
      </c>
      <c r="M9" s="3427" t="s">
        <v>3432</v>
      </c>
      <c r="N9" s="3427">
        <v>4.8099999999999996</v>
      </c>
      <c r="O9" s="3427" t="s">
        <v>3458</v>
      </c>
      <c r="P9" s="3427" t="s">
        <v>3433</v>
      </c>
      <c r="Q9" s="3427" t="s">
        <v>3682</v>
      </c>
      <c r="R9" s="3427" t="s">
        <v>3442</v>
      </c>
      <c r="S9" s="3427" t="s">
        <v>3479</v>
      </c>
      <c r="T9" s="3427" t="s">
        <v>3694</v>
      </c>
      <c r="U9" s="3427">
        <v>95500</v>
      </c>
      <c r="V9" s="3427">
        <v>33693.31</v>
      </c>
      <c r="W9" s="3427">
        <v>2246.2199999999998</v>
      </c>
      <c r="X9" s="3427">
        <v>15315</v>
      </c>
      <c r="Y9" s="3427" t="s">
        <v>3433</v>
      </c>
      <c r="Z9" s="3427">
        <v>8.74</v>
      </c>
      <c r="AA9" s="3427" t="s">
        <v>3433</v>
      </c>
      <c r="AB9" s="3427">
        <v>29000</v>
      </c>
      <c r="AC9" s="3427" t="s">
        <v>3502</v>
      </c>
      <c r="AD9" s="3427" t="s">
        <v>3695</v>
      </c>
    </row>
    <row r="10" spans="1:30" s="3427" customFormat="1">
      <c r="A10" s="3427">
        <v>9</v>
      </c>
      <c r="B10" s="3427" t="s">
        <v>3696</v>
      </c>
      <c r="C10" s="3427" t="s">
        <v>1465</v>
      </c>
      <c r="D10" s="3427" t="s">
        <v>3505</v>
      </c>
      <c r="E10" s="3427" t="s">
        <v>3697</v>
      </c>
      <c r="F10" s="3427" t="s">
        <v>3698</v>
      </c>
      <c r="G10" s="3427">
        <v>34525.83</v>
      </c>
      <c r="H10" s="3427">
        <v>86314.58</v>
      </c>
      <c r="I10" s="3427" t="s">
        <v>3429</v>
      </c>
      <c r="J10" s="3427" t="s">
        <v>3691</v>
      </c>
      <c r="K10" s="3427" t="s">
        <v>3543</v>
      </c>
      <c r="L10" s="3427" t="s">
        <v>3431</v>
      </c>
      <c r="M10" s="3427" t="s">
        <v>3655</v>
      </c>
      <c r="N10" s="3427" t="s">
        <v>3433</v>
      </c>
      <c r="O10" s="3427" t="s">
        <v>3458</v>
      </c>
      <c r="P10" s="3427" t="s">
        <v>3433</v>
      </c>
      <c r="Q10" s="3427" t="s">
        <v>3682</v>
      </c>
      <c r="R10" s="3427" t="s">
        <v>3442</v>
      </c>
      <c r="S10" s="3427" t="s">
        <v>3479</v>
      </c>
      <c r="T10" s="3427" t="s">
        <v>3694</v>
      </c>
      <c r="U10" s="3427">
        <v>135500</v>
      </c>
      <c r="V10" s="3427">
        <v>39245.980000000003</v>
      </c>
      <c r="W10" s="3427">
        <v>2616.4</v>
      </c>
      <c r="X10" s="3427">
        <v>15698</v>
      </c>
      <c r="Y10" s="3427" t="s">
        <v>3433</v>
      </c>
      <c r="Z10" s="3427">
        <v>6.55</v>
      </c>
      <c r="AA10" s="3427" t="s">
        <v>3433</v>
      </c>
      <c r="AB10" s="3427">
        <v>30000</v>
      </c>
      <c r="AC10" s="3427" t="s">
        <v>3519</v>
      </c>
      <c r="AD10" s="3427" t="s">
        <v>3703</v>
      </c>
    </row>
    <row r="11" spans="1:30">
      <c r="A11" s="3423">
        <v>10</v>
      </c>
      <c r="B11" s="3423" t="s">
        <v>3704</v>
      </c>
      <c r="C11" s="3423" t="s">
        <v>1465</v>
      </c>
      <c r="D11" s="3423" t="s">
        <v>3538</v>
      </c>
      <c r="E11" s="3423" t="s">
        <v>3705</v>
      </c>
      <c r="F11" s="3423" t="s">
        <v>3707</v>
      </c>
      <c r="G11" s="3423">
        <v>91852.45</v>
      </c>
      <c r="H11" s="3423">
        <v>138184.41</v>
      </c>
      <c r="I11" s="3423" t="s">
        <v>3490</v>
      </c>
      <c r="J11" s="3423" t="s">
        <v>3542</v>
      </c>
      <c r="K11" s="3423" t="s">
        <v>3543</v>
      </c>
      <c r="L11" s="3423" t="s">
        <v>3709</v>
      </c>
      <c r="M11" s="3423" t="s">
        <v>3710</v>
      </c>
      <c r="N11" s="3423" t="s">
        <v>3433</v>
      </c>
      <c r="O11" s="3423" t="s">
        <v>3458</v>
      </c>
      <c r="P11" s="3423" t="s">
        <v>3433</v>
      </c>
      <c r="Q11" s="3423" t="s">
        <v>3715</v>
      </c>
      <c r="R11" s="3423" t="s">
        <v>3442</v>
      </c>
      <c r="S11" s="3423" t="s">
        <v>3443</v>
      </c>
      <c r="T11" s="3423" t="s">
        <v>3716</v>
      </c>
      <c r="U11" s="3423">
        <v>228000</v>
      </c>
      <c r="V11" s="3423">
        <v>24822.42</v>
      </c>
      <c r="W11" s="3423">
        <v>1654.83</v>
      </c>
      <c r="X11" s="3423">
        <v>16500</v>
      </c>
      <c r="Y11" s="3423" t="s">
        <v>3433</v>
      </c>
      <c r="Z11" s="3423">
        <v>0</v>
      </c>
      <c r="AA11" s="3423">
        <v>262200</v>
      </c>
      <c r="AB11" s="3423">
        <v>45000</v>
      </c>
      <c r="AC11" s="3423" t="s">
        <v>3502</v>
      </c>
      <c r="AD11" s="3423" t="s">
        <v>3433</v>
      </c>
    </row>
    <row r="12" spans="1:30" s="3425" customFormat="1">
      <c r="A12" s="3425">
        <v>11</v>
      </c>
      <c r="B12" s="3425" t="s">
        <v>3731</v>
      </c>
      <c r="C12" s="3425" t="s">
        <v>1465</v>
      </c>
      <c r="D12" s="3425" t="s">
        <v>3505</v>
      </c>
      <c r="E12" s="3425" t="s">
        <v>3732</v>
      </c>
      <c r="F12" s="3425" t="s">
        <v>3733</v>
      </c>
      <c r="G12" s="3425">
        <v>19113.12</v>
      </c>
      <c r="H12" s="3425">
        <v>38226.239999999998</v>
      </c>
      <c r="I12" s="3425" t="s">
        <v>3490</v>
      </c>
      <c r="J12" s="3425" t="s">
        <v>3602</v>
      </c>
      <c r="K12" s="3425" t="s">
        <v>3603</v>
      </c>
      <c r="L12" s="3425" t="s">
        <v>3604</v>
      </c>
      <c r="M12" s="3425" t="s">
        <v>3631</v>
      </c>
      <c r="N12" s="3425" t="s">
        <v>3433</v>
      </c>
      <c r="O12" s="3425" t="s">
        <v>3458</v>
      </c>
      <c r="P12" s="3425" t="s">
        <v>3433</v>
      </c>
      <c r="Q12" s="3425" t="s">
        <v>3737</v>
      </c>
      <c r="R12" s="3425" t="s">
        <v>3442</v>
      </c>
      <c r="S12" s="3425" t="s">
        <v>3443</v>
      </c>
      <c r="T12" s="3425" t="s">
        <v>3738</v>
      </c>
      <c r="U12" s="3425">
        <v>45000</v>
      </c>
      <c r="V12" s="3425">
        <v>23544.03</v>
      </c>
      <c r="W12" s="3425">
        <v>1569.6</v>
      </c>
      <c r="X12" s="3425">
        <v>11772</v>
      </c>
      <c r="Y12" s="3425" t="s">
        <v>3433</v>
      </c>
      <c r="Z12" s="3425">
        <v>0</v>
      </c>
      <c r="AA12" s="3425">
        <v>51750</v>
      </c>
      <c r="AB12" s="3425">
        <v>30000</v>
      </c>
      <c r="AC12" s="3425" t="s">
        <v>3433</v>
      </c>
      <c r="AD12" s="3425" t="s">
        <v>4274</v>
      </c>
    </row>
    <row r="13" spans="1:30">
      <c r="A13" s="3423">
        <v>12</v>
      </c>
      <c r="B13" s="3423" t="s">
        <v>3743</v>
      </c>
      <c r="C13" s="3423" t="s">
        <v>1465</v>
      </c>
      <c r="D13" s="3423" t="s">
        <v>3538</v>
      </c>
      <c r="E13" s="3423" t="s">
        <v>3744</v>
      </c>
      <c r="F13" s="3423" t="s">
        <v>3745</v>
      </c>
      <c r="G13" s="3423">
        <v>34067.89</v>
      </c>
      <c r="H13" s="3423">
        <v>64113.760000000002</v>
      </c>
      <c r="I13" s="3423" t="s">
        <v>3429</v>
      </c>
      <c r="J13" s="3423" t="s">
        <v>3430</v>
      </c>
      <c r="K13" s="3423" t="s">
        <v>3430</v>
      </c>
      <c r="L13" s="3423" t="s">
        <v>3630</v>
      </c>
      <c r="M13" s="3423" t="s">
        <v>3747</v>
      </c>
      <c r="N13" s="3423" t="s">
        <v>3433</v>
      </c>
      <c r="O13" s="3423" t="s">
        <v>3458</v>
      </c>
      <c r="P13" s="3423" t="s">
        <v>3433</v>
      </c>
      <c r="Q13" s="3423" t="s">
        <v>3714</v>
      </c>
      <c r="R13" s="3423" t="s">
        <v>3442</v>
      </c>
      <c r="S13" s="3423" t="s">
        <v>3443</v>
      </c>
      <c r="T13" s="3423" t="s">
        <v>3716</v>
      </c>
      <c r="U13" s="3423">
        <v>120000</v>
      </c>
      <c r="V13" s="3423">
        <v>35223.78</v>
      </c>
      <c r="W13" s="3423">
        <v>2348.25</v>
      </c>
      <c r="X13" s="3423">
        <v>18717</v>
      </c>
      <c r="Y13" s="3423" t="s">
        <v>3433</v>
      </c>
      <c r="Z13" s="3423">
        <v>0</v>
      </c>
      <c r="AA13" s="3423">
        <v>138000</v>
      </c>
      <c r="AB13" s="3423">
        <v>45000</v>
      </c>
      <c r="AC13" s="3423" t="s">
        <v>3502</v>
      </c>
      <c r="AD13" s="3423" t="s">
        <v>3751</v>
      </c>
    </row>
    <row r="14" spans="1:30">
      <c r="A14" s="3423">
        <v>13</v>
      </c>
      <c r="B14" s="3423" t="s">
        <v>3752</v>
      </c>
      <c r="C14" s="3423" t="s">
        <v>1465</v>
      </c>
      <c r="D14" s="3423" t="s">
        <v>3505</v>
      </c>
      <c r="E14" s="3423" t="s">
        <v>3753</v>
      </c>
      <c r="F14" s="3423" t="s">
        <v>3754</v>
      </c>
      <c r="G14" s="3423">
        <v>26969.65</v>
      </c>
      <c r="H14" s="3423">
        <v>70121.08</v>
      </c>
      <c r="I14" s="3423" t="s">
        <v>3429</v>
      </c>
      <c r="J14" s="3423" t="s">
        <v>3666</v>
      </c>
      <c r="K14" s="3423" t="s">
        <v>3543</v>
      </c>
      <c r="L14" s="3423" t="s">
        <v>3431</v>
      </c>
      <c r="M14" s="3423" t="s">
        <v>3755</v>
      </c>
      <c r="N14" s="3423" t="s">
        <v>3433</v>
      </c>
      <c r="O14" s="3423" t="s">
        <v>3458</v>
      </c>
      <c r="P14" s="3423" t="s">
        <v>3433</v>
      </c>
      <c r="Q14" s="3423" t="s">
        <v>3749</v>
      </c>
      <c r="R14" s="3423" t="s">
        <v>3442</v>
      </c>
      <c r="S14" s="3423" t="s">
        <v>3443</v>
      </c>
      <c r="T14" s="3423" t="s">
        <v>3758</v>
      </c>
      <c r="U14" s="3423">
        <v>190000</v>
      </c>
      <c r="V14" s="3423">
        <v>70449.56</v>
      </c>
      <c r="W14" s="3423">
        <v>4696.6400000000003</v>
      </c>
      <c r="X14" s="3423">
        <v>27096</v>
      </c>
      <c r="Y14" s="3423" t="s">
        <v>3433</v>
      </c>
      <c r="Z14" s="3423">
        <v>1.06</v>
      </c>
      <c r="AA14" s="3423">
        <v>216200</v>
      </c>
      <c r="AB14" s="3423">
        <v>59000</v>
      </c>
      <c r="AC14" s="3423" t="s">
        <v>3519</v>
      </c>
      <c r="AD14" s="3423" t="s">
        <v>3762</v>
      </c>
    </row>
    <row r="15" spans="1:30" s="3426" customFormat="1">
      <c r="A15" s="3426">
        <v>14</v>
      </c>
      <c r="B15" s="3426" t="s">
        <v>3763</v>
      </c>
      <c r="C15" s="3426" t="s">
        <v>1465</v>
      </c>
      <c r="D15" s="3426" t="s">
        <v>3505</v>
      </c>
      <c r="E15" s="3426" t="s">
        <v>3732</v>
      </c>
      <c r="F15" s="3426" t="s">
        <v>3764</v>
      </c>
      <c r="G15" s="3426">
        <v>21672.98</v>
      </c>
      <c r="H15" s="3426">
        <v>43345.96</v>
      </c>
      <c r="I15" s="3426" t="s">
        <v>3429</v>
      </c>
      <c r="J15" s="3426" t="s">
        <v>3666</v>
      </c>
      <c r="K15" s="3426" t="s">
        <v>3543</v>
      </c>
      <c r="L15" s="3426" t="s">
        <v>3431</v>
      </c>
      <c r="M15" s="3426" t="s">
        <v>3631</v>
      </c>
      <c r="N15" s="3426" t="s">
        <v>3433</v>
      </c>
      <c r="O15" s="3426" t="s">
        <v>3458</v>
      </c>
      <c r="P15" s="3426" t="s">
        <v>3433</v>
      </c>
      <c r="Q15" s="3426" t="s">
        <v>3749</v>
      </c>
      <c r="R15" s="3426" t="s">
        <v>3442</v>
      </c>
      <c r="S15" s="3426" t="s">
        <v>3443</v>
      </c>
      <c r="T15" s="3426" t="s">
        <v>3282</v>
      </c>
      <c r="U15" s="3426">
        <v>50000</v>
      </c>
      <c r="V15" s="3426">
        <v>23070.2</v>
      </c>
      <c r="W15" s="3426">
        <v>1538.01</v>
      </c>
      <c r="X15" s="3426">
        <v>11535</v>
      </c>
      <c r="Y15" s="3426" t="s">
        <v>3433</v>
      </c>
      <c r="Z15" s="3426">
        <v>0</v>
      </c>
      <c r="AA15" s="3426">
        <v>57500</v>
      </c>
      <c r="AB15" s="3426">
        <v>30000</v>
      </c>
      <c r="AC15" s="3426" t="s">
        <v>3484</v>
      </c>
      <c r="AD15" s="3426" t="s">
        <v>3433</v>
      </c>
    </row>
    <row r="16" spans="1:30">
      <c r="A16" s="3423">
        <v>15</v>
      </c>
      <c r="B16" s="3423" t="s">
        <v>3767</v>
      </c>
      <c r="C16" s="3423" t="s">
        <v>1465</v>
      </c>
      <c r="D16" s="3423" t="s">
        <v>3505</v>
      </c>
      <c r="E16" s="3423" t="s">
        <v>3567</v>
      </c>
      <c r="F16" s="3423" t="s">
        <v>3768</v>
      </c>
      <c r="G16" s="3423">
        <v>26907.21</v>
      </c>
      <c r="H16" s="3423">
        <v>43051.54</v>
      </c>
      <c r="I16" s="3423" t="s">
        <v>3429</v>
      </c>
      <c r="J16" s="3423" t="s">
        <v>3666</v>
      </c>
      <c r="K16" s="3423" t="s">
        <v>3543</v>
      </c>
      <c r="L16" s="3423" t="s">
        <v>3431</v>
      </c>
      <c r="M16" s="3423" t="s">
        <v>3473</v>
      </c>
      <c r="N16" s="3423" t="s">
        <v>3433</v>
      </c>
      <c r="O16" s="3423" t="s">
        <v>3458</v>
      </c>
      <c r="P16" s="3423" t="s">
        <v>3433</v>
      </c>
      <c r="Q16" s="3423" t="s">
        <v>3771</v>
      </c>
      <c r="R16" s="3423" t="s">
        <v>3442</v>
      </c>
      <c r="S16" s="3423" t="s">
        <v>3443</v>
      </c>
      <c r="T16" s="3423" t="s">
        <v>3772</v>
      </c>
      <c r="U16" s="3423">
        <v>97000</v>
      </c>
      <c r="V16" s="3423">
        <v>36049.81</v>
      </c>
      <c r="W16" s="3423">
        <v>2403.3200000000002</v>
      </c>
      <c r="X16" s="3423">
        <v>22531</v>
      </c>
      <c r="Y16" s="3423" t="s">
        <v>3433</v>
      </c>
      <c r="Z16" s="3423">
        <v>0</v>
      </c>
      <c r="AA16" s="3423">
        <v>111550</v>
      </c>
      <c r="AB16" s="3423">
        <v>50000</v>
      </c>
      <c r="AC16" s="3423" t="s">
        <v>3552</v>
      </c>
      <c r="AD16" s="3423" t="s">
        <v>3433</v>
      </c>
    </row>
    <row r="17" spans="1:30">
      <c r="A17" s="3423">
        <v>16</v>
      </c>
      <c r="B17" s="3423" t="s">
        <v>3808</v>
      </c>
      <c r="C17" s="3423" t="s">
        <v>1465</v>
      </c>
      <c r="D17" s="3423" t="s">
        <v>3538</v>
      </c>
      <c r="E17" s="3423" t="s">
        <v>3705</v>
      </c>
      <c r="F17" s="3423" t="s">
        <v>3809</v>
      </c>
      <c r="G17" s="3423">
        <v>46884.93</v>
      </c>
      <c r="H17" s="3423">
        <v>89859.67</v>
      </c>
      <c r="I17" s="3423" t="s">
        <v>3490</v>
      </c>
      <c r="J17" s="3423" t="s">
        <v>3492</v>
      </c>
      <c r="K17" s="3423" t="s">
        <v>3492</v>
      </c>
      <c r="L17" s="3423" t="s">
        <v>3811</v>
      </c>
      <c r="M17" s="3423" t="s">
        <v>3812</v>
      </c>
      <c r="N17" s="3423" t="s">
        <v>3433</v>
      </c>
      <c r="O17" s="3423" t="s">
        <v>3458</v>
      </c>
      <c r="P17" s="3423" t="s">
        <v>3433</v>
      </c>
      <c r="Q17" s="3423" t="s">
        <v>3804</v>
      </c>
      <c r="R17" s="3423" t="s">
        <v>3442</v>
      </c>
      <c r="S17" s="3423" t="s">
        <v>3443</v>
      </c>
      <c r="T17" s="3423" t="s">
        <v>3813</v>
      </c>
      <c r="U17" s="3423">
        <v>151000</v>
      </c>
      <c r="V17" s="3423">
        <v>32206.51</v>
      </c>
      <c r="W17" s="3423">
        <v>2147.1</v>
      </c>
      <c r="X17" s="3423">
        <v>16804</v>
      </c>
      <c r="Y17" s="3423" t="s">
        <v>3433</v>
      </c>
      <c r="Z17" s="3423">
        <v>10.220000000000001</v>
      </c>
      <c r="AA17" s="3423">
        <v>157550</v>
      </c>
      <c r="AB17" s="3423">
        <v>45000</v>
      </c>
      <c r="AC17" s="3423" t="s">
        <v>3502</v>
      </c>
      <c r="AD17" s="3423" t="s">
        <v>3814</v>
      </c>
    </row>
    <row r="18" spans="1:30" s="3425" customFormat="1">
      <c r="A18" s="3425">
        <v>17</v>
      </c>
      <c r="B18" s="3425" t="s">
        <v>3815</v>
      </c>
      <c r="C18" s="3425" t="s">
        <v>1465</v>
      </c>
      <c r="D18" s="3425" t="s">
        <v>3538</v>
      </c>
      <c r="E18" s="3425" t="s">
        <v>3816</v>
      </c>
      <c r="F18" s="3425" t="s">
        <v>3817</v>
      </c>
      <c r="G18" s="3425">
        <v>69837.09</v>
      </c>
      <c r="H18" s="3425">
        <v>104756</v>
      </c>
      <c r="I18" s="3425" t="s">
        <v>3429</v>
      </c>
      <c r="J18" s="3425" t="s">
        <v>3666</v>
      </c>
      <c r="K18" s="3425" t="s">
        <v>3543</v>
      </c>
      <c r="L18" s="3425" t="s">
        <v>3431</v>
      </c>
      <c r="M18" s="3425" t="s">
        <v>3819</v>
      </c>
      <c r="N18" s="3425" t="s">
        <v>3433</v>
      </c>
      <c r="O18" s="3425" t="s">
        <v>3458</v>
      </c>
      <c r="P18" s="3425" t="s">
        <v>3433</v>
      </c>
      <c r="Q18" s="3425" t="s">
        <v>3822</v>
      </c>
      <c r="R18" s="3425" t="s">
        <v>3442</v>
      </c>
      <c r="S18" s="3425" t="s">
        <v>3479</v>
      </c>
      <c r="T18" s="3425" t="s">
        <v>3823</v>
      </c>
      <c r="U18" s="3425">
        <v>120000</v>
      </c>
      <c r="V18" s="3425">
        <v>17182.84</v>
      </c>
      <c r="W18" s="3425">
        <v>1145.52</v>
      </c>
      <c r="X18" s="3425">
        <v>11455</v>
      </c>
      <c r="Y18" s="3425" t="s">
        <v>3433</v>
      </c>
      <c r="Z18" s="3425">
        <v>0</v>
      </c>
      <c r="AA18" s="3425">
        <v>138000</v>
      </c>
      <c r="AB18" s="3425">
        <v>37000</v>
      </c>
      <c r="AC18" s="3425" t="s">
        <v>3484</v>
      </c>
      <c r="AD18" s="3425" t="s">
        <v>4275</v>
      </c>
    </row>
    <row r="19" spans="1:30">
      <c r="A19" s="3423">
        <v>18</v>
      </c>
      <c r="B19" s="3423" t="s">
        <v>3845</v>
      </c>
      <c r="C19" s="3423" t="s">
        <v>1465</v>
      </c>
      <c r="D19" s="3423" t="s">
        <v>3505</v>
      </c>
      <c r="E19" s="3423" t="s">
        <v>3846</v>
      </c>
      <c r="F19" s="3423" t="s">
        <v>3847</v>
      </c>
      <c r="G19" s="3423">
        <v>64837.47</v>
      </c>
      <c r="H19" s="3423">
        <v>124634.93</v>
      </c>
      <c r="I19" s="3423" t="s">
        <v>3490</v>
      </c>
      <c r="J19" s="3423" t="s">
        <v>3491</v>
      </c>
      <c r="K19" s="3423" t="s">
        <v>3509</v>
      </c>
      <c r="L19" s="3423" t="s">
        <v>3837</v>
      </c>
      <c r="M19" s="3423" t="s">
        <v>3848</v>
      </c>
      <c r="N19" s="3423" t="s">
        <v>3433</v>
      </c>
      <c r="O19" s="3423" t="s">
        <v>3458</v>
      </c>
      <c r="P19" s="3423" t="s">
        <v>3433</v>
      </c>
      <c r="Q19" s="3423" t="s">
        <v>3853</v>
      </c>
      <c r="R19" s="3423" t="s">
        <v>3442</v>
      </c>
      <c r="S19" s="3423" t="s">
        <v>3479</v>
      </c>
      <c r="T19" s="3423" t="s">
        <v>3854</v>
      </c>
      <c r="U19" s="3423">
        <v>381800</v>
      </c>
      <c r="V19" s="3423">
        <v>58885.7</v>
      </c>
      <c r="W19" s="3423">
        <v>3925.71</v>
      </c>
      <c r="X19" s="3423">
        <v>30633</v>
      </c>
      <c r="Y19" s="3423" t="s">
        <v>3433</v>
      </c>
      <c r="Z19" s="3423">
        <v>15</v>
      </c>
      <c r="AA19" s="3423">
        <v>381800</v>
      </c>
      <c r="AB19" s="3423">
        <v>59000</v>
      </c>
      <c r="AC19" s="3423" t="s">
        <v>3519</v>
      </c>
      <c r="AD19" s="3423" t="s">
        <v>3856</v>
      </c>
    </row>
    <row r="20" spans="1:30">
      <c r="A20" s="3423">
        <v>19</v>
      </c>
      <c r="B20" s="3423" t="s">
        <v>3857</v>
      </c>
      <c r="C20" s="3423" t="s">
        <v>1465</v>
      </c>
      <c r="D20" s="3423" t="s">
        <v>3505</v>
      </c>
      <c r="E20" s="3423" t="s">
        <v>3555</v>
      </c>
      <c r="F20" s="3423" t="s">
        <v>3858</v>
      </c>
      <c r="G20" s="3423">
        <v>45954.22</v>
      </c>
      <c r="H20" s="3423">
        <v>91908.44</v>
      </c>
      <c r="I20" s="3423" t="s">
        <v>3429</v>
      </c>
      <c r="J20" s="3423" t="s">
        <v>3666</v>
      </c>
      <c r="K20" s="3423" t="s">
        <v>3543</v>
      </c>
      <c r="L20" s="3423" t="s">
        <v>3431</v>
      </c>
      <c r="M20" s="3423" t="s">
        <v>3631</v>
      </c>
      <c r="N20" s="3423" t="s">
        <v>3433</v>
      </c>
      <c r="O20" s="3423" t="s">
        <v>3458</v>
      </c>
      <c r="P20" s="3423" t="s">
        <v>3433</v>
      </c>
      <c r="Q20" s="3423" t="s">
        <v>3853</v>
      </c>
      <c r="R20" s="3423" t="s">
        <v>3442</v>
      </c>
      <c r="S20" s="3423" t="s">
        <v>3479</v>
      </c>
      <c r="T20" s="3423" t="s">
        <v>3659</v>
      </c>
      <c r="U20" s="3423">
        <v>287500</v>
      </c>
      <c r="V20" s="3423">
        <v>62562.26</v>
      </c>
      <c r="W20" s="3423">
        <v>4170.82</v>
      </c>
      <c r="X20" s="3423">
        <v>31281</v>
      </c>
      <c r="Y20" s="3423" t="s">
        <v>3433</v>
      </c>
      <c r="Z20" s="3423">
        <v>15</v>
      </c>
      <c r="AA20" s="3423">
        <v>287500</v>
      </c>
      <c r="AB20" s="3423">
        <v>59000</v>
      </c>
      <c r="AC20" s="3423" t="s">
        <v>3502</v>
      </c>
      <c r="AD20" s="3423" t="s">
        <v>3860</v>
      </c>
    </row>
    <row r="21" spans="1:30">
      <c r="A21" s="3423">
        <v>20</v>
      </c>
      <c r="B21" s="3423" t="s">
        <v>3862</v>
      </c>
      <c r="C21" s="3423" t="s">
        <v>1465</v>
      </c>
      <c r="D21" s="3423" t="s">
        <v>3505</v>
      </c>
      <c r="E21" s="3423" t="s">
        <v>3506</v>
      </c>
      <c r="F21" s="3423" t="s">
        <v>3863</v>
      </c>
      <c r="G21" s="3423">
        <v>57292.65</v>
      </c>
      <c r="H21" s="3423">
        <v>134221.63</v>
      </c>
      <c r="I21" s="3423" t="s">
        <v>3490</v>
      </c>
      <c r="J21" s="3423" t="s">
        <v>3491</v>
      </c>
      <c r="K21" s="3423" t="s">
        <v>3492</v>
      </c>
      <c r="L21" s="3423" t="s">
        <v>3837</v>
      </c>
      <c r="M21" s="3423" t="s">
        <v>3865</v>
      </c>
      <c r="N21" s="3423" t="s">
        <v>3433</v>
      </c>
      <c r="O21" s="3423" t="s">
        <v>3458</v>
      </c>
      <c r="P21" s="3423" t="s">
        <v>3433</v>
      </c>
      <c r="Q21" s="3423" t="s">
        <v>3869</v>
      </c>
      <c r="R21" s="3423" t="s">
        <v>3442</v>
      </c>
      <c r="S21" s="3423" t="s">
        <v>3479</v>
      </c>
      <c r="T21" s="3423" t="s">
        <v>3870</v>
      </c>
      <c r="U21" s="3423">
        <v>540500</v>
      </c>
      <c r="V21" s="3423">
        <v>94340.19</v>
      </c>
      <c r="W21" s="3423">
        <v>6289.35</v>
      </c>
      <c r="X21" s="3423">
        <v>40269</v>
      </c>
      <c r="Y21" s="3423" t="s">
        <v>3433</v>
      </c>
      <c r="Z21" s="3423">
        <v>15</v>
      </c>
      <c r="AA21" s="3423">
        <v>540500</v>
      </c>
      <c r="AB21" s="3423">
        <v>66000</v>
      </c>
      <c r="AC21" s="3423" t="s">
        <v>3519</v>
      </c>
      <c r="AD21" s="3423" t="s">
        <v>3873</v>
      </c>
    </row>
    <row r="22" spans="1:30" s="3425" customFormat="1">
      <c r="A22" s="3425">
        <v>21</v>
      </c>
      <c r="B22" s="3425" t="s">
        <v>3893</v>
      </c>
      <c r="C22" s="3425" t="s">
        <v>1465</v>
      </c>
      <c r="D22" s="3425" t="s">
        <v>3538</v>
      </c>
      <c r="E22" s="3425" t="s">
        <v>3894</v>
      </c>
      <c r="F22" s="3425" t="s">
        <v>3895</v>
      </c>
      <c r="G22" s="3425">
        <v>31558.240000000002</v>
      </c>
      <c r="H22" s="3425">
        <v>88363.07</v>
      </c>
      <c r="I22" s="3425" t="s">
        <v>3429</v>
      </c>
      <c r="J22" s="3425" t="s">
        <v>3666</v>
      </c>
      <c r="K22" s="3425" t="s">
        <v>3543</v>
      </c>
      <c r="L22" s="3425" t="s">
        <v>3431</v>
      </c>
      <c r="M22" s="3425" t="s">
        <v>3897</v>
      </c>
      <c r="N22" s="3425" t="s">
        <v>3433</v>
      </c>
      <c r="O22" s="3425" t="s">
        <v>3458</v>
      </c>
      <c r="P22" s="3425" t="s">
        <v>3433</v>
      </c>
      <c r="Q22" s="3425" t="s">
        <v>3851</v>
      </c>
      <c r="R22" s="3425" t="s">
        <v>3442</v>
      </c>
      <c r="S22" s="3425" t="s">
        <v>3479</v>
      </c>
      <c r="T22" s="3425" t="s">
        <v>3633</v>
      </c>
      <c r="U22" s="3425">
        <v>88100</v>
      </c>
      <c r="V22" s="3425">
        <v>27916.63</v>
      </c>
      <c r="W22" s="3425">
        <v>1861.11</v>
      </c>
      <c r="X22" s="3425">
        <v>9970</v>
      </c>
      <c r="Y22" s="3425" t="s">
        <v>3433</v>
      </c>
      <c r="Z22" s="3425">
        <v>0</v>
      </c>
      <c r="AA22" s="3425">
        <v>101315</v>
      </c>
      <c r="AB22" s="3425">
        <v>27000</v>
      </c>
      <c r="AC22" s="3425" t="s">
        <v>3786</v>
      </c>
      <c r="AD22" s="3425" t="s">
        <v>4276</v>
      </c>
    </row>
    <row r="23" spans="1:30">
      <c r="A23" s="3423">
        <v>22</v>
      </c>
      <c r="B23" s="3423" t="s">
        <v>3899</v>
      </c>
      <c r="C23" s="3423" t="s">
        <v>1465</v>
      </c>
      <c r="D23" s="3423" t="s">
        <v>3505</v>
      </c>
      <c r="E23" s="3423" t="s">
        <v>3567</v>
      </c>
      <c r="F23" s="3423" t="s">
        <v>3900</v>
      </c>
      <c r="G23" s="3423">
        <v>27822.39</v>
      </c>
      <c r="H23" s="3423">
        <v>44515.82</v>
      </c>
      <c r="I23" s="3423" t="s">
        <v>3429</v>
      </c>
      <c r="J23" s="3423" t="s">
        <v>3430</v>
      </c>
      <c r="K23" s="3423" t="s">
        <v>3430</v>
      </c>
      <c r="L23" s="3423" t="s">
        <v>3630</v>
      </c>
      <c r="M23" s="3423" t="s">
        <v>3473</v>
      </c>
      <c r="N23" s="3423" t="s">
        <v>3433</v>
      </c>
      <c r="O23" s="3423" t="s">
        <v>3458</v>
      </c>
      <c r="P23" s="3423" t="s">
        <v>3433</v>
      </c>
      <c r="Q23" s="3423" t="s">
        <v>3904</v>
      </c>
      <c r="R23" s="3423" t="s">
        <v>3442</v>
      </c>
      <c r="S23" s="3423" t="s">
        <v>3479</v>
      </c>
      <c r="T23" s="3423" t="s">
        <v>3905</v>
      </c>
      <c r="U23" s="3423">
        <v>100000</v>
      </c>
      <c r="V23" s="3423">
        <v>35942.269999999997</v>
      </c>
      <c r="W23" s="3423">
        <v>2396.15</v>
      </c>
      <c r="X23" s="3423">
        <v>22464</v>
      </c>
      <c r="Y23" s="3423" t="s">
        <v>3433</v>
      </c>
      <c r="Z23" s="3423">
        <v>0</v>
      </c>
      <c r="AA23" s="3423">
        <v>115000</v>
      </c>
      <c r="AB23" s="3423">
        <v>50000</v>
      </c>
      <c r="AC23" s="3423" t="s">
        <v>3552</v>
      </c>
      <c r="AD23" s="3423" t="s">
        <v>3908</v>
      </c>
    </row>
    <row r="24" spans="1:30">
      <c r="A24" s="3423">
        <v>23</v>
      </c>
      <c r="B24" s="3423" t="s">
        <v>3930</v>
      </c>
      <c r="C24" s="3423" t="s">
        <v>1465</v>
      </c>
      <c r="D24" s="3423" t="s">
        <v>3505</v>
      </c>
      <c r="E24" s="3423" t="s">
        <v>3931</v>
      </c>
      <c r="F24" s="3423" t="s">
        <v>3932</v>
      </c>
      <c r="G24" s="3423">
        <v>77391.100000000006</v>
      </c>
      <c r="H24" s="3423">
        <v>177999.53</v>
      </c>
      <c r="I24" s="3423" t="s">
        <v>3429</v>
      </c>
      <c r="J24" s="3423" t="s">
        <v>3666</v>
      </c>
      <c r="K24" s="3423" t="s">
        <v>3543</v>
      </c>
      <c r="L24" s="3423" t="s">
        <v>3431</v>
      </c>
      <c r="M24" s="3423" t="s">
        <v>3934</v>
      </c>
      <c r="N24" s="3423" t="s">
        <v>3433</v>
      </c>
      <c r="O24" s="3423" t="s">
        <v>3458</v>
      </c>
      <c r="P24" s="3423" t="s">
        <v>3433</v>
      </c>
      <c r="Q24" s="3423" t="s">
        <v>3940</v>
      </c>
      <c r="R24" s="3423" t="s">
        <v>3442</v>
      </c>
      <c r="S24" s="3423" t="s">
        <v>3479</v>
      </c>
      <c r="T24" s="3423" t="s">
        <v>3941</v>
      </c>
      <c r="U24" s="3423">
        <v>791200</v>
      </c>
      <c r="V24" s="3423">
        <v>102233.98</v>
      </c>
      <c r="W24" s="3423">
        <v>6815.6</v>
      </c>
      <c r="X24" s="3423">
        <v>44450</v>
      </c>
      <c r="Y24" s="3423" t="s">
        <v>3433</v>
      </c>
      <c r="Z24" s="3423">
        <v>15</v>
      </c>
      <c r="AA24" s="3423">
        <v>791200</v>
      </c>
      <c r="AB24" s="3423">
        <v>77000</v>
      </c>
      <c r="AC24" s="3423" t="s">
        <v>3502</v>
      </c>
      <c r="AD24" s="3423" t="s">
        <v>3943</v>
      </c>
    </row>
    <row r="25" spans="1:30">
      <c r="A25" s="3423">
        <v>24</v>
      </c>
      <c r="B25" s="3423" t="s">
        <v>3969</v>
      </c>
      <c r="C25" s="3423" t="s">
        <v>1465</v>
      </c>
      <c r="D25" s="3423" t="s">
        <v>3505</v>
      </c>
      <c r="E25" s="3423" t="s">
        <v>3970</v>
      </c>
      <c r="F25" s="3423" t="s">
        <v>3971</v>
      </c>
      <c r="G25" s="3423">
        <v>43400</v>
      </c>
      <c r="H25" s="3423">
        <v>86800</v>
      </c>
      <c r="I25" s="3423" t="s">
        <v>3429</v>
      </c>
      <c r="J25" s="3423" t="s">
        <v>3666</v>
      </c>
      <c r="K25" s="3423" t="s">
        <v>3543</v>
      </c>
      <c r="L25" s="3423" t="s">
        <v>3431</v>
      </c>
      <c r="M25" s="3423" t="s">
        <v>3631</v>
      </c>
      <c r="N25" s="3423" t="s">
        <v>3433</v>
      </c>
      <c r="O25" s="3423" t="s">
        <v>3458</v>
      </c>
      <c r="P25" s="3423" t="s">
        <v>3433</v>
      </c>
      <c r="Q25" s="3423" t="s">
        <v>3963</v>
      </c>
      <c r="R25" s="3423" t="s">
        <v>3442</v>
      </c>
      <c r="S25" s="3423" t="s">
        <v>3479</v>
      </c>
      <c r="T25" s="3423" t="s">
        <v>3463</v>
      </c>
      <c r="U25" s="3423">
        <v>330050</v>
      </c>
      <c r="V25" s="3423">
        <v>76048.39</v>
      </c>
      <c r="W25" s="3423">
        <v>5069.8900000000003</v>
      </c>
      <c r="X25" s="3423">
        <v>38024</v>
      </c>
      <c r="Y25" s="3423" t="s">
        <v>3433</v>
      </c>
      <c r="Z25" s="3423">
        <v>15</v>
      </c>
      <c r="AA25" s="3423">
        <v>330050</v>
      </c>
      <c r="AB25" s="3423">
        <v>58000</v>
      </c>
      <c r="AC25" s="3423" t="s">
        <v>3502</v>
      </c>
      <c r="AD25" s="3423" t="s">
        <v>3973</v>
      </c>
    </row>
    <row r="26" spans="1:30">
      <c r="A26" s="3423">
        <v>25</v>
      </c>
      <c r="B26" s="3423" t="s">
        <v>3981</v>
      </c>
      <c r="C26" s="3423" t="s">
        <v>1465</v>
      </c>
      <c r="D26" s="3423" t="s">
        <v>3505</v>
      </c>
      <c r="E26" s="3423" t="s">
        <v>3506</v>
      </c>
      <c r="F26" s="3423" t="s">
        <v>3982</v>
      </c>
      <c r="G26" s="3423">
        <v>41091.4</v>
      </c>
      <c r="H26" s="3423">
        <v>93718.5</v>
      </c>
      <c r="I26" s="3423" t="s">
        <v>3490</v>
      </c>
      <c r="J26" s="3423" t="s">
        <v>3491</v>
      </c>
      <c r="K26" s="3423" t="s">
        <v>3492</v>
      </c>
      <c r="L26" s="3423" t="s">
        <v>3984</v>
      </c>
      <c r="M26" s="3423" t="s">
        <v>3985</v>
      </c>
      <c r="N26" s="3423" t="s">
        <v>3433</v>
      </c>
      <c r="O26" s="3423" t="s">
        <v>3458</v>
      </c>
      <c r="P26" s="3423" t="s">
        <v>3433</v>
      </c>
      <c r="Q26" s="3423" t="s">
        <v>3989</v>
      </c>
      <c r="R26" s="3423" t="s">
        <v>3442</v>
      </c>
      <c r="S26" s="3423" t="s">
        <v>3479</v>
      </c>
      <c r="T26" s="3423" t="s">
        <v>3990</v>
      </c>
      <c r="U26" s="3423">
        <v>372600</v>
      </c>
      <c r="V26" s="3423">
        <v>90675.91</v>
      </c>
      <c r="W26" s="3423">
        <v>6045.06</v>
      </c>
      <c r="X26" s="3423">
        <v>39757</v>
      </c>
      <c r="Y26" s="3423" t="s">
        <v>3433</v>
      </c>
      <c r="Z26" s="3423">
        <v>15</v>
      </c>
      <c r="AA26" s="3423">
        <v>372600</v>
      </c>
      <c r="AB26" s="3423">
        <v>66000</v>
      </c>
      <c r="AC26" s="3423" t="s">
        <v>3519</v>
      </c>
      <c r="AD26" s="3423" t="s">
        <v>3993</v>
      </c>
    </row>
    <row r="27" spans="1:30" s="3427" customFormat="1">
      <c r="A27" s="3427">
        <v>26</v>
      </c>
      <c r="B27" s="3427" t="s">
        <v>4003</v>
      </c>
      <c r="C27" s="3427" t="s">
        <v>1465</v>
      </c>
      <c r="D27" s="3427" t="s">
        <v>3505</v>
      </c>
      <c r="E27" s="3427" t="s">
        <v>4004</v>
      </c>
      <c r="F27" s="3427" t="s">
        <v>4005</v>
      </c>
      <c r="G27" s="3427">
        <v>59523.360000000001</v>
      </c>
      <c r="H27" s="3427">
        <v>130951.38</v>
      </c>
      <c r="I27" s="3427" t="s">
        <v>3429</v>
      </c>
      <c r="J27" s="3427" t="s">
        <v>4006</v>
      </c>
      <c r="K27" s="3427" t="s">
        <v>3543</v>
      </c>
      <c r="L27" s="3427" t="s">
        <v>3431</v>
      </c>
      <c r="M27" s="3427" t="s">
        <v>3432</v>
      </c>
      <c r="N27" s="3427" t="s">
        <v>3433</v>
      </c>
      <c r="O27" s="3427" t="s">
        <v>3458</v>
      </c>
      <c r="P27" s="3427" t="s">
        <v>3433</v>
      </c>
      <c r="Q27" s="3427" t="s">
        <v>4009</v>
      </c>
      <c r="R27" s="3427" t="s">
        <v>3442</v>
      </c>
      <c r="S27" s="3427" t="s">
        <v>3479</v>
      </c>
      <c r="T27" s="3427" t="s">
        <v>4010</v>
      </c>
      <c r="U27" s="3427">
        <v>188205.82</v>
      </c>
      <c r="V27" s="3427">
        <v>31618.81</v>
      </c>
      <c r="W27" s="3427">
        <v>2107.92</v>
      </c>
      <c r="X27" s="3427">
        <v>14372</v>
      </c>
      <c r="Y27" s="3427" t="s">
        <v>3433</v>
      </c>
      <c r="Z27" s="3427">
        <v>0</v>
      </c>
      <c r="AA27" s="3427" t="s">
        <v>3433</v>
      </c>
      <c r="AB27" s="3427">
        <v>29000</v>
      </c>
      <c r="AC27" s="3427" t="s">
        <v>3502</v>
      </c>
      <c r="AD27" s="3427" t="s">
        <v>3433</v>
      </c>
    </row>
    <row r="28" spans="1:30" s="3427" customFormat="1">
      <c r="A28" s="3427">
        <v>27</v>
      </c>
      <c r="B28" s="3427" t="s">
        <v>4126</v>
      </c>
      <c r="C28" s="3427" t="s">
        <v>1465</v>
      </c>
      <c r="D28" s="3427" t="s">
        <v>3505</v>
      </c>
      <c r="E28" s="3427" t="s">
        <v>4004</v>
      </c>
      <c r="F28" s="3427" t="s">
        <v>4127</v>
      </c>
      <c r="G28" s="3427">
        <v>87287.8</v>
      </c>
      <c r="H28" s="3427">
        <v>192033.17</v>
      </c>
      <c r="I28" s="3427" t="s">
        <v>3429</v>
      </c>
      <c r="J28" s="3427" t="s">
        <v>4006</v>
      </c>
      <c r="K28" s="3427" t="s">
        <v>3543</v>
      </c>
      <c r="L28" s="3427" t="s">
        <v>3431</v>
      </c>
      <c r="M28" s="3427" t="s">
        <v>3432</v>
      </c>
      <c r="N28" s="3427" t="s">
        <v>3433</v>
      </c>
      <c r="O28" s="3427" t="s">
        <v>3458</v>
      </c>
      <c r="P28" s="3427" t="s">
        <v>3433</v>
      </c>
      <c r="Q28" s="3427" t="s">
        <v>4128</v>
      </c>
      <c r="R28" s="3427" t="s">
        <v>3442</v>
      </c>
      <c r="S28" s="3427" t="s">
        <v>3479</v>
      </c>
      <c r="T28" s="3427" t="s">
        <v>3694</v>
      </c>
      <c r="U28" s="3427">
        <v>275143.78999999998</v>
      </c>
      <c r="V28" s="3427">
        <v>31521.45</v>
      </c>
      <c r="W28" s="3427">
        <v>2101.4299999999998</v>
      </c>
      <c r="X28" s="3427">
        <v>14328</v>
      </c>
      <c r="Y28" s="3427" t="s">
        <v>3433</v>
      </c>
      <c r="Z28" s="3427">
        <v>0</v>
      </c>
      <c r="AA28" s="3427" t="s">
        <v>3433</v>
      </c>
      <c r="AB28" s="3427">
        <v>29000</v>
      </c>
      <c r="AC28" s="3427" t="s">
        <v>3502</v>
      </c>
      <c r="AD28" s="3427" t="s">
        <v>4129</v>
      </c>
    </row>
    <row r="29" spans="1:30">
      <c r="A29" s="3423">
        <v>28</v>
      </c>
      <c r="B29" s="3423" t="s">
        <v>4130</v>
      </c>
      <c r="C29" s="3423" t="s">
        <v>1465</v>
      </c>
      <c r="D29" s="3423" t="s">
        <v>3538</v>
      </c>
      <c r="E29" s="3423" t="s">
        <v>3539</v>
      </c>
      <c r="F29" s="3423" t="s">
        <v>4131</v>
      </c>
      <c r="G29" s="3423">
        <v>31231.38</v>
      </c>
      <c r="H29" s="3423">
        <v>78078.45</v>
      </c>
      <c r="I29" s="3423" t="s">
        <v>3429</v>
      </c>
      <c r="J29" s="3423" t="s">
        <v>3430</v>
      </c>
      <c r="K29" s="3423" t="s">
        <v>3430</v>
      </c>
      <c r="L29" s="3423" t="s">
        <v>3630</v>
      </c>
      <c r="M29" s="3423" t="s">
        <v>3655</v>
      </c>
      <c r="N29" s="3423" t="s">
        <v>3433</v>
      </c>
      <c r="O29" s="3423" t="s">
        <v>3458</v>
      </c>
      <c r="P29" s="3423" t="s">
        <v>4132</v>
      </c>
      <c r="Q29" s="3423" t="s">
        <v>4133</v>
      </c>
      <c r="R29" s="3423" t="s">
        <v>3442</v>
      </c>
      <c r="S29" s="3423" t="s">
        <v>3479</v>
      </c>
      <c r="T29" s="3423" t="s">
        <v>4134</v>
      </c>
      <c r="U29" s="3423">
        <v>172000</v>
      </c>
      <c r="V29" s="3423">
        <v>55072.81</v>
      </c>
      <c r="W29" s="3423">
        <v>3671.52</v>
      </c>
      <c r="X29" s="3423">
        <v>22029</v>
      </c>
      <c r="Y29" s="3423" t="s">
        <v>3433</v>
      </c>
      <c r="Z29" s="3423">
        <v>0</v>
      </c>
      <c r="AA29" s="3423">
        <v>197800</v>
      </c>
      <c r="AB29" s="3423">
        <v>45000</v>
      </c>
      <c r="AC29" s="3423" t="s">
        <v>3502</v>
      </c>
      <c r="AD29" s="3423" t="s">
        <v>4135</v>
      </c>
    </row>
    <row r="30" spans="1:30">
      <c r="A30" s="3423">
        <v>29</v>
      </c>
      <c r="B30" s="3423" t="s">
        <v>4136</v>
      </c>
      <c r="C30" s="3423" t="s">
        <v>1465</v>
      </c>
      <c r="D30" s="3423" t="s">
        <v>3505</v>
      </c>
      <c r="E30" s="3423" t="s">
        <v>4137</v>
      </c>
      <c r="F30" s="3423" t="s">
        <v>4138</v>
      </c>
      <c r="G30" s="3423">
        <v>71668</v>
      </c>
      <c r="H30" s="3423">
        <v>194641.99</v>
      </c>
      <c r="I30" s="3423" t="s">
        <v>3490</v>
      </c>
      <c r="J30" s="3423" t="s">
        <v>4139</v>
      </c>
      <c r="K30" s="3423" t="s">
        <v>4140</v>
      </c>
      <c r="L30" s="3423" t="s">
        <v>4141</v>
      </c>
      <c r="M30" s="3423" t="s">
        <v>4142</v>
      </c>
      <c r="N30" s="3423" t="s">
        <v>3433</v>
      </c>
      <c r="O30" s="3423" t="s">
        <v>3458</v>
      </c>
      <c r="P30" s="3423" t="s">
        <v>4132</v>
      </c>
      <c r="Q30" s="3423" t="s">
        <v>4133</v>
      </c>
      <c r="R30" s="3423" t="s">
        <v>3442</v>
      </c>
      <c r="S30" s="3423" t="s">
        <v>3479</v>
      </c>
      <c r="T30" s="3423" t="s">
        <v>4143</v>
      </c>
      <c r="U30" s="3423">
        <v>311200</v>
      </c>
      <c r="V30" s="3423">
        <v>43422.45</v>
      </c>
      <c r="W30" s="3423">
        <v>2894.83</v>
      </c>
      <c r="X30" s="3423">
        <v>15988</v>
      </c>
      <c r="Y30" s="3423" t="s">
        <v>3433</v>
      </c>
      <c r="Z30" s="3423">
        <v>0</v>
      </c>
      <c r="AA30" s="3423">
        <v>357880</v>
      </c>
      <c r="AB30" s="3423">
        <v>58000</v>
      </c>
      <c r="AC30" s="3423" t="s">
        <v>3519</v>
      </c>
      <c r="AD30" s="3423" t="s">
        <v>3433</v>
      </c>
    </row>
  </sheetData>
  <autoFilter ref="A1:AD30"/>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B2" sqref="B2"/>
    </sheetView>
  </sheetViews>
  <sheetFormatPr defaultColWidth="6.625" defaultRowHeight="12.75"/>
  <cols>
    <col min="1" max="1" width="9.75" style="1729" customWidth="1"/>
    <col min="2" max="2" width="25.75" style="1719" customWidth="1"/>
    <col min="3" max="3" width="10.375" style="1730" customWidth="1"/>
    <col min="4" max="4" width="12" style="1719" customWidth="1"/>
    <col min="5" max="5" width="9.5" style="1729" customWidth="1"/>
    <col min="6" max="6" width="10.125" style="1719" customWidth="1"/>
    <col min="7" max="7" width="11.62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31" s="1651" customFormat="1" ht="20.25">
      <c r="A1" s="1708" t="s">
        <v>426</v>
      </c>
      <c r="B1" s="2116"/>
      <c r="C1" s="1709"/>
      <c r="D1" s="1709"/>
      <c r="E1" s="1709"/>
      <c r="F1" s="1709"/>
      <c r="G1" s="1709"/>
      <c r="H1" s="1709"/>
      <c r="I1" s="1709"/>
      <c r="J1" s="1709"/>
      <c r="K1" s="390">
        <f>MATCH(B1,'数据-取费表'!A6:A16,0)+5</f>
        <v>11</v>
      </c>
      <c r="L1" s="235"/>
      <c r="M1" s="235"/>
      <c r="N1" s="235"/>
      <c r="O1" s="235"/>
      <c r="P1" s="235"/>
      <c r="Q1" s="235"/>
      <c r="R1" s="235"/>
      <c r="S1" s="235"/>
      <c r="T1" s="235"/>
      <c r="U1" s="235"/>
      <c r="V1" s="235"/>
      <c r="W1" s="235"/>
      <c r="X1" s="235"/>
      <c r="Y1" s="235"/>
      <c r="Z1" s="235"/>
    </row>
    <row r="2" spans="1:31" s="1651" customFormat="1" ht="18" customHeight="1">
      <c r="A2" s="1706" t="s">
        <v>427</v>
      </c>
      <c r="B2" s="1710">
        <f ca="1">C36</f>
        <v>55445</v>
      </c>
      <c r="C2" s="1709"/>
      <c r="D2" s="1709"/>
      <c r="E2" s="1709"/>
      <c r="F2" s="1709"/>
      <c r="G2" s="1709"/>
      <c r="H2" s="1709"/>
      <c r="I2" s="1709"/>
      <c r="J2" s="1709"/>
      <c r="K2" s="1709"/>
      <c r="L2" s="235"/>
      <c r="M2" s="235"/>
      <c r="N2" s="235"/>
      <c r="O2" s="235"/>
      <c r="P2" s="235"/>
      <c r="Q2" s="235"/>
      <c r="R2" s="235"/>
      <c r="S2" s="235"/>
      <c r="T2" s="235"/>
      <c r="U2" s="235"/>
      <c r="V2" s="235"/>
      <c r="W2" s="235"/>
      <c r="X2" s="235"/>
      <c r="Y2" s="235"/>
      <c r="Z2" s="235"/>
    </row>
    <row r="3" spans="1:31" s="1651" customFormat="1" ht="18" customHeight="1">
      <c r="A3" s="1711" t="s">
        <v>1217</v>
      </c>
      <c r="B3" s="1712">
        <f ca="1">ROUND(B2*10000/IF(B1="",'数据-汇总表'!E3,INDIRECT("'数据-取费表'!K"&amp;$K$1)),0)</f>
        <v>9561</v>
      </c>
      <c r="C3" s="1709"/>
      <c r="D3" s="1709"/>
      <c r="E3" s="1709"/>
      <c r="F3" s="1709"/>
      <c r="G3" s="1709"/>
      <c r="H3" s="1709"/>
      <c r="I3" s="1709"/>
      <c r="J3" s="1709"/>
      <c r="K3" s="1709"/>
      <c r="L3" s="235"/>
      <c r="M3" s="235"/>
      <c r="N3" s="235"/>
      <c r="O3" s="235"/>
      <c r="P3" s="235"/>
      <c r="Q3" s="235"/>
      <c r="R3" s="235"/>
      <c r="S3" s="235"/>
      <c r="T3" s="235"/>
      <c r="U3" s="235"/>
      <c r="V3" s="235"/>
      <c r="W3" s="235"/>
      <c r="X3" s="235"/>
      <c r="Y3" s="235"/>
      <c r="Z3" s="235"/>
    </row>
    <row r="4" spans="1:31" s="1651" customFormat="1" ht="18" customHeight="1">
      <c r="A4" s="394" t="s">
        <v>428</v>
      </c>
      <c r="B4" s="395">
        <f ca="1">ROUND(B2*10000/IF(B1="",'数据-汇总表'!D3,INDIRECT("'数据-取费表'!R"&amp;$K$1)),0)</f>
        <v>28406</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51" customFormat="1" ht="18" customHeight="1" thickBot="1">
      <c r="A5" s="397"/>
      <c r="B5" s="398">
        <f ca="1">ROUND(B2/(IF(B1="",'数据-汇总表'!D3,INDIRECT("'数据-取费表'!R"&amp;$K$1))/666.67),0)</f>
        <v>1894</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6" customFormat="1" ht="16.5" customHeight="1">
      <c r="A6" s="2131" t="s">
        <v>1371</v>
      </c>
      <c r="B6" s="2132"/>
      <c r="C6" s="2133">
        <f ca="1">SUM(C10:K10)</f>
        <v>112480.78495011706</v>
      </c>
      <c r="D6" s="2132"/>
      <c r="E6" s="2132"/>
      <c r="F6" s="2132"/>
      <c r="G6" s="2132"/>
      <c r="H6" s="2132"/>
      <c r="I6" s="2132"/>
      <c r="J6" s="2132"/>
      <c r="K6" s="2134"/>
      <c r="L6" s="2699"/>
      <c r="M6" s="2699"/>
      <c r="N6" s="2699"/>
      <c r="O6" s="2699"/>
      <c r="P6" s="2699"/>
      <c r="Q6" s="2699"/>
      <c r="R6" s="2699"/>
      <c r="S6" s="2699"/>
      <c r="T6" s="2699"/>
      <c r="U6" s="2699"/>
      <c r="V6" s="2699"/>
      <c r="W6" s="2699"/>
      <c r="X6" s="2699"/>
      <c r="Y6" s="2699"/>
      <c r="Z6" s="2699"/>
    </row>
    <row r="7" spans="1:31" s="1718" customFormat="1" ht="15">
      <c r="A7" s="2135" t="s">
        <v>430</v>
      </c>
      <c r="B7" s="2136" t="s">
        <v>431</v>
      </c>
      <c r="C7" s="404" t="s">
        <v>851</v>
      </c>
      <c r="D7" s="404" t="s">
        <v>3305</v>
      </c>
      <c r="E7" s="404" t="s">
        <v>2732</v>
      </c>
      <c r="F7" s="404" t="s">
        <v>4080</v>
      </c>
      <c r="G7" s="404" t="s">
        <v>4082</v>
      </c>
      <c r="H7" s="404"/>
      <c r="I7" s="404"/>
      <c r="J7" s="404"/>
      <c r="K7" s="405"/>
      <c r="M7" s="3444" t="s">
        <v>4302</v>
      </c>
      <c r="AA7" s="1717"/>
      <c r="AB7" s="1717"/>
      <c r="AC7" s="1717"/>
      <c r="AD7" s="1717"/>
      <c r="AE7" s="1717"/>
    </row>
    <row r="8" spans="1:31" s="1720" customFormat="1" ht="13.5" customHeight="1">
      <c r="A8" s="736" t="s">
        <v>1374</v>
      </c>
      <c r="B8" s="239" t="s">
        <v>432</v>
      </c>
      <c r="C8" s="2137">
        <f>'不动产比较法-住宅'!B3</f>
        <v>28973</v>
      </c>
      <c r="D8" s="2137">
        <f ca="1">'不动产收益法-酒店模型'!B3</f>
        <v>11324</v>
      </c>
      <c r="E8" s="2137">
        <f ca="1">'不动产收益法-商业'!B3</f>
        <v>13613</v>
      </c>
      <c r="F8" s="2137">
        <f>'不动产比较法-车位'!B3</f>
        <v>2751</v>
      </c>
      <c r="G8" s="2137">
        <f ca="1">'不动产收益法-机械车位'!B3</f>
        <v>2190</v>
      </c>
      <c r="H8" s="2137"/>
      <c r="I8" s="2137"/>
      <c r="J8" s="2137"/>
      <c r="K8" s="2138"/>
      <c r="M8" s="1720">
        <f>'数据-取费表'!AH27</f>
        <v>47.6</v>
      </c>
      <c r="AA8" s="1719"/>
      <c r="AB8" s="1719"/>
      <c r="AC8" s="1719"/>
      <c r="AD8" s="1719"/>
      <c r="AE8" s="1719"/>
    </row>
    <row r="9" spans="1:31" s="1720" customFormat="1" ht="13.5" customHeight="1">
      <c r="A9" s="736" t="s">
        <v>1375</v>
      </c>
      <c r="B9" s="239" t="s">
        <v>433</v>
      </c>
      <c r="C9" s="409">
        <f>SUMIF('数据-汇总表'!$C19:$C33,'剩余法-待开发'!C7,'数据-汇总表'!$E19:$E33)</f>
        <v>34475.879999999997</v>
      </c>
      <c r="D9" s="409">
        <f>SUMIF('数据-汇总表'!$C19:$C33,'剩余法-待开发'!D7,'数据-汇总表'!$E19:$E33)</f>
        <v>5896.96</v>
      </c>
      <c r="E9" s="409">
        <f>SUMIF('数据-汇总表'!$C19:$C33,'剩余法-待开发'!E7,'数据-汇总表'!$E19:$E33)</f>
        <v>2172.2399999999998</v>
      </c>
      <c r="F9" s="409">
        <f>SUMIF('数据-汇总表'!$C19:$C33,'剩余法-待开发'!F7,'数据-汇总表'!$E19:$E33)</f>
        <v>8520.4</v>
      </c>
      <c r="G9" s="409">
        <f>SUMIF('数据-汇总表'!$C19:$C33,'剩余法-待开发'!G7,'数据-汇总表'!$E19:$E33)</f>
        <v>2808.2200000000012</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M9" s="1720">
        <f>F8*M8</f>
        <v>130947.6</v>
      </c>
      <c r="AA9" s="1719"/>
      <c r="AB9" s="1719"/>
      <c r="AC9" s="1719"/>
      <c r="AD9" s="1719"/>
      <c r="AE9" s="1719"/>
    </row>
    <row r="10" spans="1:31" s="1720" customFormat="1" ht="13.5" customHeight="1" thickBot="1">
      <c r="A10" s="2139" t="s">
        <v>1376</v>
      </c>
      <c r="B10" s="2125" t="s">
        <v>434</v>
      </c>
      <c r="C10" s="2311">
        <f>'不动产比较法-住宅'!B2</f>
        <v>99887</v>
      </c>
      <c r="D10" s="2311">
        <f ca="1">'不动产收益法-酒店模型'!B2</f>
        <v>6677.7849501170513</v>
      </c>
      <c r="E10" s="2311">
        <f ca="1">'不动产收益法-商业'!B2</f>
        <v>2957</v>
      </c>
      <c r="F10" s="2311">
        <f>'不动产比较法-车位'!B2</f>
        <v>2344</v>
      </c>
      <c r="G10" s="2140">
        <f ca="1">'不动产收益法-机械车位'!B2</f>
        <v>615</v>
      </c>
      <c r="H10" s="2140"/>
      <c r="I10" s="2140"/>
      <c r="J10" s="2140"/>
      <c r="K10" s="2141"/>
      <c r="M10" s="1720">
        <f ca="1">G8*M8</f>
        <v>104244</v>
      </c>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699"/>
      <c r="M11" s="2699"/>
      <c r="N11" s="2699"/>
      <c r="O11" s="2699"/>
      <c r="P11" s="2699"/>
      <c r="Q11" s="2699"/>
      <c r="R11" s="2699"/>
      <c r="S11" s="2699"/>
      <c r="T11" s="2699"/>
      <c r="U11" s="2699"/>
      <c r="V11" s="2699"/>
      <c r="W11" s="2699"/>
      <c r="X11" s="2699"/>
      <c r="Y11" s="2699"/>
      <c r="Z11" s="2699"/>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0"/>
      <c r="M12" s="2700"/>
      <c r="N12" s="2700"/>
      <c r="O12" s="2700"/>
      <c r="P12" s="2700"/>
      <c r="Q12" s="2700"/>
      <c r="R12" s="2700"/>
      <c r="S12" s="2700"/>
      <c r="T12" s="2700"/>
      <c r="U12" s="2700"/>
      <c r="V12" s="2700"/>
      <c r="W12" s="2700"/>
      <c r="X12" s="2700"/>
      <c r="Y12" s="2700"/>
      <c r="Z12" s="2700"/>
    </row>
    <row r="13" spans="1:31" s="1721" customFormat="1" ht="13.5" customHeight="1">
      <c r="A13" s="2145" t="s">
        <v>1377</v>
      </c>
      <c r="B13" s="2146" t="s">
        <v>439</v>
      </c>
      <c r="C13" s="417">
        <f ca="1">IF(B1="",'数据-取费表'!P16,INDIRECT("'数据-取费表'!p"&amp;$K$1)+INDIRECT("'数据-取费表'!t"&amp;$K$1))</f>
        <v>26899</v>
      </c>
      <c r="D13" s="2147"/>
      <c r="E13" s="337"/>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1345</v>
      </c>
      <c r="D14" s="2147"/>
      <c r="E14" s="337"/>
      <c r="F14" s="2151">
        <f>'数据-取费表'!B33</f>
        <v>0.05</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862</v>
      </c>
      <c r="D15" s="2147"/>
      <c r="E15" s="337"/>
      <c r="F15" s="2151">
        <f>'数据-取费表'!B34</f>
        <v>0.05</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1160</v>
      </c>
      <c r="D16" s="2147">
        <f ca="1">IF(B1="",'数据-汇总表'!E3,INDIRECT("'数据-取费表'!K"&amp;$K$1)+INDIRECT("'数据-取费表'!S"&amp;$K$1))</f>
        <v>57989.509999999995</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538</v>
      </c>
      <c r="D17" s="442"/>
      <c r="E17" s="2150"/>
      <c r="F17" s="2151">
        <f>'数据-取费表'!B36</f>
        <v>0.02</v>
      </c>
      <c r="G17" s="239" t="s">
        <v>446</v>
      </c>
      <c r="H17" s="1058"/>
      <c r="I17" s="1058"/>
      <c r="J17" s="1058"/>
      <c r="K17" s="256"/>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30804</v>
      </c>
      <c r="D18" s="2155"/>
      <c r="E18" s="435"/>
      <c r="F18" s="435"/>
      <c r="G18" s="1039" t="s">
        <v>1779</v>
      </c>
      <c r="H18" s="1040"/>
      <c r="I18" s="1040"/>
      <c r="J18" s="1040"/>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290</v>
      </c>
      <c r="D19" s="2156">
        <f ca="1">D16</f>
        <v>57989.509999999995</v>
      </c>
      <c r="E19" s="1628">
        <f>'数据-取费表'!B32</f>
        <v>50</v>
      </c>
      <c r="F19" s="435"/>
      <c r="G19" s="2119" t="s">
        <v>449</v>
      </c>
      <c r="H19" s="2120"/>
      <c r="I19" s="1040"/>
      <c r="J19" s="1040"/>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0</v>
      </c>
      <c r="D20" s="2156"/>
      <c r="E20" s="1628"/>
      <c r="F20" s="2157"/>
      <c r="G20" s="2340" t="s">
        <v>4289</v>
      </c>
      <c r="H20" s="2117"/>
      <c r="I20" s="2118" t="s">
        <v>1931</v>
      </c>
      <c r="J20" s="1040"/>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552</v>
      </c>
      <c r="D21" s="2147">
        <f ca="1">IF(B1="",'数据-汇总表'!E5,IF(INDIRECT("'数据-取费表'!c"&amp;$K$1)="住宅",INDIRECT("'数据-取费表'!k"&amp;$K$1),0))</f>
        <v>34475.879999999997</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470</v>
      </c>
      <c r="D22" s="2147">
        <f ca="1">IF(B1="",'数据-汇总表'!E6,IF(INDIRECT("'数据-取费表'!c"&amp;$K$1)="住宅",INDIRECT("'数据-取费表'!s"&amp;$K$1),INDIRECT("'数据-取费表'!k"&amp;$K$1)+INDIRECT("'数据-取费表'!s"&amp;$K$1)))</f>
        <v>23513.629999999997</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5" t="s">
        <v>2107</v>
      </c>
      <c r="C23" s="2154">
        <f ca="1">ROUND((C18+C19+C20)*F23,0)</f>
        <v>622</v>
      </c>
      <c r="D23" s="435"/>
      <c r="E23" s="435"/>
      <c r="F23" s="2158">
        <f>'数据-取费表'!B37</f>
        <v>0.02</v>
      </c>
      <c r="G23" s="2119" t="s">
        <v>1780</v>
      </c>
      <c r="H23" s="2120"/>
      <c r="I23" s="2120"/>
      <c r="J23" s="2120"/>
      <c r="K23" s="2121"/>
      <c r="L23" s="2701"/>
      <c r="M23" s="2701"/>
      <c r="N23" s="2701"/>
      <c r="O23" s="1722"/>
      <c r="P23" s="1722"/>
      <c r="Q23" s="1722"/>
      <c r="R23" s="1722"/>
      <c r="S23" s="1722"/>
      <c r="T23" s="1722"/>
      <c r="U23" s="1722"/>
      <c r="V23" s="1722"/>
      <c r="W23" s="1722"/>
      <c r="X23" s="1722"/>
      <c r="Y23" s="1722"/>
      <c r="Z23" s="1722"/>
    </row>
    <row r="24" spans="1:26" s="1721" customFormat="1" ht="13.5" customHeight="1">
      <c r="A24" s="2152" t="s">
        <v>1388</v>
      </c>
      <c r="B24" s="2315" t="s">
        <v>2110</v>
      </c>
      <c r="C24" s="2154">
        <f ca="1">ROUND(C6*F24,0)</f>
        <v>2250</v>
      </c>
      <c r="D24" s="442"/>
      <c r="E24" s="440"/>
      <c r="F24" s="2158">
        <f>'数据-取费表'!B38</f>
        <v>0.02</v>
      </c>
      <c r="G24" s="2124" t="s">
        <v>459</v>
      </c>
      <c r="H24" s="1058"/>
      <c r="I24" s="1058"/>
      <c r="J24" s="1058"/>
      <c r="K24" s="256"/>
      <c r="L24" s="2701"/>
      <c r="M24" s="2701"/>
      <c r="N24" s="2701"/>
      <c r="O24" s="1722"/>
      <c r="P24" s="1722"/>
      <c r="Q24" s="1722"/>
      <c r="R24" s="1722"/>
      <c r="S24" s="1722"/>
      <c r="T24" s="1722"/>
      <c r="U24" s="1722"/>
      <c r="V24" s="1722"/>
      <c r="W24" s="1722"/>
      <c r="X24" s="1722"/>
      <c r="Y24" s="1722"/>
      <c r="Z24" s="1722"/>
    </row>
    <row r="25" spans="1:26" s="1724" customFormat="1" ht="13.5" customHeight="1">
      <c r="A25" s="2152" t="s">
        <v>1389</v>
      </c>
      <c r="B25" s="2315" t="s">
        <v>2108</v>
      </c>
      <c r="C25" s="434">
        <f>ROUND(F25/(1+'数据-取费表'!C42),4)</f>
        <v>2.9000000000000001E-2</v>
      </c>
      <c r="D25" s="429" t="s">
        <v>2103</v>
      </c>
      <c r="E25" s="436"/>
      <c r="F25" s="2158">
        <f>IF(项目基本情况!B8="出让",0,'数据-取费表'!B48+'数据-取费表'!B49)</f>
        <v>3.0499999999999999E-2</v>
      </c>
      <c r="G25" s="2123" t="s">
        <v>1645</v>
      </c>
      <c r="H25" s="2120"/>
      <c r="I25" s="2120"/>
      <c r="J25" s="2120"/>
      <c r="K25" s="2121"/>
      <c r="L25" s="2702"/>
      <c r="M25" s="2702"/>
      <c r="N25" s="2702"/>
      <c r="O25" s="2702"/>
      <c r="P25" s="2702"/>
      <c r="Q25" s="2702"/>
      <c r="R25" s="2702"/>
      <c r="S25" s="2702"/>
      <c r="T25" s="2702"/>
      <c r="U25" s="2702"/>
      <c r="V25" s="2702"/>
      <c r="W25" s="2702"/>
      <c r="X25" s="2702"/>
      <c r="Y25" s="2702"/>
      <c r="Z25" s="2702"/>
    </row>
    <row r="26" spans="1:26" s="1723" customFormat="1" ht="13.5" customHeight="1">
      <c r="A26" s="2152" t="s">
        <v>1390</v>
      </c>
      <c r="B26" s="2316" t="s">
        <v>2109</v>
      </c>
      <c r="C26" s="2159">
        <f ca="1">C28</f>
        <v>1053</v>
      </c>
      <c r="D26" s="434">
        <f ca="1">C27</f>
        <v>6.4799999999999996E-2</v>
      </c>
      <c r="E26" s="436" t="s">
        <v>455</v>
      </c>
      <c r="F26" s="438">
        <f ca="1">'数据-取费表'!B40</f>
        <v>3.1E-2</v>
      </c>
      <c r="G26" s="2042" t="str">
        <f>IF('数据-取费表'!B22&lt;=1,"单利计息。","复利计息。")&amp;"后续开发成本、管理费用及销售费用产生的利息。"</f>
        <v>复利计息。后续开发成本、管理费用及销售费用产生的利息。</v>
      </c>
      <c r="H26" s="1040"/>
      <c r="I26" s="1040"/>
      <c r="J26" s="1040"/>
      <c r="K26" s="130"/>
      <c r="L26" s="2701"/>
      <c r="M26" s="2701"/>
      <c r="N26" s="2701"/>
      <c r="O26" s="2701"/>
      <c r="P26" s="2701"/>
      <c r="Q26" s="2701"/>
      <c r="R26" s="2701"/>
      <c r="S26" s="2701"/>
      <c r="T26" s="2701"/>
      <c r="U26" s="2701"/>
      <c r="V26" s="2701"/>
      <c r="W26" s="2701"/>
      <c r="X26" s="2701"/>
      <c r="Y26" s="2701"/>
      <c r="Z26" s="2701"/>
    </row>
    <row r="27" spans="1:26" s="1725" customFormat="1" ht="13.5" customHeight="1">
      <c r="A27" s="736" t="s">
        <v>1385</v>
      </c>
      <c r="B27" s="2160" t="s">
        <v>456</v>
      </c>
      <c r="C27" s="2161">
        <f ca="1">ROUND(IF('数据-取费表'!B22&lt;=1,(1+C25)*F26*'数据-取费表'!B24,(1+C25)*(POWER((1+F26),'数据-取费表'!B24)-1)),4)</f>
        <v>6.4799999999999996E-2</v>
      </c>
      <c r="D27" s="439"/>
      <c r="E27" s="440"/>
      <c r="F27" s="441"/>
      <c r="G27" s="2042" t="str">
        <f>IF('数据-取费表'!B22&lt;=1,"（1+取得税费率/(1+5%)）×年利率×建设期","（1+取得税费率）/(1+5%)×((1+年利率)^建设期-1)")</f>
        <v>（1+取得税费率）/(1+5%)×((1+年利率)^建设期-1)</v>
      </c>
      <c r="H27" s="1058"/>
      <c r="I27" s="1058"/>
      <c r="J27" s="1058"/>
      <c r="K27" s="256"/>
      <c r="L27" s="2703"/>
      <c r="M27" s="2703"/>
      <c r="N27" s="2703"/>
      <c r="O27" s="2703"/>
      <c r="P27" s="2703"/>
      <c r="Q27" s="2703"/>
      <c r="R27" s="2703"/>
      <c r="S27" s="2703"/>
      <c r="T27" s="2703"/>
      <c r="U27" s="2703"/>
      <c r="V27" s="2703"/>
      <c r="W27" s="2703"/>
      <c r="X27" s="2703"/>
      <c r="Y27" s="2703"/>
      <c r="Z27" s="2703"/>
    </row>
    <row r="28" spans="1:26" s="1725" customFormat="1" ht="13.5" customHeight="1">
      <c r="A28" s="736" t="s">
        <v>1386</v>
      </c>
      <c r="B28" s="2160" t="s">
        <v>2111</v>
      </c>
      <c r="C28" s="2162">
        <f ca="1">ROUND(IF('数据-取费表'!B22&lt;=1,(C18+C19+C20+C23+C24)*F26*'数据-取费表'!B24/2,(C18+C19+C20+C23+C24)*(POWER((1+F26),'数据-取费表'!B24/2)-1)),0)</f>
        <v>1053</v>
      </c>
      <c r="D28" s="439"/>
      <c r="E28" s="440"/>
      <c r="F28" s="441"/>
      <c r="G28" s="2042" t="str">
        <f>IF('数据-取费表'!B22&lt;=1,"（1）-（4）项×年利率×建设期÷2","（1）-（4）项×((1+年利率)^(建设期÷2)-1)")</f>
        <v>（1）-（4）项×((1+年利率)^(建设期÷2)-1)</v>
      </c>
      <c r="H28" s="1058"/>
      <c r="I28" s="1058"/>
      <c r="J28" s="1058"/>
      <c r="K28" s="256"/>
      <c r="L28" s="2703"/>
      <c r="M28" s="2703"/>
      <c r="N28" s="2703"/>
      <c r="O28" s="2703"/>
      <c r="P28" s="2703"/>
      <c r="Q28" s="2703"/>
      <c r="R28" s="2703"/>
      <c r="S28" s="2703"/>
      <c r="T28" s="2703"/>
      <c r="U28" s="2703"/>
      <c r="V28" s="2703"/>
      <c r="W28" s="2703"/>
      <c r="X28" s="2703"/>
      <c r="Y28" s="2703"/>
      <c r="Z28" s="2703"/>
    </row>
    <row r="29" spans="1:26" s="1725" customFormat="1" ht="13.5" customHeight="1">
      <c r="A29" s="2163" t="s">
        <v>1391</v>
      </c>
      <c r="B29" s="2153" t="s">
        <v>457</v>
      </c>
      <c r="C29" s="2154">
        <f ca="1">ROUND(C6*F29/(1+'数据-取费表'!C42),0)</f>
        <v>5892</v>
      </c>
      <c r="D29" s="435"/>
      <c r="E29" s="435"/>
      <c r="F29" s="2317">
        <f>'数据-取费表'!B41</f>
        <v>5.5000000000000007E-2</v>
      </c>
      <c r="G29" s="2124" t="s">
        <v>458</v>
      </c>
      <c r="H29" s="2120"/>
      <c r="I29" s="2120"/>
      <c r="J29" s="2120"/>
      <c r="K29" s="2121"/>
      <c r="L29" s="2703"/>
      <c r="M29" s="2703"/>
      <c r="N29" s="2703"/>
      <c r="O29" s="2703"/>
      <c r="P29" s="2703"/>
      <c r="Q29" s="2703"/>
      <c r="R29" s="2703"/>
      <c r="S29" s="2703"/>
      <c r="T29" s="2703"/>
      <c r="U29" s="2703"/>
      <c r="V29" s="2703"/>
      <c r="W29" s="2703"/>
      <c r="X29" s="2703"/>
      <c r="Y29" s="2703"/>
      <c r="Z29" s="2703"/>
    </row>
    <row r="30" spans="1:26" s="1726" customFormat="1" ht="13.5" customHeight="1">
      <c r="A30" s="1354" t="s">
        <v>1392</v>
      </c>
      <c r="B30" s="2164" t="s">
        <v>460</v>
      </c>
      <c r="C30" s="2159">
        <f ca="1">C31</f>
        <v>40911</v>
      </c>
      <c r="D30" s="444">
        <f ca="1">C32</f>
        <v>9.3799999999999994E-2</v>
      </c>
      <c r="E30" s="436" t="s">
        <v>455</v>
      </c>
      <c r="F30" s="438"/>
      <c r="G30" s="2123" t="s">
        <v>2223</v>
      </c>
      <c r="H30" s="2120"/>
      <c r="I30" s="2120"/>
      <c r="J30" s="2120"/>
      <c r="K30" s="2121"/>
      <c r="L30" s="2704"/>
      <c r="M30" s="2704"/>
      <c r="N30" s="2704"/>
      <c r="O30" s="2704"/>
      <c r="P30" s="2704"/>
      <c r="Q30" s="2704"/>
      <c r="R30" s="2704"/>
      <c r="S30" s="2704"/>
      <c r="T30" s="2704"/>
      <c r="U30" s="2704"/>
      <c r="V30" s="2704"/>
      <c r="W30" s="2704"/>
      <c r="X30" s="2704"/>
      <c r="Y30" s="2704"/>
      <c r="Z30" s="2704"/>
    </row>
    <row r="31" spans="1:26" s="1725" customFormat="1" ht="13.5" customHeight="1">
      <c r="A31" s="736" t="s">
        <v>1385</v>
      </c>
      <c r="B31" s="2160"/>
      <c r="C31" s="417">
        <f ca="1">C18+C19+C20+C23+C24+C26+C29</f>
        <v>40911</v>
      </c>
      <c r="D31" s="439"/>
      <c r="E31" s="440"/>
      <c r="F31" s="441"/>
      <c r="G31" s="239"/>
      <c r="H31" s="1058"/>
      <c r="I31" s="1058"/>
      <c r="J31" s="1058"/>
      <c r="K31" s="256"/>
      <c r="L31" s="2703"/>
      <c r="M31" s="2703"/>
      <c r="N31" s="2703"/>
      <c r="O31" s="2703"/>
      <c r="P31" s="2703"/>
      <c r="Q31" s="2703"/>
      <c r="R31" s="2703"/>
      <c r="S31" s="2703"/>
      <c r="T31" s="2703"/>
      <c r="U31" s="2703"/>
      <c r="V31" s="2703"/>
      <c r="W31" s="2703"/>
      <c r="X31" s="2703"/>
      <c r="Y31" s="2703"/>
      <c r="Z31" s="2703"/>
    </row>
    <row r="32" spans="1:26" s="1725" customFormat="1" ht="13.5" customHeight="1">
      <c r="A32" s="736" t="s">
        <v>1386</v>
      </c>
      <c r="B32" s="2160"/>
      <c r="C32" s="49">
        <f ca="1">ROUND(C25+D26,4)</f>
        <v>9.3799999999999994E-2</v>
      </c>
      <c r="D32" s="439"/>
      <c r="E32" s="440"/>
      <c r="F32" s="441"/>
      <c r="G32" s="239"/>
      <c r="H32" s="1058"/>
      <c r="I32" s="1058"/>
      <c r="J32" s="1058"/>
      <c r="K32" s="256"/>
      <c r="L32" s="2703"/>
      <c r="M32" s="2703"/>
      <c r="N32" s="2703"/>
      <c r="O32" s="2703"/>
      <c r="P32" s="2703"/>
      <c r="Q32" s="2703"/>
      <c r="R32" s="2703"/>
      <c r="S32" s="2703"/>
      <c r="T32" s="2703"/>
      <c r="U32" s="2703"/>
      <c r="V32" s="2703"/>
      <c r="W32" s="2703"/>
      <c r="X32" s="2703"/>
      <c r="Y32" s="2703"/>
      <c r="Z32" s="2703"/>
    </row>
    <row r="33" spans="1:26" s="1727" customFormat="1" ht="13.5" customHeight="1">
      <c r="A33" s="2314" t="s">
        <v>2106</v>
      </c>
      <c r="B33" s="2312" t="s">
        <v>2104</v>
      </c>
      <c r="C33" s="445">
        <f ca="1">C35</f>
        <v>4076</v>
      </c>
      <c r="D33" s="434">
        <f ca="1">C34</f>
        <v>0.1235</v>
      </c>
      <c r="E33" s="436" t="s">
        <v>455</v>
      </c>
      <c r="F33" s="446">
        <f ca="1">IF(B1="",'数据-取费表'!Q16,INDIRECT("'数据-取费表'!q"&amp;$K$1))</f>
        <v>0.12</v>
      </c>
      <c r="G33" s="1039"/>
      <c r="H33" s="1040"/>
      <c r="I33" s="1040"/>
      <c r="J33" s="1040"/>
      <c r="K33" s="130"/>
      <c r="L33" s="2705"/>
      <c r="M33" s="2705"/>
      <c r="N33" s="2705"/>
      <c r="O33" s="2705"/>
      <c r="P33" s="2705"/>
      <c r="Q33" s="2705"/>
      <c r="R33" s="2705"/>
      <c r="S33" s="2705"/>
      <c r="T33" s="2705"/>
      <c r="U33" s="2705"/>
      <c r="V33" s="2705"/>
      <c r="W33" s="2705"/>
      <c r="X33" s="2705"/>
      <c r="Y33" s="2705"/>
      <c r="Z33" s="2705"/>
    </row>
    <row r="34" spans="1:26" s="1728" customFormat="1" ht="13.5" customHeight="1">
      <c r="A34" s="343" t="s">
        <v>1385</v>
      </c>
      <c r="B34" s="2165" t="s">
        <v>461</v>
      </c>
      <c r="C34" s="439">
        <f ca="1">ROUND((1+C25)*F33,4)</f>
        <v>0.1235</v>
      </c>
      <c r="D34" s="439"/>
      <c r="E34" s="440"/>
      <c r="F34" s="447"/>
      <c r="G34" s="239" t="s">
        <v>1646</v>
      </c>
      <c r="H34" s="1058"/>
      <c r="I34" s="1058"/>
      <c r="J34" s="1058"/>
      <c r="K34" s="256"/>
      <c r="L34" s="2706"/>
      <c r="M34" s="2706"/>
      <c r="N34" s="2706"/>
      <c r="O34" s="2706"/>
      <c r="P34" s="2706"/>
      <c r="Q34" s="2706"/>
      <c r="R34" s="2706"/>
      <c r="S34" s="2706"/>
      <c r="T34" s="2706"/>
      <c r="U34" s="2706"/>
      <c r="V34" s="2706"/>
      <c r="W34" s="2706"/>
      <c r="X34" s="2706"/>
      <c r="Y34" s="2706"/>
      <c r="Z34" s="2706"/>
    </row>
    <row r="35" spans="1:26" s="1728" customFormat="1" ht="13.5" customHeight="1" thickBot="1">
      <c r="A35" s="1355" t="s">
        <v>1386</v>
      </c>
      <c r="B35" s="2313" t="s">
        <v>2112</v>
      </c>
      <c r="C35" s="1347">
        <f ca="1">ROUND((C18+C19+C20+C23+C24)*F33,0)</f>
        <v>4076</v>
      </c>
      <c r="D35" s="1348"/>
      <c r="E35" s="2166"/>
      <c r="F35" s="1349"/>
      <c r="G35" s="2125"/>
      <c r="H35" s="2126"/>
      <c r="I35" s="2126"/>
      <c r="J35" s="2126"/>
      <c r="K35" s="2127"/>
      <c r="L35" s="2706"/>
      <c r="M35" s="2706"/>
      <c r="N35" s="2706"/>
      <c r="O35" s="2706"/>
      <c r="P35" s="2706"/>
      <c r="Q35" s="2706"/>
      <c r="R35" s="2706"/>
      <c r="S35" s="2706"/>
      <c r="T35" s="2706"/>
      <c r="U35" s="2706"/>
      <c r="V35" s="2706"/>
      <c r="W35" s="2706"/>
      <c r="X35" s="2706"/>
      <c r="Y35" s="2706"/>
      <c r="Z35" s="2706"/>
    </row>
    <row r="36" spans="1:26" s="1692" customFormat="1" ht="13.5" customHeight="1" thickBot="1">
      <c r="A36" s="260" t="s">
        <v>1373</v>
      </c>
      <c r="B36" s="2129"/>
      <c r="C36" s="2167">
        <f ca="1">ROUND((C6-C30-C33)/(1+D30+D33),0)</f>
        <v>55445</v>
      </c>
      <c r="D36" s="2129"/>
      <c r="E36" s="2129"/>
      <c r="F36" s="2129"/>
      <c r="G36" s="2128" t="s">
        <v>2113</v>
      </c>
      <c r="H36" s="2129"/>
      <c r="I36" s="2129"/>
      <c r="J36" s="2129"/>
      <c r="K36" s="2130"/>
      <c r="L36" s="2700"/>
      <c r="M36" s="2700"/>
      <c r="N36" s="2700"/>
      <c r="O36" s="2700"/>
      <c r="P36" s="2700"/>
      <c r="Q36" s="2700"/>
      <c r="R36" s="2700"/>
      <c r="S36" s="2700"/>
      <c r="T36" s="2700"/>
      <c r="U36" s="2700"/>
      <c r="V36" s="2700"/>
      <c r="W36" s="2700"/>
      <c r="X36" s="2700"/>
      <c r="Y36" s="2700"/>
      <c r="Z36" s="2700"/>
    </row>
    <row r="37" spans="1:26" s="1720" customFormat="1">
      <c r="A37" s="2707"/>
      <c r="C37" s="2708"/>
      <c r="E37" s="2707"/>
    </row>
    <row r="38" spans="1:26" s="1720" customFormat="1" ht="12.75" customHeight="1">
      <c r="A38" s="2707"/>
      <c r="C38" s="2708"/>
      <c r="E38" s="2707"/>
    </row>
    <row r="39" spans="1:26" s="1720" customFormat="1">
      <c r="A39" s="2707"/>
      <c r="C39" s="2708"/>
      <c r="E39" s="2707"/>
    </row>
    <row r="40" spans="1:26" s="1720" customFormat="1">
      <c r="A40" s="2707"/>
      <c r="C40" s="2708"/>
      <c r="E40" s="2707"/>
    </row>
    <row r="41" spans="1:26" s="1720" customFormat="1">
      <c r="A41" s="2707"/>
      <c r="C41" s="2708"/>
      <c r="E41" s="2707"/>
    </row>
    <row r="42" spans="1:26" s="1720" customFormat="1">
      <c r="A42" s="2707"/>
      <c r="C42" s="2708"/>
      <c r="E42" s="2707"/>
    </row>
    <row r="43" spans="1:26" s="1720" customFormat="1">
      <c r="A43" s="2707"/>
      <c r="C43" s="2708"/>
      <c r="E43" s="2707"/>
    </row>
    <row r="44" spans="1:26" s="1720" customFormat="1">
      <c r="A44" s="2707"/>
      <c r="C44" s="2708"/>
      <c r="E44" s="2707"/>
    </row>
    <row r="45" spans="1:26" s="1720" customFormat="1">
      <c r="A45" s="2707"/>
      <c r="C45" s="2708"/>
      <c r="E45" s="2707"/>
    </row>
    <row r="46" spans="1:26" s="1720" customFormat="1">
      <c r="A46" s="2707"/>
      <c r="C46" s="2708"/>
      <c r="E46" s="2707"/>
    </row>
    <row r="47" spans="1:26" s="1720" customFormat="1">
      <c r="A47" s="2707"/>
      <c r="C47" s="2708"/>
      <c r="E47" s="2707"/>
    </row>
    <row r="48" spans="1:26" s="1720" customFormat="1">
      <c r="A48" s="2707"/>
      <c r="C48" s="2708"/>
      <c r="E48" s="2707"/>
    </row>
    <row r="49" spans="1:5" s="1720" customFormat="1">
      <c r="A49" s="2707"/>
      <c r="C49" s="2708"/>
      <c r="E49" s="2707"/>
    </row>
    <row r="50" spans="1:5" s="1720" customFormat="1">
      <c r="A50" s="2707"/>
      <c r="C50" s="2708"/>
      <c r="E50" s="2707"/>
    </row>
    <row r="51" spans="1:5" s="1720" customFormat="1">
      <c r="A51" s="2707"/>
      <c r="C51" s="2708"/>
      <c r="E51" s="2707"/>
    </row>
    <row r="52" spans="1:5" s="1720" customFormat="1">
      <c r="A52" s="2707"/>
      <c r="C52" s="2708"/>
      <c r="E52" s="2707"/>
    </row>
    <row r="53" spans="1:5" s="1720" customFormat="1">
      <c r="A53" s="2707"/>
      <c r="C53" s="2708"/>
      <c r="E53" s="2707"/>
    </row>
    <row r="54" spans="1:5" s="1720" customFormat="1">
      <c r="A54" s="2707"/>
      <c r="C54" s="2708"/>
      <c r="E54" s="2707"/>
    </row>
    <row r="55" spans="1:5" s="1720" customFormat="1">
      <c r="A55" s="2707"/>
      <c r="C55" s="2708"/>
      <c r="E55" s="2707"/>
    </row>
    <row r="56" spans="1:5" s="1720" customFormat="1">
      <c r="A56" s="2707"/>
      <c r="C56" s="2708"/>
      <c r="E56" s="2707"/>
    </row>
    <row r="57" spans="1:5" s="1720" customFormat="1">
      <c r="A57" s="2707"/>
      <c r="C57" s="2708"/>
      <c r="E57" s="2707"/>
    </row>
    <row r="58" spans="1:5" s="1720" customFormat="1">
      <c r="A58" s="2707"/>
      <c r="C58" s="2708"/>
      <c r="E58" s="2707"/>
    </row>
    <row r="59" spans="1:5" s="1720" customFormat="1">
      <c r="A59" s="2707"/>
      <c r="C59" s="2708"/>
      <c r="E59" s="2707"/>
    </row>
    <row r="60" spans="1:5" s="1720" customFormat="1">
      <c r="A60" s="2707"/>
      <c r="C60" s="2708"/>
      <c r="E60" s="2707"/>
    </row>
    <row r="61" spans="1:5" s="1720" customFormat="1">
      <c r="A61" s="2707"/>
      <c r="C61" s="2708"/>
      <c r="E61" s="2707"/>
    </row>
    <row r="62" spans="1:5" s="1720" customFormat="1">
      <c r="A62" s="2707"/>
      <c r="C62" s="2708"/>
      <c r="E62" s="2707"/>
    </row>
    <row r="63" spans="1:5" s="1720" customFormat="1">
      <c r="A63" s="2707"/>
      <c r="C63" s="2708"/>
      <c r="E63" s="2707"/>
    </row>
    <row r="64" spans="1:5" s="1720" customFormat="1">
      <c r="A64" s="2707"/>
      <c r="C64" s="2708"/>
      <c r="E64" s="2707"/>
    </row>
    <row r="65" spans="1:5" s="1720" customFormat="1">
      <c r="A65" s="2707"/>
      <c r="C65" s="2708"/>
      <c r="E65" s="2707"/>
    </row>
    <row r="66" spans="1:5" s="1720" customFormat="1">
      <c r="A66" s="2707"/>
      <c r="C66" s="2708"/>
      <c r="E66" s="2707"/>
    </row>
    <row r="67" spans="1:5" s="1720" customFormat="1">
      <c r="A67" s="2707"/>
      <c r="C67" s="2708"/>
      <c r="E67" s="2707"/>
    </row>
    <row r="68" spans="1:5" s="1720" customFormat="1">
      <c r="A68" s="2707"/>
      <c r="C68" s="2708"/>
      <c r="E68" s="2707"/>
    </row>
    <row r="69" spans="1:5" s="1720" customFormat="1">
      <c r="A69" s="2707"/>
      <c r="C69" s="2708"/>
      <c r="E69" s="2707"/>
    </row>
    <row r="70" spans="1:5" s="1720" customFormat="1">
      <c r="A70" s="2707"/>
      <c r="C70" s="2708"/>
      <c r="E70" s="2707"/>
    </row>
    <row r="71" spans="1:5" s="1720" customFormat="1">
      <c r="A71" s="2707"/>
      <c r="C71" s="2708"/>
      <c r="E71" s="2707"/>
    </row>
    <row r="72" spans="1:5" s="1720" customFormat="1">
      <c r="A72" s="2707"/>
      <c r="C72" s="2708"/>
      <c r="E72" s="2707"/>
    </row>
    <row r="73" spans="1:5" s="1720" customFormat="1">
      <c r="A73" s="2707"/>
      <c r="C73" s="2708"/>
      <c r="E73" s="2707"/>
    </row>
    <row r="74" spans="1:5" s="1720" customFormat="1">
      <c r="A74" s="2707"/>
      <c r="C74" s="2708"/>
      <c r="E74" s="2707"/>
    </row>
    <row r="75" spans="1:5" s="1720" customFormat="1">
      <c r="A75" s="2707"/>
      <c r="C75" s="2708"/>
      <c r="E75" s="2707"/>
    </row>
    <row r="76" spans="1:5" s="1720" customFormat="1">
      <c r="A76" s="2707"/>
      <c r="C76" s="2708"/>
      <c r="E76" s="2707"/>
    </row>
    <row r="77" spans="1:5" s="1720" customFormat="1">
      <c r="A77" s="2707"/>
      <c r="C77" s="2708"/>
      <c r="E77" s="2707"/>
    </row>
    <row r="78" spans="1:5" s="1720" customFormat="1">
      <c r="A78" s="2707"/>
      <c r="C78" s="2708"/>
      <c r="E78" s="2707"/>
    </row>
    <row r="79" spans="1:5" s="1720" customFormat="1">
      <c r="A79" s="2707"/>
      <c r="C79" s="2708"/>
      <c r="E79" s="2707"/>
    </row>
    <row r="80" spans="1:5" s="1720" customFormat="1">
      <c r="A80" s="2707"/>
      <c r="C80" s="2708"/>
      <c r="E80" s="2707"/>
    </row>
    <row r="81" spans="1:5" s="1720" customFormat="1">
      <c r="A81" s="2707"/>
      <c r="C81" s="2708"/>
      <c r="E81" s="2707"/>
    </row>
    <row r="82" spans="1:5" s="1720" customFormat="1">
      <c r="A82" s="2707"/>
      <c r="C82" s="2708"/>
      <c r="E82" s="2707"/>
    </row>
    <row r="83" spans="1:5" s="1720" customFormat="1">
      <c r="A83" s="2707"/>
      <c r="C83" s="2708"/>
      <c r="E83" s="2707"/>
    </row>
    <row r="84" spans="1:5" s="1720" customFormat="1">
      <c r="A84" s="2707"/>
      <c r="C84" s="2708"/>
      <c r="E84" s="2707"/>
    </row>
    <row r="85" spans="1:5" s="1720" customFormat="1">
      <c r="A85" s="2707"/>
      <c r="C85" s="2708"/>
      <c r="E85" s="2707"/>
    </row>
    <row r="86" spans="1:5" s="1720" customFormat="1">
      <c r="A86" s="2707"/>
      <c r="C86" s="2708"/>
      <c r="E86" s="2707"/>
    </row>
    <row r="87" spans="1:5" s="1720" customFormat="1">
      <c r="A87" s="2707"/>
      <c r="C87" s="2708"/>
      <c r="E87" s="2707"/>
    </row>
    <row r="88" spans="1:5" s="1720" customFormat="1">
      <c r="A88" s="2707"/>
      <c r="C88" s="2708"/>
      <c r="E88" s="2707"/>
    </row>
    <row r="89" spans="1:5" s="1720" customFormat="1">
      <c r="A89" s="2707"/>
      <c r="C89" s="2708"/>
      <c r="E89" s="2707"/>
    </row>
    <row r="90" spans="1:5" s="1720" customFormat="1">
      <c r="A90" s="2707"/>
      <c r="C90" s="2708"/>
      <c r="E90" s="2707"/>
    </row>
    <row r="91" spans="1:5" s="1720" customFormat="1">
      <c r="A91" s="2707"/>
      <c r="C91" s="2708"/>
      <c r="E91" s="2707"/>
    </row>
    <row r="92" spans="1:5" s="1720" customFormat="1">
      <c r="A92" s="2707"/>
      <c r="C92" s="2708"/>
      <c r="E92" s="2707"/>
    </row>
    <row r="93" spans="1:5" s="1720" customFormat="1">
      <c r="A93" s="2707"/>
      <c r="C93" s="2708"/>
      <c r="E93" s="2707"/>
    </row>
    <row r="94" spans="1:5" s="1720" customFormat="1">
      <c r="A94" s="2707"/>
      <c r="C94" s="2708"/>
      <c r="E94" s="2707"/>
    </row>
    <row r="95" spans="1:5" s="1720" customFormat="1">
      <c r="A95" s="2707"/>
      <c r="C95" s="2708"/>
      <c r="E95" s="2707"/>
    </row>
    <row r="96" spans="1:5" s="1720" customFormat="1">
      <c r="A96" s="2707"/>
      <c r="C96" s="2708"/>
      <c r="E96" s="2707"/>
    </row>
    <row r="97" spans="1:5" s="1720" customFormat="1">
      <c r="A97" s="2707"/>
      <c r="C97" s="2708"/>
      <c r="E97" s="2707"/>
    </row>
    <row r="98" spans="1:5" s="1720" customFormat="1">
      <c r="A98" s="2707"/>
      <c r="C98" s="2708"/>
      <c r="E98" s="2707"/>
    </row>
    <row r="99" spans="1:5" s="1720" customFormat="1">
      <c r="A99" s="2707"/>
      <c r="C99" s="2708"/>
      <c r="E99" s="2707"/>
    </row>
    <row r="100" spans="1:5" s="1720" customFormat="1">
      <c r="A100" s="2707"/>
      <c r="C100" s="2708"/>
      <c r="E100" s="2707"/>
    </row>
    <row r="101" spans="1:5" s="1720" customFormat="1">
      <c r="A101" s="2707"/>
      <c r="C101" s="2708"/>
      <c r="E101" s="2707"/>
    </row>
    <row r="102" spans="1:5" s="1720" customFormat="1">
      <c r="A102" s="2707"/>
      <c r="C102" s="2708"/>
      <c r="E102" s="2707"/>
    </row>
    <row r="103" spans="1:5" s="1720" customFormat="1">
      <c r="A103" s="2707"/>
      <c r="C103" s="2708"/>
      <c r="E103" s="2707"/>
    </row>
    <row r="104" spans="1:5" s="1720" customFormat="1">
      <c r="A104" s="2707"/>
      <c r="C104" s="2708"/>
      <c r="E104" s="2707"/>
    </row>
    <row r="105" spans="1:5" s="1720" customFormat="1">
      <c r="A105" s="2707"/>
      <c r="C105" s="2708"/>
      <c r="E105" s="2707"/>
    </row>
    <row r="106" spans="1:5" s="1720" customFormat="1">
      <c r="A106" s="2707"/>
      <c r="C106" s="2708"/>
      <c r="E106" s="2707"/>
    </row>
    <row r="107" spans="1:5" s="1720" customFormat="1">
      <c r="A107" s="2707"/>
      <c r="C107" s="2708"/>
      <c r="E107" s="2707"/>
    </row>
    <row r="108" spans="1:5" s="1720" customFormat="1">
      <c r="A108" s="2707"/>
      <c r="C108" s="2708"/>
      <c r="E108" s="2707"/>
    </row>
    <row r="109" spans="1:5" s="1720" customFormat="1">
      <c r="A109" s="2707"/>
      <c r="C109" s="2708"/>
      <c r="E109" s="2707"/>
    </row>
    <row r="110" spans="1:5" s="1720" customFormat="1">
      <c r="A110" s="2707"/>
      <c r="C110" s="2708"/>
      <c r="E110" s="2707"/>
    </row>
    <row r="111" spans="1:5" s="1720" customFormat="1">
      <c r="A111" s="2707"/>
      <c r="C111" s="2708"/>
      <c r="E111" s="2707"/>
    </row>
    <row r="112" spans="1:5" s="1720" customFormat="1">
      <c r="A112" s="2707"/>
      <c r="C112" s="2708"/>
      <c r="E112" s="2707"/>
    </row>
    <row r="113" spans="1:5" s="1720" customFormat="1">
      <c r="A113" s="2707"/>
      <c r="C113" s="2708"/>
      <c r="E113" s="2707"/>
    </row>
    <row r="114" spans="1:5" s="1720" customFormat="1">
      <c r="A114" s="2707"/>
      <c r="C114" s="2708"/>
      <c r="E114" s="2707"/>
    </row>
    <row r="115" spans="1:5" s="1720" customFormat="1">
      <c r="A115" s="2707"/>
      <c r="C115" s="2708"/>
      <c r="E115" s="2707"/>
    </row>
    <row r="116" spans="1:5" s="1720" customFormat="1">
      <c r="A116" s="2707"/>
      <c r="C116" s="2708"/>
      <c r="E116" s="2707"/>
    </row>
    <row r="117" spans="1:5" s="1720" customFormat="1">
      <c r="A117" s="2707"/>
      <c r="C117" s="2708"/>
      <c r="E117" s="2707"/>
    </row>
    <row r="118" spans="1:5" s="1720" customFormat="1">
      <c r="A118" s="2707"/>
      <c r="C118" s="2708"/>
      <c r="E118" s="2707"/>
    </row>
    <row r="119" spans="1:5" s="1720" customFormat="1">
      <c r="A119" s="2707"/>
      <c r="C119" s="2708"/>
      <c r="E119" s="2707"/>
    </row>
    <row r="120" spans="1:5" s="1720" customFormat="1">
      <c r="A120" s="2707"/>
      <c r="C120" s="2708"/>
      <c r="E120" s="2707"/>
    </row>
    <row r="121" spans="1:5" s="1720" customFormat="1">
      <c r="A121" s="2707"/>
      <c r="C121" s="2708"/>
      <c r="E121" s="2707"/>
    </row>
    <row r="122" spans="1:5" s="1720" customFormat="1">
      <c r="A122" s="2707"/>
      <c r="C122" s="2708"/>
      <c r="E122" s="2707"/>
    </row>
    <row r="123" spans="1:5" s="1720" customFormat="1">
      <c r="A123" s="2707"/>
      <c r="C123" s="2708"/>
      <c r="E123" s="2707"/>
    </row>
    <row r="124" spans="1:5" s="1720" customFormat="1">
      <c r="A124" s="2707"/>
      <c r="C124" s="2708"/>
      <c r="E124" s="2707"/>
    </row>
    <row r="125" spans="1:5" s="1720" customFormat="1">
      <c r="A125" s="2707"/>
      <c r="C125" s="2708"/>
      <c r="E125" s="2707"/>
    </row>
    <row r="126" spans="1:5" s="1720" customFormat="1">
      <c r="A126" s="2707"/>
      <c r="C126" s="2708"/>
      <c r="E126" s="2707"/>
    </row>
    <row r="127" spans="1:5" s="1720" customFormat="1">
      <c r="A127" s="2707"/>
      <c r="C127" s="2708"/>
      <c r="E127" s="2707"/>
    </row>
    <row r="128" spans="1:5" s="1720" customFormat="1">
      <c r="A128" s="2707"/>
      <c r="C128" s="2708"/>
      <c r="E128" s="2707"/>
    </row>
    <row r="129" spans="1:5" s="1720" customFormat="1">
      <c r="A129" s="2707"/>
      <c r="C129" s="2708"/>
      <c r="E129" s="2707"/>
    </row>
    <row r="130" spans="1:5" s="1720" customFormat="1">
      <c r="A130" s="2707"/>
      <c r="C130" s="2708"/>
      <c r="E130" s="2707"/>
    </row>
    <row r="131" spans="1:5" s="1720" customFormat="1">
      <c r="A131" s="2707"/>
      <c r="C131" s="2708"/>
      <c r="E131" s="2707"/>
    </row>
    <row r="132" spans="1:5" s="1720" customFormat="1">
      <c r="A132" s="2707"/>
      <c r="C132" s="2708"/>
      <c r="E132" s="2707"/>
    </row>
    <row r="133" spans="1:5" s="1720" customFormat="1">
      <c r="A133" s="2707"/>
      <c r="C133" s="2708"/>
      <c r="E133" s="2707"/>
    </row>
    <row r="134" spans="1:5" s="1720" customFormat="1">
      <c r="A134" s="2707"/>
      <c r="C134" s="2708"/>
      <c r="E134" s="2707"/>
    </row>
    <row r="135" spans="1:5" s="1720" customFormat="1">
      <c r="A135" s="2707"/>
      <c r="C135" s="2708"/>
      <c r="E135" s="2707"/>
    </row>
    <row r="136" spans="1:5" s="1720" customFormat="1">
      <c r="A136" s="2707"/>
      <c r="C136" s="2708"/>
      <c r="E136" s="2707"/>
    </row>
    <row r="137" spans="1:5" s="1720" customFormat="1">
      <c r="A137" s="2707"/>
      <c r="C137" s="2708"/>
      <c r="E137" s="2707"/>
    </row>
    <row r="138" spans="1:5" s="1720" customFormat="1">
      <c r="A138" s="2707"/>
      <c r="C138" s="2708"/>
      <c r="E138" s="2707"/>
    </row>
    <row r="139" spans="1:5" s="1720" customFormat="1">
      <c r="A139" s="2707"/>
      <c r="C139" s="2708"/>
      <c r="E139" s="2707"/>
    </row>
    <row r="140" spans="1:5" s="1720" customFormat="1">
      <c r="A140" s="2707"/>
      <c r="C140" s="2708"/>
      <c r="E140" s="2707"/>
    </row>
    <row r="141" spans="1:5" s="1720" customFormat="1">
      <c r="A141" s="2707"/>
      <c r="C141" s="2708"/>
      <c r="E141" s="2707"/>
    </row>
    <row r="142" spans="1:5" s="1720" customFormat="1">
      <c r="A142" s="2707"/>
      <c r="C142" s="2708"/>
      <c r="E142" s="2707"/>
    </row>
    <row r="143" spans="1:5" s="1720" customFormat="1">
      <c r="A143" s="2707"/>
      <c r="C143" s="2708"/>
      <c r="E143" s="2707"/>
    </row>
    <row r="144" spans="1:5" s="1720" customFormat="1">
      <c r="A144" s="2707"/>
      <c r="C144" s="2708"/>
      <c r="E144" s="2707"/>
    </row>
    <row r="145" spans="1:5" s="1720" customFormat="1">
      <c r="A145" s="2707"/>
      <c r="C145" s="2708"/>
      <c r="E145" s="2707"/>
    </row>
    <row r="146" spans="1:5" s="1720" customFormat="1">
      <c r="A146" s="2707"/>
      <c r="C146" s="2708"/>
      <c r="E146" s="2707"/>
    </row>
    <row r="147" spans="1:5" s="1720" customFormat="1">
      <c r="A147" s="2707"/>
      <c r="C147" s="2708"/>
      <c r="E147" s="2707"/>
    </row>
    <row r="148" spans="1:5" s="1720" customFormat="1">
      <c r="A148" s="2707"/>
      <c r="C148" s="2708"/>
      <c r="E148" s="2707"/>
    </row>
    <row r="149" spans="1:5" s="1720" customFormat="1">
      <c r="A149" s="2707"/>
      <c r="C149" s="2708"/>
      <c r="E149" s="2707"/>
    </row>
    <row r="150" spans="1:5" s="1720" customFormat="1">
      <c r="A150" s="2707"/>
      <c r="C150" s="2708"/>
      <c r="E150" s="2707"/>
    </row>
    <row r="151" spans="1:5" s="1720" customFormat="1">
      <c r="A151" s="2707"/>
      <c r="C151" s="2708"/>
      <c r="E151" s="2707"/>
    </row>
    <row r="152" spans="1:5" s="1720" customFormat="1">
      <c r="A152" s="2707"/>
      <c r="C152" s="2708"/>
      <c r="E152" s="2707"/>
    </row>
    <row r="153" spans="1:5" s="1720" customFormat="1">
      <c r="A153" s="2707"/>
      <c r="C153" s="2708"/>
      <c r="E153" s="2707"/>
    </row>
    <row r="154" spans="1:5" s="1720" customFormat="1">
      <c r="A154" s="2707"/>
      <c r="C154" s="2708"/>
      <c r="E154" s="2707"/>
    </row>
    <row r="155" spans="1:5" s="1720" customFormat="1">
      <c r="A155" s="2707"/>
      <c r="C155" s="2708"/>
      <c r="E155" s="2707"/>
    </row>
    <row r="156" spans="1:5" s="1720" customFormat="1">
      <c r="A156" s="2707"/>
      <c r="C156" s="2708"/>
      <c r="E156" s="2707"/>
    </row>
    <row r="157" spans="1:5" s="1720" customFormat="1">
      <c r="A157" s="2707"/>
      <c r="C157" s="2708"/>
      <c r="E157" s="2707"/>
    </row>
    <row r="158" spans="1:5" s="1720" customFormat="1">
      <c r="A158" s="2707"/>
      <c r="C158" s="2708"/>
      <c r="E158" s="2707"/>
    </row>
    <row r="159" spans="1:5" s="1720" customFormat="1">
      <c r="A159" s="2707"/>
      <c r="C159" s="2708"/>
      <c r="E159" s="2707"/>
    </row>
    <row r="160" spans="1:5" s="1720" customFormat="1">
      <c r="A160" s="2707"/>
      <c r="C160" s="2708"/>
      <c r="E160" s="2707"/>
    </row>
    <row r="161" spans="1:5" s="1720" customFormat="1">
      <c r="A161" s="2707"/>
      <c r="C161" s="2708"/>
      <c r="E161" s="2707"/>
    </row>
    <row r="162" spans="1:5" s="1720" customFormat="1">
      <c r="A162" s="2707"/>
      <c r="C162" s="2708"/>
      <c r="E162" s="2707"/>
    </row>
    <row r="163" spans="1:5" s="1720" customFormat="1">
      <c r="A163" s="2707"/>
      <c r="C163" s="2708"/>
      <c r="E163" s="2707"/>
    </row>
    <row r="164" spans="1:5" s="1720" customFormat="1">
      <c r="A164" s="2707"/>
      <c r="C164" s="2708"/>
      <c r="E164" s="2707"/>
    </row>
    <row r="165" spans="1:5" s="1720" customFormat="1">
      <c r="A165" s="2707"/>
      <c r="C165" s="2708"/>
      <c r="E165" s="2707"/>
    </row>
    <row r="166" spans="1:5" s="1720" customFormat="1">
      <c r="A166" s="2707"/>
      <c r="C166" s="2708"/>
      <c r="E166" s="2707"/>
    </row>
    <row r="167" spans="1:5" s="1720" customFormat="1">
      <c r="A167" s="2707"/>
      <c r="C167" s="2708"/>
      <c r="E167" s="2707"/>
    </row>
    <row r="168" spans="1:5" s="1720" customFormat="1">
      <c r="A168" s="2707"/>
      <c r="C168" s="2708"/>
      <c r="E168" s="2707"/>
    </row>
    <row r="169" spans="1:5" s="1720" customFormat="1">
      <c r="A169" s="2707"/>
      <c r="C169" s="2708"/>
      <c r="E169" s="2707"/>
    </row>
    <row r="170" spans="1:5" s="1720" customFormat="1">
      <c r="A170" s="2707"/>
      <c r="C170" s="2708"/>
      <c r="E170" s="2707"/>
    </row>
    <row r="171" spans="1:5" s="1720" customFormat="1">
      <c r="A171" s="2707"/>
      <c r="C171" s="2708"/>
      <c r="E171" s="2707"/>
    </row>
    <row r="172" spans="1:5" s="1720" customFormat="1">
      <c r="A172" s="2707"/>
      <c r="C172" s="2708"/>
      <c r="E172" s="2707"/>
    </row>
    <row r="173" spans="1:5" s="1720" customFormat="1">
      <c r="A173" s="2707"/>
      <c r="C173" s="2708"/>
      <c r="E173" s="2707"/>
    </row>
    <row r="174" spans="1:5" s="1720" customFormat="1">
      <c r="A174" s="2707"/>
      <c r="C174" s="2708"/>
      <c r="E174" s="2707"/>
    </row>
    <row r="175" spans="1:5" s="1720" customFormat="1">
      <c r="A175" s="2707"/>
      <c r="C175" s="2708"/>
      <c r="E175" s="2707"/>
    </row>
    <row r="176" spans="1:5" s="1720" customFormat="1">
      <c r="A176" s="2707"/>
      <c r="C176" s="2708"/>
      <c r="E176" s="2707"/>
    </row>
    <row r="177" spans="1:5" s="1720" customFormat="1">
      <c r="A177" s="2707"/>
      <c r="C177" s="2708"/>
      <c r="E177" s="2707"/>
    </row>
    <row r="178" spans="1:5" s="1720" customFormat="1">
      <c r="A178" s="2707"/>
      <c r="C178" s="2708"/>
      <c r="E178" s="2707"/>
    </row>
    <row r="179" spans="1:5" s="1720" customFormat="1">
      <c r="A179" s="2707"/>
      <c r="C179" s="2708"/>
      <c r="E179" s="2707"/>
    </row>
    <row r="180" spans="1:5" s="1720" customFormat="1">
      <c r="A180" s="2707"/>
      <c r="C180" s="2708"/>
      <c r="E180" s="2707"/>
    </row>
    <row r="181" spans="1:5" s="1720" customFormat="1">
      <c r="A181" s="2707"/>
      <c r="C181" s="2708"/>
      <c r="E181" s="2707"/>
    </row>
    <row r="182" spans="1:5" s="1720" customFormat="1">
      <c r="A182" s="2707"/>
      <c r="C182" s="2708"/>
      <c r="E182" s="2707"/>
    </row>
    <row r="183" spans="1:5" s="1720" customFormat="1">
      <c r="A183" s="2707"/>
      <c r="C183" s="2708"/>
      <c r="E183" s="2707"/>
    </row>
    <row r="184" spans="1:5" s="1720" customFormat="1">
      <c r="A184" s="2707"/>
      <c r="C184" s="2708"/>
      <c r="E184" s="2707"/>
    </row>
    <row r="185" spans="1:5" s="1720" customFormat="1">
      <c r="A185" s="2707"/>
      <c r="C185" s="2708"/>
      <c r="E185" s="2707"/>
    </row>
    <row r="186" spans="1:5" s="1720" customFormat="1">
      <c r="A186" s="2707"/>
      <c r="C186" s="2708"/>
      <c r="E186" s="2707"/>
    </row>
    <row r="187" spans="1:5" s="1720" customFormat="1">
      <c r="A187" s="2707"/>
      <c r="C187" s="2708"/>
      <c r="E187" s="2707"/>
    </row>
    <row r="188" spans="1:5" s="1720" customFormat="1">
      <c r="A188" s="2707"/>
      <c r="C188" s="2708"/>
      <c r="E188" s="2707"/>
    </row>
    <row r="189" spans="1:5" s="1720" customFormat="1">
      <c r="A189" s="2707"/>
      <c r="C189" s="2708"/>
      <c r="E189" s="2707"/>
    </row>
    <row r="190" spans="1:5" s="1720" customFormat="1">
      <c r="A190" s="2707"/>
      <c r="C190" s="2708"/>
      <c r="E190" s="2707"/>
    </row>
    <row r="191" spans="1:5" s="1720" customFormat="1">
      <c r="A191" s="2707"/>
      <c r="C191" s="2708"/>
      <c r="E191" s="2707"/>
    </row>
    <row r="192" spans="1:5" s="1720" customFormat="1">
      <c r="A192" s="2707"/>
      <c r="C192" s="2708"/>
      <c r="E192" s="2707"/>
    </row>
    <row r="193" spans="1:5" s="1720" customFormat="1">
      <c r="A193" s="2707"/>
      <c r="C193" s="2708"/>
      <c r="E193" s="2707"/>
    </row>
    <row r="194" spans="1:5" s="1720" customFormat="1">
      <c r="A194" s="2707"/>
      <c r="C194" s="2708"/>
      <c r="E194" s="2707"/>
    </row>
    <row r="195" spans="1:5" s="1720" customFormat="1">
      <c r="A195" s="2707"/>
      <c r="C195" s="2708"/>
      <c r="E195" s="2707"/>
    </row>
    <row r="196" spans="1:5" s="1720" customFormat="1">
      <c r="A196" s="2707"/>
      <c r="C196" s="2708"/>
      <c r="E196" s="2707"/>
    </row>
    <row r="197" spans="1:5" s="1720" customFormat="1">
      <c r="A197" s="2707"/>
      <c r="C197" s="2708"/>
      <c r="E197" s="2707"/>
    </row>
    <row r="198" spans="1:5" s="1720" customFormat="1">
      <c r="A198" s="2707"/>
      <c r="C198" s="2708"/>
      <c r="E198" s="2707"/>
    </row>
    <row r="199" spans="1:5" s="1720" customFormat="1">
      <c r="A199" s="2707"/>
      <c r="C199" s="2708"/>
      <c r="E199" s="2707"/>
    </row>
    <row r="200" spans="1:5" s="1720" customFormat="1">
      <c r="A200" s="2707"/>
      <c r="C200" s="2708"/>
      <c r="E200" s="2707"/>
    </row>
    <row r="201" spans="1:5" s="1720" customFormat="1">
      <c r="A201" s="2707"/>
      <c r="C201" s="2708"/>
      <c r="E201" s="2707"/>
    </row>
    <row r="202" spans="1:5" s="1720" customFormat="1">
      <c r="A202" s="2707"/>
      <c r="C202" s="2708"/>
      <c r="E202" s="2707"/>
    </row>
    <row r="203" spans="1:5" s="1720" customFormat="1">
      <c r="A203" s="2707"/>
      <c r="C203" s="2708"/>
      <c r="E203" s="2707"/>
    </row>
    <row r="204" spans="1:5" s="1720" customFormat="1">
      <c r="A204" s="2707"/>
      <c r="C204" s="2708"/>
      <c r="E204" s="2707"/>
    </row>
    <row r="205" spans="1:5" s="1720" customFormat="1">
      <c r="A205" s="2707"/>
      <c r="C205" s="2708"/>
      <c r="E205" s="2707"/>
    </row>
    <row r="206" spans="1:5" s="1720" customFormat="1">
      <c r="A206" s="2707"/>
      <c r="C206" s="2708"/>
      <c r="E206" s="2707"/>
    </row>
    <row r="207" spans="1:5" s="1720" customFormat="1">
      <c r="A207" s="2707"/>
      <c r="C207" s="2708"/>
      <c r="E207" s="2707"/>
    </row>
    <row r="208" spans="1:5" s="1720" customFormat="1">
      <c r="A208" s="2707"/>
      <c r="C208" s="2708"/>
      <c r="E208" s="2707"/>
    </row>
    <row r="209" spans="1:5" s="1720" customFormat="1">
      <c r="A209" s="2707"/>
      <c r="C209" s="2708"/>
      <c r="E209" s="2707"/>
    </row>
    <row r="210" spans="1:5" s="1720" customFormat="1">
      <c r="A210" s="2707"/>
      <c r="C210" s="2708"/>
      <c r="E210" s="2707"/>
    </row>
    <row r="211" spans="1:5" s="1720" customFormat="1">
      <c r="A211" s="2707"/>
      <c r="C211" s="2708"/>
      <c r="E211" s="2707"/>
    </row>
    <row r="212" spans="1:5" s="1720" customFormat="1">
      <c r="A212" s="2707"/>
      <c r="C212" s="2708"/>
      <c r="E212" s="2707"/>
    </row>
    <row r="213" spans="1:5" s="1720" customFormat="1">
      <c r="A213" s="2707"/>
      <c r="C213" s="2708"/>
      <c r="E213" s="2707"/>
    </row>
    <row r="214" spans="1:5" s="1720" customFormat="1">
      <c r="A214" s="2707"/>
      <c r="C214" s="2708"/>
      <c r="E214" s="2707"/>
    </row>
    <row r="215" spans="1:5" s="1720" customFormat="1">
      <c r="A215" s="2707"/>
      <c r="C215" s="2708"/>
      <c r="E215" s="2707"/>
    </row>
    <row r="216" spans="1:5" s="1720" customFormat="1">
      <c r="A216" s="2707"/>
      <c r="C216" s="2708"/>
      <c r="E216" s="2707"/>
    </row>
    <row r="217" spans="1:5" s="1720" customFormat="1">
      <c r="A217" s="2707"/>
      <c r="C217" s="2708"/>
      <c r="E217" s="2707"/>
    </row>
    <row r="218" spans="1:5" s="1720" customFormat="1">
      <c r="A218" s="2707"/>
      <c r="C218" s="2708"/>
      <c r="E218" s="2707"/>
    </row>
    <row r="219" spans="1:5" s="1720" customFormat="1">
      <c r="A219" s="2707"/>
      <c r="C219" s="2708"/>
      <c r="E219" s="2707"/>
    </row>
    <row r="220" spans="1:5" s="1720" customFormat="1">
      <c r="A220" s="2707"/>
      <c r="C220" s="2708"/>
      <c r="E220" s="2707"/>
    </row>
    <row r="221" spans="1:5" s="1720" customFormat="1">
      <c r="A221" s="2707"/>
      <c r="C221" s="2708"/>
      <c r="E221" s="2707"/>
    </row>
    <row r="222" spans="1:5" s="1720" customFormat="1">
      <c r="A222" s="2707"/>
      <c r="C222" s="2708"/>
      <c r="E222" s="2707"/>
    </row>
    <row r="223" spans="1:5" s="1720" customFormat="1">
      <c r="A223" s="2707"/>
      <c r="C223" s="2708"/>
      <c r="E223" s="2707"/>
    </row>
    <row r="224" spans="1:5" s="1720" customFormat="1">
      <c r="A224" s="2707"/>
      <c r="C224" s="2708"/>
      <c r="E224" s="2707"/>
    </row>
    <row r="225" spans="1:5" s="1720" customFormat="1">
      <c r="A225" s="2707"/>
      <c r="C225" s="2708"/>
      <c r="E225" s="2707"/>
    </row>
    <row r="226" spans="1:5" s="1720" customFormat="1">
      <c r="A226" s="2707"/>
      <c r="C226" s="2708"/>
      <c r="E226" s="2707"/>
    </row>
    <row r="227" spans="1:5" s="1720" customFormat="1">
      <c r="A227" s="2707"/>
      <c r="C227" s="2708"/>
      <c r="E227" s="2707"/>
    </row>
    <row r="228" spans="1:5" s="1720" customFormat="1">
      <c r="A228" s="2707"/>
      <c r="C228" s="2708"/>
      <c r="E228" s="2707"/>
    </row>
    <row r="229" spans="1:5" s="1720" customFormat="1">
      <c r="A229" s="2707"/>
      <c r="C229" s="2708"/>
      <c r="E229" s="2707"/>
    </row>
    <row r="230" spans="1:5" s="1720" customFormat="1">
      <c r="A230" s="2707"/>
      <c r="C230" s="2708"/>
      <c r="E230" s="2707"/>
    </row>
    <row r="231" spans="1:5" s="1720" customFormat="1">
      <c r="A231" s="2707"/>
      <c r="C231" s="2708"/>
      <c r="E231" s="2707"/>
    </row>
    <row r="232" spans="1:5" s="1720" customFormat="1">
      <c r="A232" s="2707"/>
      <c r="C232" s="2708"/>
      <c r="E232" s="2707"/>
    </row>
    <row r="233" spans="1:5" s="1720" customFormat="1">
      <c r="A233" s="2707"/>
      <c r="C233" s="2708"/>
      <c r="E233" s="2707"/>
    </row>
    <row r="234" spans="1:5" s="1720" customFormat="1">
      <c r="A234" s="2707"/>
      <c r="C234" s="2708"/>
      <c r="E234" s="2707"/>
    </row>
    <row r="235" spans="1:5" s="1720" customFormat="1">
      <c r="A235" s="2707"/>
      <c r="C235" s="2708"/>
      <c r="E235" s="2707"/>
    </row>
    <row r="236" spans="1:5" s="1720" customFormat="1">
      <c r="A236" s="2707"/>
      <c r="C236" s="2708"/>
      <c r="E236" s="2707"/>
    </row>
    <row r="237" spans="1:5" s="1720" customFormat="1">
      <c r="A237" s="2707"/>
      <c r="C237" s="2708"/>
      <c r="E237" s="2707"/>
    </row>
    <row r="238" spans="1:5" s="1720" customFormat="1">
      <c r="A238" s="2707"/>
      <c r="C238" s="2708"/>
      <c r="E238" s="2707"/>
    </row>
    <row r="239" spans="1:5" s="1720" customFormat="1">
      <c r="A239" s="2707"/>
      <c r="C239" s="2708"/>
      <c r="E239" s="2707"/>
    </row>
    <row r="240" spans="1:5" s="1720" customFormat="1">
      <c r="A240" s="2707"/>
      <c r="C240" s="2708"/>
      <c r="E240" s="2707"/>
    </row>
    <row r="241" spans="1:5" s="1720" customFormat="1">
      <c r="A241" s="2707"/>
      <c r="C241" s="2708"/>
      <c r="E241" s="2707"/>
    </row>
    <row r="242" spans="1:5" s="1720" customFormat="1">
      <c r="A242" s="2707"/>
      <c r="C242" s="2708"/>
      <c r="E242" s="2707"/>
    </row>
    <row r="243" spans="1:5" s="1720" customFormat="1">
      <c r="A243" s="2707"/>
      <c r="C243" s="2708"/>
      <c r="E243" s="2707"/>
    </row>
    <row r="244" spans="1:5" s="1720" customFormat="1">
      <c r="A244" s="2707"/>
      <c r="C244" s="2708"/>
      <c r="E244" s="2707"/>
    </row>
    <row r="245" spans="1:5" s="1720" customFormat="1">
      <c r="A245" s="2707"/>
      <c r="C245" s="2708"/>
      <c r="E245" s="2707"/>
    </row>
    <row r="246" spans="1:5" s="1720" customFormat="1">
      <c r="A246" s="2707"/>
      <c r="C246" s="2708"/>
      <c r="E246" s="2707"/>
    </row>
    <row r="247" spans="1:5" s="1720" customFormat="1">
      <c r="A247" s="2707"/>
      <c r="C247" s="2708"/>
      <c r="E247" s="2707"/>
    </row>
    <row r="248" spans="1:5" s="1720" customFormat="1">
      <c r="A248" s="2707"/>
      <c r="C248" s="2708"/>
      <c r="E248" s="2707"/>
    </row>
    <row r="249" spans="1:5" s="1720" customFormat="1">
      <c r="A249" s="2707"/>
      <c r="C249" s="2708"/>
      <c r="E249" s="2707"/>
    </row>
    <row r="250" spans="1:5" s="1720" customFormat="1">
      <c r="A250" s="2707"/>
      <c r="C250" s="2708"/>
      <c r="E250" s="2707"/>
    </row>
    <row r="251" spans="1:5" s="1720" customFormat="1">
      <c r="A251" s="2707"/>
      <c r="C251" s="2708"/>
      <c r="E251" s="2707"/>
    </row>
    <row r="252" spans="1:5" s="1720" customFormat="1">
      <c r="A252" s="2707"/>
      <c r="C252" s="2708"/>
      <c r="E252" s="2707"/>
    </row>
    <row r="253" spans="1:5" s="1720" customFormat="1">
      <c r="A253" s="2707"/>
      <c r="C253" s="2708"/>
      <c r="E253" s="2707"/>
    </row>
    <row r="254" spans="1:5" s="1720" customFormat="1">
      <c r="A254" s="2707"/>
      <c r="C254" s="2708"/>
      <c r="E254" s="2707"/>
    </row>
    <row r="255" spans="1:5" s="1720" customFormat="1">
      <c r="A255" s="2707"/>
      <c r="C255" s="2708"/>
      <c r="E255" s="2707"/>
    </row>
    <row r="256" spans="1:5" s="1720" customFormat="1">
      <c r="A256" s="2707"/>
      <c r="C256" s="2708"/>
      <c r="E256" s="2707"/>
    </row>
    <row r="257" spans="1:5" s="1720" customFormat="1">
      <c r="A257" s="2707"/>
      <c r="C257" s="2708"/>
      <c r="E257" s="2707"/>
    </row>
    <row r="258" spans="1:5" s="1720" customFormat="1">
      <c r="A258" s="2707"/>
      <c r="C258" s="2708"/>
      <c r="E258" s="2707"/>
    </row>
    <row r="259" spans="1:5" s="1720" customFormat="1">
      <c r="A259" s="2707"/>
      <c r="C259" s="2708"/>
      <c r="E259" s="2707"/>
    </row>
    <row r="260" spans="1:5" s="1720" customFormat="1">
      <c r="A260" s="2707"/>
      <c r="C260" s="2708"/>
      <c r="E260" s="2707"/>
    </row>
    <row r="261" spans="1:5" s="1720" customFormat="1">
      <c r="A261" s="2707"/>
      <c r="C261" s="2708"/>
      <c r="E261" s="2707"/>
    </row>
    <row r="262" spans="1:5" s="1720" customFormat="1">
      <c r="A262" s="2707"/>
      <c r="C262" s="2708"/>
      <c r="E262" s="2707"/>
    </row>
    <row r="263" spans="1:5" s="1720" customFormat="1">
      <c r="A263" s="2707"/>
      <c r="C263" s="2708"/>
      <c r="E263" s="2707"/>
    </row>
    <row r="264" spans="1:5" s="1720" customFormat="1">
      <c r="A264" s="2707"/>
      <c r="C264" s="2708"/>
      <c r="E264" s="2707"/>
    </row>
    <row r="265" spans="1:5" s="1720" customFormat="1">
      <c r="A265" s="2707"/>
      <c r="C265" s="2708"/>
      <c r="E265" s="2707"/>
    </row>
    <row r="266" spans="1:5" s="1720" customFormat="1">
      <c r="A266" s="2707"/>
      <c r="C266" s="2708"/>
      <c r="E266" s="2707"/>
    </row>
    <row r="267" spans="1:5" s="1720" customFormat="1">
      <c r="A267" s="2707"/>
      <c r="C267" s="2708"/>
      <c r="E267" s="2707"/>
    </row>
    <row r="268" spans="1:5" s="1720" customFormat="1">
      <c r="A268" s="2707"/>
      <c r="C268" s="2708"/>
      <c r="E268" s="2707"/>
    </row>
    <row r="269" spans="1:5" s="1720" customFormat="1">
      <c r="A269" s="2707"/>
      <c r="C269" s="2708"/>
      <c r="E269" s="2707"/>
    </row>
    <row r="270" spans="1:5" s="1720" customFormat="1">
      <c r="A270" s="2707"/>
      <c r="C270" s="2708"/>
      <c r="E270" s="2707"/>
    </row>
    <row r="271" spans="1:5" s="1720" customFormat="1">
      <c r="A271" s="2707"/>
      <c r="C271" s="2708"/>
      <c r="E271" s="2707"/>
    </row>
    <row r="272" spans="1:5" s="1720" customFormat="1">
      <c r="A272" s="2707"/>
      <c r="C272" s="2708"/>
      <c r="E272" s="2707"/>
    </row>
    <row r="273" spans="1:5" s="1720" customFormat="1">
      <c r="A273" s="2707"/>
      <c r="C273" s="2708"/>
      <c r="E273" s="2707"/>
    </row>
    <row r="274" spans="1:5" s="1720" customFormat="1">
      <c r="A274" s="2707"/>
      <c r="C274" s="2708"/>
      <c r="E274" s="2707"/>
    </row>
    <row r="275" spans="1:5" s="1720" customFormat="1">
      <c r="A275" s="2707"/>
      <c r="C275" s="2708"/>
      <c r="E275" s="2707"/>
    </row>
    <row r="276" spans="1:5" s="1720" customFormat="1">
      <c r="A276" s="2707"/>
      <c r="C276" s="2708"/>
      <c r="E276" s="2707"/>
    </row>
    <row r="277" spans="1:5" s="1720" customFormat="1">
      <c r="A277" s="2707"/>
      <c r="C277" s="2708"/>
      <c r="E277" s="2707"/>
    </row>
    <row r="278" spans="1:5" s="1720" customFormat="1">
      <c r="A278" s="2707"/>
      <c r="C278" s="2708"/>
      <c r="E278" s="2707"/>
    </row>
    <row r="279" spans="1:5" s="1720" customFormat="1">
      <c r="A279" s="2707"/>
      <c r="C279" s="2708"/>
      <c r="E279" s="2707"/>
    </row>
    <row r="280" spans="1:5" s="1720" customFormat="1">
      <c r="A280" s="2707"/>
      <c r="C280" s="2708"/>
      <c r="E280" s="2707"/>
    </row>
    <row r="281" spans="1:5" s="1720" customFormat="1">
      <c r="A281" s="2707"/>
      <c r="C281" s="2708"/>
      <c r="E281" s="2707"/>
    </row>
    <row r="282" spans="1:5" s="1720" customFormat="1">
      <c r="A282" s="2707"/>
      <c r="C282" s="2708"/>
      <c r="E282" s="2707"/>
    </row>
    <row r="283" spans="1:5" s="1720" customFormat="1">
      <c r="A283" s="2707"/>
      <c r="C283" s="2708"/>
      <c r="E283" s="2707"/>
    </row>
    <row r="284" spans="1:5" s="1720" customFormat="1">
      <c r="A284" s="2707"/>
      <c r="C284" s="2708"/>
      <c r="E284" s="2707"/>
    </row>
    <row r="285" spans="1:5" s="1720" customFormat="1">
      <c r="A285" s="2707"/>
      <c r="C285" s="2708"/>
      <c r="E285" s="2707"/>
    </row>
    <row r="286" spans="1:5" s="1720" customFormat="1">
      <c r="A286" s="2707"/>
      <c r="C286" s="2708"/>
      <c r="E286" s="2707"/>
    </row>
    <row r="287" spans="1:5" s="1720" customFormat="1">
      <c r="A287" s="2707"/>
      <c r="C287" s="2708"/>
      <c r="E287" s="2707"/>
    </row>
    <row r="288" spans="1:5" s="1720" customFormat="1">
      <c r="A288" s="2707"/>
      <c r="C288" s="2708"/>
      <c r="E288" s="2707"/>
    </row>
    <row r="289" spans="1:5" s="1720" customFormat="1">
      <c r="A289" s="2707"/>
      <c r="C289" s="2708"/>
      <c r="E289" s="2707"/>
    </row>
    <row r="290" spans="1:5" s="1720" customFormat="1">
      <c r="A290" s="2707"/>
      <c r="C290" s="2708"/>
      <c r="E290" s="2707"/>
    </row>
    <row r="291" spans="1:5" s="1720" customFormat="1">
      <c r="A291" s="2707"/>
      <c r="C291" s="2708"/>
      <c r="E291" s="2707"/>
    </row>
    <row r="292" spans="1:5" s="1720" customFormat="1">
      <c r="A292" s="2707"/>
      <c r="C292" s="2708"/>
      <c r="E292" s="2707"/>
    </row>
    <row r="293" spans="1:5" s="1720" customFormat="1">
      <c r="A293" s="2707"/>
      <c r="C293" s="2708"/>
      <c r="E293" s="2707"/>
    </row>
    <row r="294" spans="1:5" s="1720" customFormat="1">
      <c r="A294" s="2707"/>
      <c r="C294" s="2708"/>
      <c r="E294" s="2707"/>
    </row>
    <row r="295" spans="1:5" s="1720" customFormat="1">
      <c r="A295" s="2707"/>
      <c r="C295" s="2708"/>
      <c r="E295" s="2707"/>
    </row>
    <row r="296" spans="1:5" s="1720" customFormat="1">
      <c r="A296" s="2707"/>
      <c r="C296" s="2708"/>
      <c r="E296" s="2707"/>
    </row>
    <row r="297" spans="1:5" s="1720" customFormat="1">
      <c r="A297" s="2707"/>
      <c r="C297" s="2708"/>
      <c r="E297" s="2707"/>
    </row>
    <row r="298" spans="1:5" s="1720" customFormat="1">
      <c r="A298" s="2707"/>
      <c r="C298" s="2708"/>
      <c r="E298" s="2707"/>
    </row>
    <row r="299" spans="1:5" s="1720" customFormat="1">
      <c r="A299" s="2707"/>
      <c r="C299" s="2708"/>
      <c r="E299" s="2707"/>
    </row>
    <row r="300" spans="1:5" s="1720" customFormat="1">
      <c r="A300" s="2707"/>
      <c r="C300" s="2708"/>
      <c r="E300" s="2707"/>
    </row>
    <row r="301" spans="1:5" s="1720" customFormat="1">
      <c r="A301" s="2707"/>
      <c r="C301" s="2708"/>
      <c r="E301" s="2707"/>
    </row>
    <row r="302" spans="1:5" s="1720" customFormat="1">
      <c r="A302" s="2707"/>
      <c r="C302" s="2708"/>
      <c r="E302" s="2707"/>
    </row>
    <row r="303" spans="1:5" s="1720" customFormat="1">
      <c r="A303" s="2707"/>
      <c r="C303" s="2708"/>
      <c r="E303" s="2707"/>
    </row>
    <row r="304" spans="1:5" s="1720" customFormat="1">
      <c r="A304" s="2707"/>
      <c r="C304" s="2708"/>
      <c r="E304" s="2707"/>
    </row>
    <row r="305" spans="1:5" s="1720" customFormat="1">
      <c r="A305" s="2707"/>
      <c r="C305" s="2708"/>
      <c r="E305" s="2707"/>
    </row>
    <row r="306" spans="1:5" s="1720" customFormat="1">
      <c r="A306" s="2707"/>
      <c r="C306" s="2708"/>
      <c r="E306" s="2707"/>
    </row>
    <row r="307" spans="1:5" s="1720" customFormat="1">
      <c r="A307" s="2707"/>
      <c r="C307" s="2708"/>
      <c r="E307" s="2707"/>
    </row>
    <row r="308" spans="1:5" s="1720" customFormat="1">
      <c r="A308" s="2707"/>
      <c r="C308" s="2708"/>
      <c r="E308" s="2707"/>
    </row>
    <row r="309" spans="1:5" s="1720" customFormat="1">
      <c r="A309" s="2707"/>
      <c r="C309" s="2708"/>
      <c r="E309" s="2707"/>
    </row>
    <row r="310" spans="1:5" s="1720" customFormat="1">
      <c r="A310" s="2707"/>
      <c r="C310" s="2708"/>
      <c r="E310" s="2707"/>
    </row>
    <row r="311" spans="1:5" s="1720" customFormat="1">
      <c r="A311" s="2707"/>
      <c r="C311" s="2708"/>
      <c r="E311" s="2707"/>
    </row>
    <row r="312" spans="1:5" s="1720" customFormat="1">
      <c r="A312" s="2707"/>
      <c r="C312" s="2708"/>
      <c r="E312" s="2707"/>
    </row>
    <row r="313" spans="1:5" s="1720" customFormat="1">
      <c r="A313" s="2707"/>
      <c r="C313" s="2708"/>
      <c r="E313" s="2707"/>
    </row>
    <row r="314" spans="1:5" s="1720" customFormat="1">
      <c r="A314" s="2707"/>
      <c r="C314" s="2708"/>
      <c r="E314" s="2707"/>
    </row>
    <row r="315" spans="1:5" s="1720" customFormat="1">
      <c r="A315" s="2707"/>
      <c r="C315" s="2708"/>
      <c r="E315" s="2707"/>
    </row>
    <row r="316" spans="1:5" s="1720" customFormat="1">
      <c r="A316" s="2707"/>
      <c r="C316" s="2708"/>
      <c r="E316" s="2707"/>
    </row>
    <row r="317" spans="1:5" s="1720" customFormat="1">
      <c r="A317" s="2707"/>
      <c r="C317" s="2708"/>
      <c r="E317" s="2707"/>
    </row>
    <row r="318" spans="1:5" s="1720" customFormat="1">
      <c r="A318" s="2707"/>
      <c r="C318" s="2708"/>
      <c r="E318" s="2707"/>
    </row>
    <row r="319" spans="1:5" s="1720" customFormat="1">
      <c r="A319" s="2707"/>
      <c r="C319" s="2708"/>
      <c r="E319" s="2707"/>
    </row>
    <row r="320" spans="1:5" s="1720" customFormat="1">
      <c r="A320" s="2707"/>
      <c r="C320" s="2708"/>
      <c r="E320" s="2707"/>
    </row>
    <row r="321" spans="1:5" s="1720" customFormat="1">
      <c r="A321" s="2707"/>
      <c r="C321" s="2708"/>
      <c r="E321" s="2707"/>
    </row>
    <row r="322" spans="1:5" s="1720" customFormat="1">
      <c r="A322" s="2707"/>
      <c r="C322" s="2708"/>
      <c r="E322" s="2707"/>
    </row>
    <row r="323" spans="1:5" s="1720" customFormat="1">
      <c r="A323" s="2707"/>
      <c r="C323" s="2708"/>
      <c r="E323" s="2707"/>
    </row>
    <row r="324" spans="1:5" s="1720" customFormat="1">
      <c r="A324" s="2707"/>
      <c r="C324" s="2708"/>
      <c r="E324" s="2707"/>
    </row>
    <row r="325" spans="1:5" s="1720" customFormat="1">
      <c r="A325" s="2707"/>
      <c r="C325" s="2708"/>
      <c r="E325" s="2707"/>
    </row>
    <row r="326" spans="1:5" s="1720" customFormat="1">
      <c r="A326" s="2707"/>
      <c r="C326" s="2708"/>
      <c r="E326" s="2707"/>
    </row>
    <row r="327" spans="1:5" s="1720" customFormat="1">
      <c r="A327" s="2707"/>
      <c r="C327" s="2708"/>
      <c r="E327" s="2707"/>
    </row>
    <row r="328" spans="1:5" s="1720" customFormat="1">
      <c r="A328" s="2707"/>
      <c r="C328" s="2708"/>
      <c r="E328" s="2707"/>
    </row>
    <row r="329" spans="1:5" s="1720" customFormat="1">
      <c r="A329" s="2707"/>
      <c r="C329" s="2708"/>
      <c r="E329" s="2707"/>
    </row>
    <row r="330" spans="1:5" s="1720" customFormat="1">
      <c r="A330" s="2707"/>
      <c r="C330" s="2708"/>
      <c r="E330" s="2707"/>
    </row>
    <row r="331" spans="1:5" s="1720" customFormat="1">
      <c r="A331" s="2707"/>
      <c r="C331" s="2708"/>
      <c r="E331" s="2707"/>
    </row>
    <row r="332" spans="1:5" s="1720" customFormat="1">
      <c r="A332" s="2707"/>
      <c r="C332" s="2708"/>
      <c r="E332" s="2707"/>
    </row>
    <row r="333" spans="1:5" s="1720" customFormat="1">
      <c r="A333" s="2707"/>
      <c r="C333" s="2708"/>
      <c r="E333" s="2707"/>
    </row>
    <row r="334" spans="1:5" s="1720" customFormat="1">
      <c r="A334" s="2707"/>
      <c r="C334" s="2708"/>
      <c r="E334" s="2707"/>
    </row>
    <row r="335" spans="1:5" s="1720" customFormat="1">
      <c r="A335" s="2707"/>
      <c r="C335" s="2708"/>
      <c r="E335" s="2707"/>
    </row>
    <row r="336" spans="1:5" s="1720" customFormat="1">
      <c r="A336" s="2707"/>
      <c r="C336" s="2708"/>
      <c r="E336" s="2707"/>
    </row>
    <row r="337" spans="1:5" s="1720" customFormat="1">
      <c r="A337" s="2707"/>
      <c r="C337" s="2708"/>
      <c r="E337" s="2707"/>
    </row>
    <row r="338" spans="1:5" s="1720" customFormat="1">
      <c r="A338" s="2707"/>
      <c r="C338" s="2708"/>
      <c r="E338" s="2707"/>
    </row>
    <row r="339" spans="1:5" s="1720" customFormat="1">
      <c r="A339" s="2707"/>
      <c r="C339" s="2708"/>
      <c r="E339" s="2707"/>
    </row>
    <row r="340" spans="1:5" s="1720" customFormat="1">
      <c r="A340" s="2707"/>
      <c r="C340" s="2708"/>
      <c r="E340" s="2707"/>
    </row>
    <row r="341" spans="1:5" s="1720" customFormat="1">
      <c r="A341" s="2707"/>
      <c r="C341" s="2708"/>
      <c r="E341" s="2707"/>
    </row>
    <row r="342" spans="1:5" s="1720" customFormat="1">
      <c r="A342" s="2707"/>
      <c r="C342" s="2708"/>
      <c r="E342" s="2707"/>
    </row>
    <row r="343" spans="1:5" s="1720" customFormat="1">
      <c r="A343" s="2707"/>
      <c r="C343" s="2708"/>
      <c r="E343" s="2707"/>
    </row>
    <row r="344" spans="1:5" s="1720" customFormat="1">
      <c r="A344" s="2707"/>
      <c r="C344" s="2708"/>
      <c r="E344" s="2707"/>
    </row>
    <row r="345" spans="1:5" s="1720" customFormat="1">
      <c r="A345" s="2707"/>
      <c r="C345" s="2708"/>
      <c r="E345" s="2707"/>
    </row>
    <row r="346" spans="1:5" s="1720" customFormat="1">
      <c r="A346" s="2707"/>
      <c r="C346" s="2708"/>
      <c r="E346" s="2707"/>
    </row>
    <row r="347" spans="1:5" s="1720" customFormat="1">
      <c r="A347" s="2707"/>
      <c r="C347" s="2708"/>
      <c r="E347" s="2707"/>
    </row>
    <row r="348" spans="1:5" s="1720" customFormat="1">
      <c r="A348" s="2707"/>
      <c r="C348" s="2708"/>
      <c r="E348" s="2707"/>
    </row>
    <row r="349" spans="1:5" s="1720" customFormat="1">
      <c r="A349" s="2707"/>
      <c r="C349" s="2708"/>
      <c r="E349" s="2707"/>
    </row>
    <row r="350" spans="1:5" s="1720" customFormat="1">
      <c r="A350" s="2707"/>
      <c r="C350" s="2708"/>
      <c r="E350" s="2707"/>
    </row>
    <row r="351" spans="1:5" s="1720" customFormat="1">
      <c r="A351" s="2707"/>
      <c r="C351" s="2708"/>
      <c r="E351" s="2707"/>
    </row>
    <row r="352" spans="1:5" s="1720" customFormat="1">
      <c r="A352" s="2707"/>
      <c r="C352" s="2708"/>
      <c r="E352" s="2707"/>
    </row>
    <row r="353" spans="1:5" s="1720" customFormat="1">
      <c r="A353" s="2707"/>
      <c r="C353" s="2708"/>
      <c r="E353" s="2707"/>
    </row>
    <row r="354" spans="1:5" s="1720" customFormat="1">
      <c r="A354" s="2707"/>
      <c r="C354" s="2708"/>
      <c r="E354" s="2707"/>
    </row>
    <row r="355" spans="1:5" s="1720" customFormat="1">
      <c r="A355" s="2707"/>
      <c r="C355" s="2708"/>
      <c r="E355" s="2707"/>
    </row>
    <row r="356" spans="1:5" s="1720" customFormat="1">
      <c r="A356" s="2707"/>
      <c r="C356" s="2708"/>
      <c r="E356" s="2707"/>
    </row>
    <row r="357" spans="1:5" s="1720" customFormat="1">
      <c r="A357" s="2707"/>
      <c r="C357" s="2708"/>
      <c r="E357" s="2707"/>
    </row>
    <row r="358" spans="1:5" s="1720" customFormat="1">
      <c r="A358" s="2707"/>
      <c r="C358" s="2708"/>
      <c r="E358" s="2707"/>
    </row>
    <row r="359" spans="1:5" s="1720" customFormat="1">
      <c r="A359" s="2707"/>
      <c r="C359" s="2708"/>
      <c r="E359" s="2707"/>
    </row>
    <row r="360" spans="1:5" s="1720" customFormat="1">
      <c r="A360" s="2707"/>
      <c r="C360" s="2708"/>
      <c r="E360" s="2707"/>
    </row>
    <row r="361" spans="1:5" s="1720" customFormat="1">
      <c r="A361" s="2707"/>
      <c r="C361" s="2708"/>
      <c r="E361" s="2707"/>
    </row>
    <row r="362" spans="1:5" s="1720" customFormat="1">
      <c r="A362" s="2707"/>
      <c r="C362" s="2708"/>
      <c r="E362" s="2707"/>
    </row>
    <row r="363" spans="1:5" s="1720" customFormat="1">
      <c r="A363" s="2707"/>
      <c r="C363" s="2708"/>
      <c r="E363" s="2707"/>
    </row>
    <row r="364" spans="1:5" s="1720" customFormat="1">
      <c r="A364" s="2707"/>
      <c r="C364" s="2708"/>
      <c r="E364" s="2707"/>
    </row>
    <row r="365" spans="1:5" s="1720" customFormat="1">
      <c r="A365" s="2707"/>
      <c r="C365" s="2708"/>
      <c r="E365" s="2707"/>
    </row>
    <row r="366" spans="1:5" s="1720" customFormat="1">
      <c r="A366" s="2707"/>
      <c r="C366" s="2708"/>
      <c r="E366" s="2707"/>
    </row>
    <row r="367" spans="1:5" s="1720" customFormat="1">
      <c r="A367" s="2707"/>
      <c r="C367" s="2708"/>
      <c r="E367" s="2707"/>
    </row>
    <row r="368" spans="1:5" s="1720" customFormat="1">
      <c r="A368" s="2707"/>
      <c r="C368" s="2708"/>
      <c r="E368" s="2707"/>
    </row>
    <row r="369" spans="1:5" s="1720" customFormat="1">
      <c r="A369" s="2707"/>
      <c r="C369" s="2708"/>
      <c r="E369" s="2707"/>
    </row>
    <row r="370" spans="1:5" s="1720" customFormat="1">
      <c r="A370" s="2707"/>
      <c r="C370" s="2708"/>
      <c r="E370" s="2707"/>
    </row>
    <row r="371" spans="1:5" s="1720" customFormat="1">
      <c r="A371" s="2707"/>
      <c r="C371" s="2708"/>
      <c r="E371" s="2707"/>
    </row>
    <row r="372" spans="1:5" s="1720" customFormat="1">
      <c r="A372" s="2707"/>
      <c r="C372" s="2708"/>
      <c r="E372" s="2707"/>
    </row>
    <row r="373" spans="1:5" s="1720" customFormat="1">
      <c r="A373" s="2707"/>
      <c r="C373" s="2708"/>
      <c r="E373" s="2707"/>
    </row>
    <row r="374" spans="1:5" s="1720" customFormat="1">
      <c r="A374" s="2707"/>
      <c r="C374" s="2708"/>
      <c r="E374" s="2707"/>
    </row>
    <row r="375" spans="1:5" s="1720" customFormat="1">
      <c r="A375" s="2707"/>
      <c r="C375" s="2708"/>
      <c r="E375" s="2707"/>
    </row>
    <row r="376" spans="1:5" s="1720" customFormat="1">
      <c r="A376" s="2707"/>
      <c r="C376" s="2708"/>
      <c r="E376" s="2707"/>
    </row>
    <row r="377" spans="1:5" s="1720" customFormat="1">
      <c r="A377" s="2707"/>
      <c r="C377" s="2708"/>
      <c r="E377" s="2707"/>
    </row>
    <row r="378" spans="1:5" s="1720" customFormat="1">
      <c r="A378" s="2707"/>
      <c r="C378" s="2708"/>
      <c r="E378" s="2707"/>
    </row>
    <row r="379" spans="1:5" s="1720" customFormat="1">
      <c r="A379" s="2707"/>
      <c r="C379" s="2708"/>
      <c r="E379" s="2707"/>
    </row>
    <row r="380" spans="1:5" s="1720" customFormat="1">
      <c r="A380" s="2707"/>
      <c r="C380" s="2708"/>
      <c r="E380" s="2707"/>
    </row>
    <row r="381" spans="1:5" s="1720" customFormat="1">
      <c r="A381" s="2707"/>
      <c r="C381" s="2708"/>
      <c r="E381" s="2707"/>
    </row>
    <row r="382" spans="1:5" s="1720" customFormat="1">
      <c r="A382" s="2707"/>
      <c r="C382" s="2708"/>
      <c r="E382" s="2707"/>
    </row>
    <row r="383" spans="1:5" s="1720" customFormat="1">
      <c r="A383" s="2707"/>
      <c r="C383" s="2708"/>
      <c r="E383" s="2707"/>
    </row>
    <row r="384" spans="1:5" s="1720" customFormat="1">
      <c r="A384" s="2707"/>
      <c r="C384" s="2708"/>
      <c r="E384" s="2707"/>
    </row>
    <row r="385" spans="1:5" s="1720" customFormat="1">
      <c r="A385" s="2707"/>
      <c r="C385" s="2708"/>
      <c r="E385" s="2707"/>
    </row>
    <row r="386" spans="1:5" s="1720" customFormat="1">
      <c r="A386" s="2707"/>
      <c r="C386" s="2708"/>
      <c r="E386" s="2707"/>
    </row>
    <row r="387" spans="1:5" s="1720" customFormat="1">
      <c r="A387" s="2707"/>
      <c r="C387" s="2708"/>
      <c r="E387" s="2707"/>
    </row>
    <row r="388" spans="1:5" s="1720" customFormat="1">
      <c r="A388" s="2707"/>
      <c r="C388" s="2708"/>
      <c r="E388" s="2707"/>
    </row>
    <row r="389" spans="1:5" s="1720" customFormat="1">
      <c r="A389" s="2707"/>
      <c r="C389" s="2708"/>
      <c r="E389" s="2707"/>
    </row>
    <row r="390" spans="1:5" s="1720" customFormat="1">
      <c r="A390" s="2707"/>
      <c r="C390" s="2708"/>
      <c r="E390" s="2707"/>
    </row>
    <row r="391" spans="1:5" s="1720" customFormat="1">
      <c r="A391" s="2707"/>
      <c r="C391" s="2708"/>
      <c r="E391" s="2707"/>
    </row>
    <row r="392" spans="1:5" s="1720" customFormat="1">
      <c r="A392" s="2707"/>
      <c r="C392" s="2708"/>
      <c r="E392" s="2707"/>
    </row>
    <row r="393" spans="1:5" s="1720" customFormat="1">
      <c r="A393" s="2707"/>
      <c r="C393" s="2708"/>
      <c r="E393" s="2707"/>
    </row>
    <row r="394" spans="1:5" s="1720" customFormat="1">
      <c r="A394" s="2707"/>
      <c r="C394" s="2708"/>
      <c r="E394" s="2707"/>
    </row>
    <row r="395" spans="1:5" s="1720" customFormat="1">
      <c r="A395" s="2707"/>
      <c r="C395" s="2708"/>
      <c r="E395" s="2707"/>
    </row>
    <row r="396" spans="1:5" s="1720" customFormat="1">
      <c r="A396" s="2707"/>
      <c r="C396" s="2708"/>
      <c r="E396" s="2707"/>
    </row>
    <row r="397" spans="1:5" s="1720" customFormat="1">
      <c r="A397" s="2707"/>
      <c r="C397" s="2708"/>
      <c r="E397" s="2707"/>
    </row>
    <row r="398" spans="1:5" s="1720" customFormat="1">
      <c r="A398" s="2707"/>
      <c r="C398" s="2708"/>
      <c r="E398" s="2707"/>
    </row>
    <row r="399" spans="1:5" s="1720" customFormat="1">
      <c r="A399" s="2707"/>
      <c r="C399" s="2708"/>
      <c r="E399" s="2707"/>
    </row>
    <row r="400" spans="1:5" s="1720" customFormat="1">
      <c r="A400" s="2707"/>
      <c r="C400" s="2708"/>
      <c r="E400" s="2707"/>
    </row>
    <row r="401" spans="1:5" s="1720" customFormat="1">
      <c r="A401" s="2707"/>
      <c r="C401" s="2708"/>
      <c r="E401" s="2707"/>
    </row>
    <row r="402" spans="1:5" s="1720" customFormat="1">
      <c r="A402" s="2707"/>
      <c r="C402" s="2708"/>
      <c r="E402" s="2707"/>
    </row>
    <row r="403" spans="1:5" s="1720" customFormat="1">
      <c r="A403" s="2707"/>
      <c r="C403" s="2708"/>
      <c r="E403" s="2707"/>
    </row>
    <row r="404" spans="1:5" s="1720" customFormat="1">
      <c r="A404" s="2707"/>
      <c r="C404" s="2708"/>
      <c r="E404" s="2707"/>
    </row>
    <row r="405" spans="1:5" s="1720" customFormat="1">
      <c r="A405" s="2707"/>
      <c r="C405" s="2708"/>
      <c r="E405" s="2707"/>
    </row>
    <row r="406" spans="1:5" s="1720" customFormat="1">
      <c r="A406" s="2707"/>
      <c r="C406" s="2708"/>
      <c r="E406" s="2707"/>
    </row>
    <row r="407" spans="1:5" s="1720" customFormat="1">
      <c r="A407" s="2707"/>
      <c r="C407" s="2708"/>
      <c r="E407" s="2707"/>
    </row>
    <row r="408" spans="1:5" s="1720" customFormat="1">
      <c r="A408" s="2707"/>
      <c r="C408" s="2708"/>
      <c r="E408" s="2707"/>
    </row>
    <row r="409" spans="1:5" s="1720" customFormat="1">
      <c r="A409" s="2707"/>
      <c r="C409" s="2708"/>
      <c r="E409" s="2707"/>
    </row>
    <row r="410" spans="1:5" s="1720" customFormat="1">
      <c r="A410" s="2707"/>
      <c r="C410" s="2708"/>
      <c r="E410" s="2707"/>
    </row>
    <row r="411" spans="1:5" s="1720" customFormat="1">
      <c r="A411" s="2707"/>
      <c r="C411" s="2708"/>
      <c r="E411" s="2707"/>
    </row>
    <row r="412" spans="1:5" s="1720" customFormat="1">
      <c r="A412" s="2707"/>
      <c r="C412" s="2708"/>
      <c r="E412" s="2707"/>
    </row>
    <row r="413" spans="1:5" s="1720" customFormat="1">
      <c r="A413" s="2707"/>
      <c r="C413" s="2708"/>
      <c r="E413" s="2707"/>
    </row>
    <row r="414" spans="1:5" s="1720" customFormat="1">
      <c r="A414" s="2707"/>
      <c r="C414" s="2708"/>
      <c r="E414" s="2707"/>
    </row>
    <row r="415" spans="1:5" s="1720" customFormat="1">
      <c r="A415" s="2707"/>
      <c r="C415" s="2708"/>
      <c r="E415" s="2707"/>
    </row>
    <row r="416" spans="1:5" s="1720" customFormat="1">
      <c r="A416" s="2707"/>
      <c r="C416" s="2708"/>
      <c r="E416" s="2707"/>
    </row>
    <row r="417" spans="1:5" s="1720" customFormat="1">
      <c r="A417" s="2707"/>
      <c r="C417" s="2708"/>
      <c r="E417" s="2707"/>
    </row>
    <row r="418" spans="1:5" s="1720" customFormat="1">
      <c r="A418" s="2707"/>
      <c r="C418" s="2708"/>
      <c r="E418" s="2707"/>
    </row>
    <row r="419" spans="1:5" s="1720" customFormat="1">
      <c r="A419" s="2707"/>
      <c r="C419" s="2708"/>
      <c r="E419" s="2707"/>
    </row>
    <row r="420" spans="1:5" s="1720" customFormat="1">
      <c r="A420" s="2707"/>
      <c r="C420" s="2708"/>
      <c r="E420" s="2707"/>
    </row>
    <row r="421" spans="1:5" s="1720" customFormat="1">
      <c r="A421" s="2707"/>
      <c r="C421" s="2708"/>
      <c r="E421" s="2707"/>
    </row>
    <row r="422" spans="1:5" s="1720" customFormat="1">
      <c r="A422" s="2707"/>
      <c r="C422" s="2708"/>
      <c r="E422" s="2707"/>
    </row>
    <row r="423" spans="1:5" s="1720" customFormat="1">
      <c r="A423" s="2707"/>
      <c r="C423" s="2708"/>
      <c r="E423" s="2707"/>
    </row>
    <row r="424" spans="1:5" s="1720" customFormat="1">
      <c r="A424" s="2707"/>
      <c r="C424" s="2708"/>
      <c r="E424" s="2707"/>
    </row>
    <row r="425" spans="1:5" s="1720" customFormat="1">
      <c r="A425" s="2707"/>
      <c r="C425" s="2708"/>
      <c r="E425" s="2707"/>
    </row>
    <row r="426" spans="1:5" s="1720" customFormat="1">
      <c r="A426" s="2707"/>
      <c r="C426" s="2708"/>
      <c r="E426" s="2707"/>
    </row>
    <row r="427" spans="1:5" s="1720" customFormat="1">
      <c r="A427" s="2707"/>
      <c r="C427" s="2708"/>
      <c r="E427" s="2707"/>
    </row>
    <row r="428" spans="1:5" s="1720" customFormat="1">
      <c r="A428" s="2707"/>
      <c r="C428" s="2708"/>
      <c r="E428" s="2707"/>
    </row>
    <row r="429" spans="1:5" s="1720" customFormat="1">
      <c r="A429" s="2707"/>
      <c r="C429" s="2708"/>
      <c r="E429" s="2707"/>
    </row>
    <row r="430" spans="1:5" s="1720" customFormat="1">
      <c r="A430" s="2707"/>
      <c r="C430" s="2708"/>
      <c r="E430" s="2707"/>
    </row>
    <row r="431" spans="1:5" s="1720" customFormat="1">
      <c r="A431" s="2707"/>
      <c r="C431" s="2708"/>
      <c r="E431" s="2707"/>
    </row>
    <row r="432" spans="1:5" s="1720" customFormat="1">
      <c r="A432" s="2707"/>
      <c r="C432" s="2708"/>
      <c r="E432" s="2707"/>
    </row>
    <row r="433" spans="1:5" s="1720" customFormat="1">
      <c r="A433" s="2707"/>
      <c r="C433" s="2708"/>
      <c r="E433" s="2707"/>
    </row>
    <row r="434" spans="1:5" s="1720" customFormat="1">
      <c r="A434" s="2707"/>
      <c r="C434" s="2708"/>
      <c r="E434" s="2707"/>
    </row>
    <row r="435" spans="1:5" s="1720" customFormat="1">
      <c r="A435" s="2707"/>
      <c r="C435" s="2708"/>
      <c r="E435" s="2707"/>
    </row>
    <row r="436" spans="1:5" s="1720" customFormat="1">
      <c r="A436" s="2707"/>
      <c r="C436" s="2708"/>
      <c r="E436" s="2707"/>
    </row>
    <row r="437" spans="1:5" s="1720" customFormat="1">
      <c r="A437" s="2707"/>
      <c r="C437" s="2708"/>
      <c r="E437" s="2707"/>
    </row>
    <row r="438" spans="1:5" s="1720" customFormat="1">
      <c r="A438" s="2707"/>
      <c r="C438" s="2708"/>
      <c r="E438" s="2707"/>
    </row>
    <row r="439" spans="1:5" s="1720" customFormat="1">
      <c r="A439" s="2707"/>
      <c r="C439" s="2708"/>
      <c r="E439" s="2707"/>
    </row>
    <row r="440" spans="1:5" s="1720" customFormat="1">
      <c r="A440" s="2707"/>
      <c r="C440" s="2708"/>
      <c r="E440" s="2707"/>
    </row>
    <row r="441" spans="1:5" s="1720" customFormat="1">
      <c r="A441" s="2707"/>
      <c r="C441" s="2708"/>
      <c r="E441" s="2707"/>
    </row>
    <row r="442" spans="1:5" s="1720" customFormat="1">
      <c r="A442" s="2707"/>
      <c r="C442" s="2708"/>
      <c r="E442" s="2707"/>
    </row>
    <row r="443" spans="1:5" s="1720" customFormat="1">
      <c r="A443" s="2707"/>
      <c r="C443" s="2708"/>
      <c r="E443" s="2707"/>
    </row>
    <row r="444" spans="1:5" s="1720" customFormat="1">
      <c r="A444" s="2707"/>
      <c r="C444" s="2708"/>
      <c r="E444" s="2707"/>
    </row>
    <row r="445" spans="1:5" s="1720" customFormat="1">
      <c r="A445" s="2707"/>
      <c r="C445" s="2708"/>
      <c r="E445" s="2707"/>
    </row>
    <row r="446" spans="1:5" s="1720" customFormat="1">
      <c r="A446" s="2707"/>
      <c r="C446" s="2708"/>
      <c r="E446" s="2707"/>
    </row>
    <row r="447" spans="1:5" s="1720" customFormat="1">
      <c r="A447" s="2707"/>
      <c r="C447" s="2708"/>
      <c r="E447" s="2707"/>
    </row>
    <row r="448" spans="1:5" s="1720" customFormat="1">
      <c r="A448" s="2707"/>
      <c r="C448" s="2708"/>
      <c r="E448" s="2707"/>
    </row>
    <row r="449" spans="1:5" s="1720" customFormat="1">
      <c r="A449" s="2707"/>
      <c r="C449" s="2708"/>
      <c r="E449" s="2707"/>
    </row>
    <row r="450" spans="1:5" s="1720" customFormat="1">
      <c r="A450" s="2707"/>
      <c r="C450" s="2708"/>
      <c r="E450" s="2707"/>
    </row>
    <row r="451" spans="1:5" s="1720" customFormat="1">
      <c r="A451" s="2707"/>
      <c r="C451" s="2708"/>
      <c r="E451" s="2707"/>
    </row>
    <row r="452" spans="1:5" s="1720" customFormat="1">
      <c r="A452" s="2707"/>
      <c r="C452" s="2708"/>
      <c r="E452" s="2707"/>
    </row>
    <row r="453" spans="1:5" s="1720" customFormat="1">
      <c r="A453" s="2707"/>
      <c r="C453" s="2708"/>
      <c r="E453" s="2707"/>
    </row>
    <row r="454" spans="1:5" s="1720" customFormat="1">
      <c r="A454" s="2707"/>
      <c r="C454" s="2708"/>
      <c r="E454" s="2707"/>
    </row>
    <row r="455" spans="1:5" s="1720" customFormat="1">
      <c r="A455" s="2707"/>
      <c r="C455" s="2708"/>
      <c r="E455" s="2707"/>
    </row>
    <row r="456" spans="1:5" s="1720" customFormat="1">
      <c r="A456" s="2707"/>
      <c r="C456" s="2708"/>
      <c r="E456" s="2707"/>
    </row>
    <row r="457" spans="1:5" s="1720" customFormat="1">
      <c r="A457" s="2707"/>
      <c r="C457" s="2708"/>
      <c r="E457" s="2707"/>
    </row>
    <row r="458" spans="1:5" s="1720" customFormat="1">
      <c r="A458" s="2707"/>
      <c r="C458" s="2708"/>
      <c r="E458" s="2707"/>
    </row>
    <row r="459" spans="1:5" s="1720" customFormat="1">
      <c r="A459" s="2707"/>
      <c r="C459" s="2708"/>
      <c r="E459" s="2707"/>
    </row>
    <row r="460" spans="1:5" s="1720" customFormat="1">
      <c r="A460" s="2707"/>
      <c r="C460" s="2708"/>
      <c r="E460" s="2707"/>
    </row>
    <row r="461" spans="1:5" s="1720" customFormat="1">
      <c r="A461" s="2707"/>
      <c r="C461" s="2708"/>
      <c r="E461" s="2707"/>
    </row>
    <row r="462" spans="1:5" s="1720" customFormat="1">
      <c r="A462" s="2707"/>
      <c r="C462" s="2708"/>
      <c r="E462" s="2707"/>
    </row>
    <row r="463" spans="1:5" s="1720" customFormat="1">
      <c r="A463" s="2707"/>
      <c r="C463" s="2708"/>
      <c r="E463" s="2707"/>
    </row>
    <row r="464" spans="1:5" s="1720" customFormat="1">
      <c r="A464" s="2707"/>
      <c r="C464" s="2708"/>
      <c r="E464" s="2707"/>
    </row>
    <row r="465" spans="1:5" s="1720" customFormat="1">
      <c r="A465" s="2707"/>
      <c r="C465" s="2708"/>
      <c r="E465" s="2707"/>
    </row>
    <row r="466" spans="1:5" s="1720" customFormat="1">
      <c r="A466" s="2707"/>
      <c r="C466" s="2708"/>
      <c r="E466" s="2707"/>
    </row>
    <row r="467" spans="1:5" s="1720" customFormat="1">
      <c r="A467" s="2707"/>
      <c r="C467" s="2708"/>
      <c r="E467" s="2707"/>
    </row>
    <row r="468" spans="1:5" s="1720" customFormat="1">
      <c r="A468" s="2707"/>
      <c r="C468" s="2708"/>
      <c r="E468" s="2707"/>
    </row>
    <row r="469" spans="1:5" s="1720" customFormat="1">
      <c r="A469" s="2707"/>
      <c r="C469" s="2708"/>
      <c r="E469" s="2707"/>
    </row>
    <row r="470" spans="1:5" s="1720" customFormat="1">
      <c r="A470" s="2707"/>
      <c r="C470" s="2708"/>
      <c r="E470" s="2707"/>
    </row>
    <row r="471" spans="1:5" s="1720" customFormat="1">
      <c r="A471" s="2707"/>
      <c r="C471" s="2708"/>
      <c r="E471" s="2707"/>
    </row>
    <row r="472" spans="1:5" s="1720" customFormat="1">
      <c r="A472" s="2707"/>
      <c r="C472" s="2708"/>
      <c r="E472" s="2707"/>
    </row>
    <row r="473" spans="1:5" s="1720" customFormat="1">
      <c r="A473" s="2707"/>
      <c r="C473" s="2708"/>
      <c r="E473" s="2707"/>
    </row>
    <row r="474" spans="1:5" s="1720" customFormat="1">
      <c r="A474" s="2707"/>
      <c r="C474" s="2708"/>
      <c r="E474" s="2707"/>
    </row>
    <row r="475" spans="1:5" s="1720" customFormat="1">
      <c r="A475" s="2707"/>
      <c r="C475" s="2708"/>
      <c r="E475" s="2707"/>
    </row>
    <row r="476" spans="1:5" s="1720" customFormat="1">
      <c r="A476" s="2707"/>
      <c r="C476" s="2708"/>
      <c r="E476" s="2707"/>
    </row>
    <row r="477" spans="1:5" s="1720" customFormat="1">
      <c r="A477" s="2707"/>
      <c r="C477" s="2708"/>
      <c r="E477" s="2707"/>
    </row>
    <row r="478" spans="1:5" s="1720" customFormat="1">
      <c r="A478" s="2707"/>
      <c r="C478" s="2708"/>
      <c r="E478" s="2707"/>
    </row>
    <row r="479" spans="1:5" s="1720" customFormat="1">
      <c r="A479" s="2707"/>
      <c r="C479" s="2708"/>
      <c r="E479" s="2707"/>
    </row>
    <row r="480" spans="1:5" s="1720" customFormat="1">
      <c r="A480" s="2707"/>
      <c r="C480" s="2708"/>
      <c r="E480" s="2707"/>
    </row>
    <row r="481" spans="1:5" s="1720" customFormat="1">
      <c r="A481" s="2707"/>
      <c r="C481" s="2708"/>
      <c r="E481" s="2707"/>
    </row>
    <row r="482" spans="1:5" s="1720" customFormat="1">
      <c r="A482" s="2707"/>
      <c r="C482" s="2708"/>
      <c r="E482" s="2707"/>
    </row>
    <row r="483" spans="1:5" s="1720" customFormat="1">
      <c r="A483" s="2707"/>
      <c r="C483" s="2708"/>
      <c r="E483" s="2707"/>
    </row>
    <row r="484" spans="1:5" s="1720" customFormat="1">
      <c r="A484" s="2707"/>
      <c r="C484" s="2708"/>
      <c r="E484" s="2707"/>
    </row>
    <row r="485" spans="1:5" s="1720" customFormat="1">
      <c r="A485" s="2707"/>
      <c r="C485" s="2708"/>
      <c r="E485" s="2707"/>
    </row>
    <row r="486" spans="1:5" s="1720" customFormat="1">
      <c r="A486" s="2707"/>
      <c r="C486" s="2708"/>
      <c r="E486" s="2707"/>
    </row>
    <row r="487" spans="1:5" s="1720" customFormat="1">
      <c r="A487" s="2707"/>
      <c r="C487" s="2708"/>
      <c r="E487" s="2707"/>
    </row>
    <row r="488" spans="1:5" s="1720" customFormat="1">
      <c r="A488" s="2707"/>
      <c r="C488" s="2708"/>
      <c r="E488" s="2707"/>
    </row>
    <row r="489" spans="1:5" s="1720" customFormat="1">
      <c r="A489" s="2707"/>
      <c r="C489" s="2708"/>
      <c r="E489" s="2707"/>
    </row>
    <row r="490" spans="1:5" s="1720" customFormat="1">
      <c r="A490" s="2707"/>
      <c r="C490" s="2708"/>
      <c r="E490" s="270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9" customWidth="1"/>
    <col min="2" max="2" width="25.75" style="1719" customWidth="1"/>
    <col min="3" max="3" width="11.5" style="1730" customWidth="1"/>
    <col min="4" max="4" width="12" style="1719" customWidth="1"/>
    <col min="5" max="5" width="9.5" style="1729" customWidth="1"/>
    <col min="6" max="6" width="10.125" style="1719" customWidth="1"/>
    <col min="7" max="7" width="9.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41" s="1651" customFormat="1" ht="20.25">
      <c r="A1" s="389" t="s">
        <v>426</v>
      </c>
      <c r="B1" s="2116"/>
      <c r="C1" s="1709"/>
      <c r="D1" s="1709"/>
      <c r="E1" s="1709"/>
      <c r="F1" s="1709"/>
      <c r="G1" s="1709"/>
      <c r="H1" s="1709"/>
      <c r="I1" s="1709"/>
      <c r="J1" s="1709"/>
      <c r="K1" s="390">
        <f>MATCH(B1,'数据-取费表'!A6:A16,0)+5</f>
        <v>11</v>
      </c>
      <c r="L1" s="235"/>
      <c r="M1" s="235"/>
      <c r="N1" s="235"/>
      <c r="O1" s="235"/>
      <c r="P1" s="235"/>
      <c r="Q1" s="235"/>
      <c r="R1" s="235"/>
      <c r="S1" s="235"/>
      <c r="T1" s="235"/>
      <c r="U1" s="235"/>
      <c r="V1" s="235"/>
      <c r="W1" s="235"/>
      <c r="X1" s="235"/>
      <c r="Y1" s="235"/>
      <c r="Z1" s="235"/>
    </row>
    <row r="2" spans="1:41" s="1651" customFormat="1" ht="18" customHeight="1">
      <c r="A2" s="391" t="s">
        <v>427</v>
      </c>
      <c r="B2" s="392">
        <f ca="1">C27</f>
        <v>0</v>
      </c>
      <c r="C2" s="1709"/>
      <c r="D2" s="1709"/>
      <c r="E2" s="1709"/>
      <c r="F2" s="1709"/>
      <c r="G2" s="1709"/>
      <c r="H2" s="1709"/>
      <c r="I2" s="1709"/>
      <c r="J2" s="1709"/>
      <c r="K2" s="1709"/>
      <c r="L2" s="235"/>
      <c r="M2" s="235"/>
      <c r="N2" s="235"/>
      <c r="O2" s="235"/>
      <c r="P2" s="235"/>
      <c r="Q2" s="235"/>
      <c r="R2" s="235"/>
      <c r="S2" s="235"/>
      <c r="T2" s="235"/>
      <c r="U2" s="235"/>
      <c r="V2" s="235"/>
      <c r="W2" s="235"/>
      <c r="X2" s="235"/>
      <c r="Y2" s="235"/>
      <c r="Z2" s="235"/>
    </row>
    <row r="3" spans="1:41" s="1651" customFormat="1" ht="18" customHeight="1">
      <c r="A3" s="1167" t="s">
        <v>1217</v>
      </c>
      <c r="B3" s="393">
        <f ca="1">ROUND(B2*10000/IF(B1="",'数据-汇总表'!E3,INDIRECT("'数据-取费表'!K"&amp;$K$1)),0)</f>
        <v>0</v>
      </c>
      <c r="C3" s="1709"/>
      <c r="D3" s="1709"/>
      <c r="E3" s="1709"/>
      <c r="F3" s="1709"/>
      <c r="G3" s="1709"/>
      <c r="H3" s="1709"/>
      <c r="I3" s="1709"/>
      <c r="J3" s="1709"/>
      <c r="K3" s="1709"/>
      <c r="L3" s="235"/>
      <c r="M3" s="235"/>
      <c r="N3" s="235"/>
      <c r="O3" s="235"/>
      <c r="P3" s="235"/>
      <c r="Q3" s="235"/>
      <c r="R3" s="235"/>
      <c r="S3" s="235"/>
      <c r="T3" s="235"/>
      <c r="U3" s="235"/>
      <c r="V3" s="235"/>
      <c r="W3" s="235"/>
      <c r="X3" s="235"/>
      <c r="Y3" s="235"/>
      <c r="Z3" s="235"/>
    </row>
    <row r="4" spans="1:41" s="1651" customFormat="1" ht="18" customHeight="1">
      <c r="A4" s="394" t="s">
        <v>428</v>
      </c>
      <c r="B4" s="395">
        <f ca="1">ROUND(B2*10000/IF(B1="",'数据-汇总表'!D3,INDIRECT("'数据-取费表'!R"&amp;$K$1)),0)</f>
        <v>0</v>
      </c>
      <c r="C4" s="1671"/>
      <c r="D4" s="1709"/>
      <c r="E4" s="1709"/>
      <c r="F4" s="1709"/>
      <c r="G4" s="1709"/>
      <c r="H4" s="1709"/>
      <c r="I4" s="1709"/>
      <c r="J4" s="1709"/>
      <c r="K4" s="1709"/>
      <c r="L4" s="235"/>
      <c r="M4" s="235"/>
      <c r="N4" s="235"/>
      <c r="O4" s="235"/>
      <c r="P4" s="235"/>
      <c r="Q4" s="235"/>
      <c r="R4" s="235"/>
      <c r="S4" s="235"/>
      <c r="T4" s="235"/>
      <c r="U4" s="235"/>
      <c r="V4" s="235"/>
      <c r="W4" s="235"/>
      <c r="X4" s="235"/>
      <c r="Y4" s="235"/>
      <c r="Z4" s="235"/>
    </row>
    <row r="5" spans="1:41" s="1651" customFormat="1" ht="18" customHeight="1" thickBot="1">
      <c r="A5" s="397"/>
      <c r="B5" s="398">
        <f ca="1">ROUND(B2/(IF(B1="",'数据-汇总表'!D3,INDIRECT("'数据-取费表'!R"&amp;$K$1))/666.67),0)</f>
        <v>0</v>
      </c>
      <c r="C5" s="399" t="s">
        <v>429</v>
      </c>
      <c r="D5" s="1709"/>
      <c r="E5" s="1709"/>
      <c r="F5" s="1709"/>
      <c r="G5" s="1709"/>
      <c r="H5" s="1709"/>
      <c r="I5" s="1709"/>
      <c r="J5" s="1709"/>
      <c r="K5" s="1709"/>
      <c r="L5" s="235"/>
      <c r="M5" s="235"/>
      <c r="N5" s="235"/>
      <c r="O5" s="235"/>
      <c r="P5" s="235"/>
      <c r="Q5" s="235"/>
      <c r="R5" s="235"/>
      <c r="S5" s="235"/>
      <c r="T5" s="235"/>
      <c r="U5" s="235"/>
      <c r="V5" s="235"/>
      <c r="W5" s="235"/>
      <c r="X5" s="235"/>
      <c r="Y5" s="235"/>
      <c r="Z5" s="235"/>
    </row>
    <row r="6" spans="1:41" s="1716" customFormat="1" ht="16.5" customHeight="1">
      <c r="A6" s="400" t="s">
        <v>1932</v>
      </c>
      <c r="B6" s="401"/>
      <c r="C6" s="1342">
        <f>SUM(C10:K10)</f>
        <v>0</v>
      </c>
      <c r="D6" s="1714"/>
      <c r="E6" s="1714"/>
      <c r="F6" s="1714"/>
      <c r="G6" s="1714"/>
      <c r="H6" s="1714"/>
      <c r="I6" s="1714"/>
      <c r="J6" s="1714"/>
      <c r="K6" s="1715"/>
      <c r="L6" s="2699"/>
      <c r="M6" s="2699"/>
      <c r="N6" s="2699"/>
      <c r="O6" s="2699"/>
      <c r="P6" s="2699"/>
      <c r="Q6" s="2699"/>
      <c r="R6" s="2699"/>
      <c r="S6" s="2699"/>
      <c r="T6" s="2699"/>
      <c r="U6" s="2699"/>
      <c r="V6" s="2699"/>
      <c r="W6" s="2699"/>
      <c r="X6" s="2699"/>
      <c r="Y6" s="2699"/>
      <c r="Z6" s="2699"/>
    </row>
    <row r="7" spans="1:41" s="1718" customFormat="1" ht="15">
      <c r="A7" s="402" t="s">
        <v>430</v>
      </c>
      <c r="B7" s="403" t="s">
        <v>431</v>
      </c>
      <c r="C7" s="2809"/>
      <c r="D7" s="404"/>
      <c r="E7" s="404"/>
      <c r="F7" s="404"/>
      <c r="G7" s="404"/>
      <c r="H7" s="404"/>
      <c r="I7" s="404"/>
      <c r="J7" s="404"/>
      <c r="K7" s="405"/>
      <c r="AA7" s="1717"/>
      <c r="AB7" s="1717"/>
      <c r="AC7" s="1717"/>
      <c r="AD7" s="1717"/>
      <c r="AE7" s="1717"/>
      <c r="AF7" s="1717"/>
      <c r="AG7" s="1717"/>
      <c r="AH7" s="1717"/>
      <c r="AI7" s="1717"/>
      <c r="AJ7" s="1717"/>
      <c r="AK7" s="1717"/>
      <c r="AL7" s="1717"/>
      <c r="AM7" s="1717"/>
      <c r="AN7" s="1717"/>
      <c r="AO7" s="1717"/>
    </row>
    <row r="8" spans="1:41" s="1720" customFormat="1" ht="13.5" customHeight="1">
      <c r="A8" s="1350" t="s">
        <v>1374</v>
      </c>
      <c r="B8" s="406" t="s">
        <v>432</v>
      </c>
      <c r="C8" s="407"/>
      <c r="D8" s="407"/>
      <c r="E8" s="407"/>
      <c r="F8" s="407"/>
      <c r="G8" s="407"/>
      <c r="H8" s="407"/>
      <c r="I8" s="407"/>
      <c r="J8" s="407"/>
      <c r="K8" s="408"/>
      <c r="AA8" s="1719"/>
      <c r="AB8" s="1719"/>
      <c r="AC8" s="1719"/>
      <c r="AD8" s="1719"/>
      <c r="AE8" s="1719"/>
      <c r="AF8" s="1719"/>
      <c r="AG8" s="1719"/>
      <c r="AH8" s="1719"/>
      <c r="AI8" s="1719"/>
      <c r="AJ8" s="1719"/>
      <c r="AK8" s="1719"/>
      <c r="AL8" s="1719"/>
      <c r="AM8" s="1719"/>
      <c r="AN8" s="1719"/>
      <c r="AO8" s="1719"/>
    </row>
    <row r="9" spans="1:41" s="1720" customFormat="1" ht="13.5" customHeight="1">
      <c r="A9" s="1350"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1" t="s">
        <v>1376</v>
      </c>
      <c r="B10" s="1343" t="s">
        <v>434</v>
      </c>
      <c r="C10" s="1344"/>
      <c r="D10" s="1344"/>
      <c r="E10" s="1344"/>
      <c r="F10" s="1345"/>
      <c r="G10" s="1345"/>
      <c r="H10" s="1345"/>
      <c r="I10" s="1345"/>
      <c r="J10" s="1345"/>
      <c r="K10" s="1346"/>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39" t="s">
        <v>1393</v>
      </c>
      <c r="B11" s="1340"/>
      <c r="C11" s="1340"/>
      <c r="D11" s="1340"/>
      <c r="E11" s="1340"/>
      <c r="F11" s="1340"/>
      <c r="G11" s="1340"/>
      <c r="H11" s="1340"/>
      <c r="I11" s="1340"/>
      <c r="J11" s="1340"/>
      <c r="K11" s="1341"/>
      <c r="L11" s="2699"/>
      <c r="M11" s="2699"/>
      <c r="N11" s="2699"/>
      <c r="O11" s="2699"/>
      <c r="P11" s="2699"/>
      <c r="Q11" s="2699"/>
      <c r="R11" s="2699"/>
      <c r="S11" s="2699"/>
      <c r="T11" s="2699"/>
      <c r="U11" s="2699"/>
      <c r="V11" s="2699"/>
      <c r="W11" s="2699"/>
      <c r="X11" s="2699"/>
      <c r="Y11" s="2699"/>
      <c r="Z11" s="2699"/>
    </row>
    <row r="12" spans="1:41" s="1692" customFormat="1" ht="13.5" customHeight="1">
      <c r="A12" s="402" t="s">
        <v>430</v>
      </c>
      <c r="B12" s="411" t="s">
        <v>431</v>
      </c>
      <c r="C12" s="412" t="s">
        <v>435</v>
      </c>
      <c r="D12" s="413" t="s">
        <v>436</v>
      </c>
      <c r="E12" s="413" t="s">
        <v>437</v>
      </c>
      <c r="F12" s="413" t="s">
        <v>438</v>
      </c>
      <c r="G12" s="411"/>
      <c r="H12" s="414"/>
      <c r="I12" s="414"/>
      <c r="J12" s="414"/>
      <c r="K12" s="415"/>
      <c r="L12" s="2700"/>
      <c r="M12" s="2700"/>
      <c r="N12" s="2700"/>
      <c r="O12" s="2700"/>
      <c r="P12" s="2700"/>
      <c r="Q12" s="2700"/>
      <c r="R12" s="2700"/>
      <c r="S12" s="2700"/>
      <c r="T12" s="2700"/>
      <c r="U12" s="2700"/>
      <c r="V12" s="2700"/>
      <c r="W12" s="2700"/>
      <c r="X12" s="2700"/>
      <c r="Y12" s="2700"/>
      <c r="Z12" s="2700"/>
    </row>
    <row r="13" spans="1:41" s="1721" customFormat="1" ht="13.5" customHeight="1">
      <c r="A13" s="1352" t="s">
        <v>1377</v>
      </c>
      <c r="B13" s="416" t="s">
        <v>439</v>
      </c>
      <c r="C13" s="417">
        <f ca="1">IF(B1="",'数据-取费表'!M16,INDIRECT("'数据-取费表'!M"&amp;$K$1)+INDIRECT("'数据-取费表'!t"&amp;$K$1))</f>
        <v>26899</v>
      </c>
      <c r="D13" s="418"/>
      <c r="E13" s="337"/>
      <c r="F13" s="419"/>
      <c r="G13" s="411"/>
      <c r="H13" s="414"/>
      <c r="I13" s="414"/>
      <c r="J13" s="414"/>
      <c r="K13" s="415"/>
      <c r="L13" s="1722"/>
      <c r="M13" s="1722"/>
      <c r="N13" s="1722"/>
      <c r="O13" s="1722"/>
      <c r="P13" s="1722"/>
      <c r="Q13" s="1722"/>
      <c r="R13" s="1722"/>
      <c r="S13" s="1722"/>
      <c r="T13" s="1722"/>
      <c r="U13" s="1722"/>
      <c r="V13" s="1722"/>
      <c r="W13" s="1722"/>
      <c r="X13" s="1722"/>
      <c r="Y13" s="1722"/>
      <c r="Z13" s="1722"/>
    </row>
    <row r="14" spans="1:41" s="1721" customFormat="1" ht="13.5" customHeight="1">
      <c r="A14" s="1352" t="s">
        <v>1378</v>
      </c>
      <c r="B14" s="416" t="s">
        <v>440</v>
      </c>
      <c r="C14" s="49">
        <f ca="1">ROUND(C13*F14,0)</f>
        <v>1345</v>
      </c>
      <c r="D14" s="418"/>
      <c r="E14" s="337"/>
      <c r="F14" s="423">
        <f>'数据-取费表'!B33</f>
        <v>0.05</v>
      </c>
      <c r="G14" s="411" t="s">
        <v>462</v>
      </c>
      <c r="H14" s="414"/>
      <c r="I14" s="414"/>
      <c r="J14" s="414"/>
      <c r="K14" s="415"/>
      <c r="L14" s="1722"/>
      <c r="M14" s="1722"/>
      <c r="N14" s="1722"/>
      <c r="O14" s="1722"/>
      <c r="P14" s="1722"/>
      <c r="Q14" s="1722"/>
      <c r="R14" s="1722"/>
      <c r="S14" s="1722"/>
      <c r="T14" s="1722"/>
      <c r="U14" s="1722"/>
      <c r="V14" s="1722"/>
      <c r="W14" s="1722"/>
      <c r="X14" s="1722"/>
      <c r="Y14" s="1722"/>
      <c r="Z14" s="1722"/>
    </row>
    <row r="15" spans="1:41" s="1721" customFormat="1" ht="13.5" customHeight="1">
      <c r="A15" s="1352" t="s">
        <v>1379</v>
      </c>
      <c r="B15" s="416" t="s">
        <v>442</v>
      </c>
      <c r="C15" s="49">
        <f ca="1">ROUND(IF(B1="",SUMIF('数据-取费表'!C:C,"住宅",'数据-取费表'!M:M)*F15,IF(INDIRECT("'数据-取费表'!c"&amp;$K$1)="住宅",INDIRECT("'数据-取费表'!M"&amp;$K$1)*F15,0)),0)</f>
        <v>862</v>
      </c>
      <c r="D15" s="418"/>
      <c r="E15" s="337"/>
      <c r="F15" s="423">
        <f>'数据-取费表'!B34</f>
        <v>0.05</v>
      </c>
      <c r="G15" s="411" t="s">
        <v>462</v>
      </c>
      <c r="H15" s="414"/>
      <c r="I15" s="414"/>
      <c r="J15" s="414"/>
      <c r="K15" s="415"/>
      <c r="L15" s="1722"/>
      <c r="M15" s="1722"/>
      <c r="N15" s="1722"/>
      <c r="O15" s="1722"/>
      <c r="P15" s="1722"/>
      <c r="Q15" s="1722"/>
      <c r="R15" s="1722"/>
      <c r="S15" s="1722"/>
      <c r="T15" s="1722"/>
      <c r="U15" s="1722"/>
      <c r="V15" s="1722"/>
      <c r="W15" s="1722"/>
      <c r="X15" s="1722"/>
      <c r="Y15" s="1722"/>
      <c r="Z15" s="1722"/>
    </row>
    <row r="16" spans="1:41" s="1722" customFormat="1" ht="13.5" customHeight="1">
      <c r="A16" s="1352" t="s">
        <v>1380</v>
      </c>
      <c r="B16" s="416" t="s">
        <v>444</v>
      </c>
      <c r="C16" s="49">
        <f ca="1">ROUND(D16*E16/10000,0)</f>
        <v>1160</v>
      </c>
      <c r="D16" s="418">
        <f ca="1">IF(B1="",'数据-汇总表'!E3,INDIRECT("'数据-取费表'!K"&amp;$K$1)+INDIRECT("'数据-取费表'!S"&amp;$K$1))</f>
        <v>57989.509999999995</v>
      </c>
      <c r="E16" s="49">
        <f>'数据-取费表'!B35</f>
        <v>200</v>
      </c>
      <c r="F16" s="420"/>
      <c r="G16" s="411"/>
      <c r="H16" s="414"/>
      <c r="I16" s="414"/>
      <c r="J16" s="414"/>
      <c r="K16" s="415"/>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2" t="s">
        <v>1381</v>
      </c>
      <c r="B17" s="416" t="s">
        <v>445</v>
      </c>
      <c r="C17" s="421">
        <f ca="1">ROUND(C13*F17,0)</f>
        <v>538</v>
      </c>
      <c r="D17" s="422"/>
      <c r="E17" s="421"/>
      <c r="F17" s="423">
        <f>'数据-取费表'!B36</f>
        <v>0.02</v>
      </c>
      <c r="G17" s="411" t="s">
        <v>462</v>
      </c>
      <c r="H17" s="424"/>
      <c r="I17" s="424"/>
      <c r="J17" s="424"/>
      <c r="K17" s="425"/>
      <c r="L17" s="1722"/>
      <c r="M17" s="1722"/>
      <c r="N17" s="1722"/>
      <c r="O17" s="1722"/>
      <c r="P17" s="1722"/>
      <c r="Q17" s="1722"/>
      <c r="R17" s="1722"/>
      <c r="S17" s="1722"/>
      <c r="T17" s="1722"/>
      <c r="U17" s="1722"/>
      <c r="V17" s="1722"/>
      <c r="W17" s="1722"/>
      <c r="X17" s="1722"/>
      <c r="Y17" s="1722"/>
      <c r="Z17" s="1722"/>
    </row>
    <row r="18" spans="1:26" s="1724" customFormat="1" ht="13.5" customHeight="1">
      <c r="A18" s="1353" t="s">
        <v>1382</v>
      </c>
      <c r="B18" s="426" t="s">
        <v>447</v>
      </c>
      <c r="C18" s="427">
        <f ca="1">SUM(C13:C17)</f>
        <v>30804</v>
      </c>
      <c r="D18" s="428"/>
      <c r="E18" s="429"/>
      <c r="F18" s="429"/>
      <c r="G18" s="1127" t="s">
        <v>1781</v>
      </c>
      <c r="H18" s="414"/>
      <c r="I18" s="414"/>
      <c r="J18" s="414"/>
      <c r="K18" s="415"/>
      <c r="L18" s="2702"/>
      <c r="M18" s="2702"/>
      <c r="N18" s="2702"/>
      <c r="O18" s="2702"/>
      <c r="P18" s="2702"/>
      <c r="Q18" s="2702"/>
      <c r="R18" s="2702"/>
      <c r="S18" s="2702"/>
      <c r="T18" s="2702"/>
      <c r="U18" s="2702"/>
      <c r="V18" s="2702"/>
      <c r="W18" s="2702"/>
      <c r="X18" s="2702"/>
      <c r="Y18" s="2702"/>
      <c r="Z18" s="2702"/>
    </row>
    <row r="19" spans="1:26" s="1724" customFormat="1" ht="13.5" customHeight="1">
      <c r="A19" s="1353" t="s">
        <v>1383</v>
      </c>
      <c r="B19" s="426" t="s">
        <v>453</v>
      </c>
      <c r="C19" s="427">
        <f ca="1">ROUND(C18*F19,0)</f>
        <v>616</v>
      </c>
      <c r="D19" s="428"/>
      <c r="E19" s="429"/>
      <c r="F19" s="433">
        <f>'数据-取费表'!B37</f>
        <v>0.02</v>
      </c>
      <c r="G19" s="411" t="s">
        <v>463</v>
      </c>
      <c r="H19" s="414"/>
      <c r="I19" s="414"/>
      <c r="J19" s="414"/>
      <c r="K19" s="415"/>
      <c r="L19" s="2704"/>
      <c r="M19" s="2704"/>
      <c r="N19" s="2704"/>
      <c r="O19" s="2702"/>
      <c r="P19" s="2702"/>
      <c r="Q19" s="2702"/>
      <c r="R19" s="2702"/>
      <c r="S19" s="2702"/>
      <c r="T19" s="2702"/>
      <c r="U19" s="2702"/>
      <c r="V19" s="2702"/>
      <c r="W19" s="2702"/>
      <c r="X19" s="2702"/>
      <c r="Y19" s="2702"/>
      <c r="Z19" s="2702"/>
    </row>
    <row r="20" spans="1:26" s="1726" customFormat="1" ht="13.5" customHeight="1">
      <c r="A20" s="1353" t="s">
        <v>1384</v>
      </c>
      <c r="B20" s="428" t="s">
        <v>454</v>
      </c>
      <c r="C20" s="437">
        <f ca="1">ROUND(IF('数据-取费表'!B22&lt;=1,(C18+C19)*F20*'数据-取费表'!B20/2,(C18+C19)*(POWER((1+F20),'数据-取费表'!B20/2)-1)),0)</f>
        <v>974</v>
      </c>
      <c r="D20" s="429">
        <f ca="1">ROUND(((1+F20)^'数据-取费表'!B20)-1,4)</f>
        <v>6.3E-2</v>
      </c>
      <c r="E20" s="429"/>
      <c r="F20" s="438">
        <f ca="1">'数据-取费表'!B40</f>
        <v>3.1E-2</v>
      </c>
      <c r="G20" s="1127" t="str">
        <f>IF('数据-取费表'!B22&lt;=1,"单利计息。","复利计息。")&amp;"建造成本、管理费用产生的利息 / 地价及税费产生的利息。"</f>
        <v>复利计息。建造成本、管理费用产生的利息 / 地价及税费产生的利息。</v>
      </c>
      <c r="H20" s="414"/>
      <c r="I20" s="414"/>
      <c r="J20" s="414"/>
      <c r="K20" s="415"/>
      <c r="L20" s="2710" t="s">
        <v>1798</v>
      </c>
      <c r="M20" s="2711"/>
      <c r="N20" s="2711"/>
      <c r="O20" s="2711"/>
      <c r="P20" s="2711"/>
      <c r="Q20" s="2704"/>
      <c r="R20" s="2704"/>
      <c r="S20" s="2704"/>
      <c r="T20" s="2704"/>
      <c r="U20" s="2704"/>
      <c r="V20" s="2704"/>
      <c r="W20" s="2704"/>
      <c r="X20" s="2704"/>
      <c r="Y20" s="2704"/>
      <c r="Z20" s="2704"/>
    </row>
    <row r="21" spans="1:26" s="1725" customFormat="1" ht="13.5" customHeight="1">
      <c r="A21" s="1353" t="s">
        <v>2290</v>
      </c>
      <c r="B21" s="2312" t="s">
        <v>2105</v>
      </c>
      <c r="C21" s="445">
        <f ca="1">ROUND((C18+C19)*F21,0)</f>
        <v>3770</v>
      </c>
      <c r="D21" s="2781"/>
      <c r="E21" s="429"/>
      <c r="F21" s="446">
        <f ca="1">IF(B1="",'数据-取费表'!Q16,INDIRECT("'数据-取费表'!q"&amp;$K$1))</f>
        <v>0.12</v>
      </c>
      <c r="G21" s="411"/>
      <c r="H21" s="414"/>
      <c r="I21" s="414"/>
      <c r="J21" s="414"/>
      <c r="K21" s="415"/>
      <c r="L21" s="2703"/>
      <c r="M21" s="2703"/>
      <c r="N21" s="2703"/>
      <c r="O21" s="2703"/>
      <c r="P21" s="2703"/>
      <c r="Q21" s="2703"/>
      <c r="R21" s="2703"/>
      <c r="S21" s="2703"/>
      <c r="T21" s="2703"/>
      <c r="U21" s="2703"/>
      <c r="V21" s="2703"/>
      <c r="W21" s="2703"/>
      <c r="X21" s="2703"/>
      <c r="Y21" s="2703"/>
      <c r="Z21" s="2703"/>
    </row>
    <row r="22" spans="1:26" s="1726" customFormat="1" ht="13.5" customHeight="1">
      <c r="A22" s="1353" t="s">
        <v>1388</v>
      </c>
      <c r="B22" s="443" t="s">
        <v>464</v>
      </c>
      <c r="C22" s="448"/>
      <c r="D22" s="448"/>
      <c r="E22" s="449"/>
      <c r="F22" s="2783">
        <f ca="1">IF(B1="",'数据-取费表'!N16,INDIRECT("'数据-取费表'!N"&amp;$K$1))</f>
        <v>0</v>
      </c>
      <c r="G22" s="411"/>
      <c r="H22" s="414"/>
      <c r="I22" s="414"/>
      <c r="J22" s="414"/>
      <c r="K22" s="415"/>
      <c r="L22" s="2704"/>
      <c r="M22" s="2704"/>
      <c r="N22" s="2704"/>
      <c r="O22" s="2704"/>
      <c r="P22" s="2704"/>
      <c r="Q22" s="2704"/>
      <c r="R22" s="2704"/>
      <c r="S22" s="2704"/>
      <c r="T22" s="2704"/>
      <c r="U22" s="2704"/>
      <c r="V22" s="2704"/>
      <c r="W22" s="2704"/>
      <c r="X22" s="2704"/>
      <c r="Y22" s="2704"/>
      <c r="Z22" s="2704"/>
    </row>
    <row r="23" spans="1:26" s="1726" customFormat="1" ht="13.5" customHeight="1" thickBot="1">
      <c r="A23" s="2784" t="s">
        <v>1389</v>
      </c>
      <c r="B23" s="2785" t="s">
        <v>2291</v>
      </c>
      <c r="C23" s="2786">
        <f ca="1">ROUND((C18+C19+C20+C21)*F22,0)</f>
        <v>0</v>
      </c>
      <c r="D23" s="2787"/>
      <c r="E23" s="2788"/>
      <c r="F23" s="450"/>
      <c r="G23" s="403"/>
      <c r="H23" s="2789"/>
      <c r="I23" s="2789"/>
      <c r="J23" s="2789"/>
      <c r="K23" s="2790"/>
      <c r="L23" s="2704"/>
      <c r="M23" s="2704"/>
      <c r="N23" s="2704"/>
      <c r="O23" s="2704"/>
      <c r="P23" s="2704"/>
      <c r="Q23" s="2704"/>
      <c r="R23" s="2704"/>
      <c r="S23" s="2704"/>
      <c r="T23" s="2704"/>
      <c r="U23" s="2704"/>
      <c r="V23" s="2704"/>
      <c r="W23" s="2704"/>
      <c r="X23" s="2704"/>
      <c r="Y23" s="2704"/>
      <c r="Z23" s="2704"/>
    </row>
    <row r="24" spans="1:26" s="1726" customFormat="1" ht="13.5" customHeight="1" thickBot="1">
      <c r="A24" s="3682" t="s">
        <v>1394</v>
      </c>
      <c r="B24" s="3683"/>
      <c r="C24" s="2791">
        <f>ROUND(C6*F24/(1+'数据-取费表'!B42),0)</f>
        <v>0</v>
      </c>
      <c r="D24" s="2792"/>
      <c r="E24" s="2793"/>
      <c r="F24" s="2794">
        <f>'数据-取费表'!B41</f>
        <v>5.5000000000000007E-2</v>
      </c>
      <c r="G24" s="2795"/>
      <c r="H24" s="2795"/>
      <c r="I24" s="2795"/>
      <c r="J24" s="2795"/>
      <c r="K24" s="2796"/>
      <c r="L24" s="2704"/>
      <c r="M24" s="2704"/>
      <c r="N24" s="2704"/>
      <c r="O24" s="2704"/>
      <c r="P24" s="2704"/>
      <c r="Q24" s="2704"/>
      <c r="R24" s="2704"/>
      <c r="S24" s="2704"/>
      <c r="T24" s="2704"/>
      <c r="U24" s="2704"/>
      <c r="V24" s="2704"/>
      <c r="W24" s="2704"/>
      <c r="X24" s="2704"/>
      <c r="Y24" s="2704"/>
      <c r="Z24" s="2704"/>
    </row>
    <row r="25" spans="1:26" s="1726" customFormat="1" ht="13.5" customHeight="1" thickBot="1">
      <c r="A25" s="3682" t="s">
        <v>2288</v>
      </c>
      <c r="B25" s="3683"/>
      <c r="C25" s="2791">
        <f>ROUND(C6*F25,0)</f>
        <v>0</v>
      </c>
      <c r="D25" s="2792"/>
      <c r="E25" s="2793"/>
      <c r="F25" s="2797">
        <f>'数据-取费表'!B38</f>
        <v>0.02</v>
      </c>
      <c r="G25" s="2798"/>
      <c r="H25" s="2795"/>
      <c r="I25" s="2795"/>
      <c r="J25" s="2795"/>
      <c r="K25" s="2796"/>
      <c r="L25" s="2704"/>
      <c r="M25" s="2704"/>
      <c r="N25" s="2704"/>
      <c r="O25" s="2704"/>
      <c r="P25" s="2704"/>
      <c r="Q25" s="2704"/>
      <c r="R25" s="2704"/>
      <c r="S25" s="2704"/>
      <c r="T25" s="2704"/>
      <c r="U25" s="2704"/>
      <c r="V25" s="2704"/>
      <c r="W25" s="2704"/>
      <c r="X25" s="2704"/>
      <c r="Y25" s="2704"/>
      <c r="Z25" s="2704"/>
    </row>
    <row r="26" spans="1:26" s="1731" customFormat="1" ht="13.5" customHeight="1" thickBot="1">
      <c r="A26" s="3682" t="s">
        <v>2289</v>
      </c>
      <c r="B26" s="3683"/>
      <c r="C26" s="2803"/>
      <c r="D26" s="2804"/>
      <c r="E26" s="2804"/>
      <c r="F26" s="2805">
        <f>'数据-取费表'!B48+'数据-取费表'!B49</f>
        <v>3.0499999999999999E-2</v>
      </c>
      <c r="G26" s="2806"/>
      <c r="H26" s="2806"/>
      <c r="I26" s="2806"/>
      <c r="J26" s="2807"/>
      <c r="K26" s="2808"/>
      <c r="L26" s="2709"/>
      <c r="M26" s="2709"/>
      <c r="N26" s="2709"/>
      <c r="O26" s="2709"/>
      <c r="P26" s="2709"/>
      <c r="Q26" s="2709"/>
      <c r="R26" s="2709"/>
      <c r="S26" s="2709"/>
      <c r="T26" s="2709"/>
      <c r="U26" s="2709"/>
      <c r="V26" s="2709"/>
      <c r="W26" s="2709"/>
      <c r="X26" s="2709"/>
      <c r="Y26" s="2709"/>
      <c r="Z26" s="2709"/>
    </row>
    <row r="27" spans="1:26" s="2782" customFormat="1" ht="13.5" customHeight="1" thickBot="1">
      <c r="A27" s="3684" t="s">
        <v>2287</v>
      </c>
      <c r="B27" s="3685"/>
      <c r="C27" s="2799">
        <f ca="1">(C6-C23-C24-C25)/((1+F26)*(1+D20+F21))</f>
        <v>0</v>
      </c>
      <c r="D27" s="2800"/>
      <c r="E27" s="2800"/>
      <c r="F27" s="2800"/>
      <c r="G27" s="2801" t="s">
        <v>2224</v>
      </c>
      <c r="H27" s="2800"/>
      <c r="I27" s="2800"/>
      <c r="J27" s="2800"/>
      <c r="K27" s="2802"/>
    </row>
    <row r="28" spans="1:26" s="1720" customFormat="1">
      <c r="A28" s="2707"/>
      <c r="C28" s="2708"/>
      <c r="E28" s="2707"/>
    </row>
    <row r="29" spans="1:26" s="1720" customFormat="1" ht="12.75" customHeight="1">
      <c r="A29" s="2707"/>
      <c r="C29" s="2708"/>
      <c r="E29" s="2707"/>
    </row>
    <row r="30" spans="1:26" s="1720" customFormat="1">
      <c r="A30" s="2707"/>
      <c r="C30" s="2708"/>
      <c r="E30" s="2707"/>
    </row>
    <row r="31" spans="1:26" s="1720" customFormat="1">
      <c r="A31" s="2707"/>
      <c r="C31" s="2708"/>
      <c r="E31" s="2707"/>
    </row>
    <row r="32" spans="1:26" s="1720" customFormat="1">
      <c r="A32" s="2707"/>
      <c r="C32" s="2708"/>
      <c r="E32" s="2707"/>
    </row>
    <row r="33" spans="1:5" s="1720" customFormat="1">
      <c r="A33" s="2707"/>
      <c r="C33" s="2708"/>
      <c r="E33" s="2707"/>
    </row>
    <row r="34" spans="1:5" s="1720" customFormat="1">
      <c r="A34" s="2707"/>
      <c r="C34" s="2708"/>
      <c r="E34" s="2707"/>
    </row>
    <row r="35" spans="1:5" s="1720" customFormat="1">
      <c r="A35" s="2707"/>
      <c r="C35" s="2708"/>
      <c r="E35" s="2707"/>
    </row>
    <row r="36" spans="1:5" s="1720" customFormat="1">
      <c r="A36" s="2707"/>
      <c r="C36" s="2708"/>
      <c r="E36" s="2707"/>
    </row>
    <row r="37" spans="1:5" s="1720" customFormat="1">
      <c r="A37" s="2707"/>
      <c r="C37" s="2708"/>
      <c r="E37" s="2707"/>
    </row>
    <row r="38" spans="1:5" s="1720" customFormat="1">
      <c r="A38" s="2707"/>
      <c r="C38" s="2708"/>
      <c r="E38" s="2707"/>
    </row>
    <row r="39" spans="1:5" s="1720" customFormat="1">
      <c r="A39" s="2707"/>
      <c r="C39" s="2708"/>
      <c r="E39" s="2707"/>
    </row>
    <row r="40" spans="1:5" s="1720" customFormat="1">
      <c r="A40" s="2707"/>
      <c r="C40" s="2708"/>
      <c r="E40" s="2707"/>
    </row>
    <row r="41" spans="1:5" s="1720" customFormat="1">
      <c r="A41" s="2707"/>
      <c r="C41" s="2708"/>
      <c r="E41" s="2707"/>
    </row>
    <row r="42" spans="1:5" s="1720" customFormat="1">
      <c r="A42" s="2707"/>
      <c r="C42" s="2708"/>
      <c r="E42" s="2707"/>
    </row>
    <row r="43" spans="1:5" s="1720" customFormat="1">
      <c r="A43" s="2707"/>
      <c r="C43" s="2708"/>
      <c r="E43" s="2707"/>
    </row>
    <row r="44" spans="1:5" s="1720" customFormat="1">
      <c r="A44" s="2707"/>
      <c r="C44" s="2708"/>
      <c r="E44" s="2707"/>
    </row>
    <row r="45" spans="1:5" s="1720" customFormat="1">
      <c r="A45" s="2707"/>
      <c r="C45" s="2708"/>
      <c r="E45" s="2707"/>
    </row>
    <row r="46" spans="1:5" s="1720" customFormat="1">
      <c r="A46" s="2707"/>
      <c r="C46" s="2708"/>
      <c r="E46" s="2707"/>
    </row>
    <row r="47" spans="1:5" s="1720" customFormat="1">
      <c r="A47" s="2707"/>
      <c r="C47" s="2708"/>
      <c r="E47" s="2707"/>
    </row>
    <row r="48" spans="1:5" s="1720" customFormat="1">
      <c r="A48" s="2707"/>
      <c r="C48" s="2708"/>
      <c r="E48" s="2707"/>
    </row>
    <row r="49" spans="1:5" s="1720" customFormat="1">
      <c r="A49" s="2707"/>
      <c r="C49" s="2708"/>
      <c r="E49" s="2707"/>
    </row>
    <row r="50" spans="1:5" s="1720" customFormat="1">
      <c r="A50" s="2707"/>
      <c r="C50" s="2708"/>
      <c r="E50" s="2707"/>
    </row>
    <row r="51" spans="1:5" s="1720" customFormat="1">
      <c r="A51" s="2707"/>
      <c r="C51" s="2708"/>
      <c r="E51" s="2707"/>
    </row>
    <row r="52" spans="1:5" s="1720" customFormat="1">
      <c r="A52" s="2707"/>
      <c r="C52" s="2708"/>
      <c r="E52" s="2707"/>
    </row>
    <row r="53" spans="1:5" s="1720" customFormat="1">
      <c r="A53" s="2707"/>
      <c r="C53" s="2708"/>
      <c r="E53" s="2707"/>
    </row>
    <row r="54" spans="1:5" s="1720" customFormat="1">
      <c r="A54" s="2707"/>
      <c r="C54" s="2708"/>
      <c r="E54" s="2707"/>
    </row>
    <row r="55" spans="1:5" s="1720" customFormat="1">
      <c r="A55" s="2707"/>
      <c r="C55" s="2708"/>
      <c r="E55" s="2707"/>
    </row>
    <row r="56" spans="1:5" s="1720" customFormat="1">
      <c r="A56" s="2707"/>
      <c r="C56" s="2708"/>
      <c r="E56" s="2707"/>
    </row>
    <row r="57" spans="1:5" s="1720" customFormat="1">
      <c r="A57" s="2707"/>
      <c r="C57" s="2708"/>
      <c r="E57" s="2707"/>
    </row>
    <row r="58" spans="1:5" s="1720" customFormat="1">
      <c r="A58" s="2707"/>
      <c r="C58" s="2708"/>
      <c r="E58" s="2707"/>
    </row>
    <row r="59" spans="1:5" s="1720" customFormat="1">
      <c r="A59" s="2707"/>
      <c r="C59" s="2708"/>
      <c r="E59" s="2707"/>
    </row>
    <row r="60" spans="1:5" s="1720" customFormat="1">
      <c r="A60" s="2707"/>
      <c r="C60" s="2708"/>
      <c r="E60" s="2707"/>
    </row>
    <row r="61" spans="1:5" s="1720" customFormat="1">
      <c r="A61" s="2707"/>
      <c r="C61" s="2708"/>
      <c r="E61" s="2707"/>
    </row>
    <row r="62" spans="1:5" s="1720" customFormat="1">
      <c r="A62" s="2707"/>
      <c r="C62" s="2708"/>
      <c r="E62" s="2707"/>
    </row>
    <row r="63" spans="1:5" s="1720" customFormat="1">
      <c r="A63" s="2707"/>
      <c r="C63" s="2708"/>
      <c r="E63" s="2707"/>
    </row>
    <row r="64" spans="1:5" s="1720" customFormat="1">
      <c r="A64" s="2707"/>
      <c r="C64" s="2708"/>
      <c r="E64" s="2707"/>
    </row>
    <row r="65" spans="1:5" s="1720" customFormat="1">
      <c r="A65" s="2707"/>
      <c r="C65" s="2708"/>
      <c r="E65" s="2707"/>
    </row>
    <row r="66" spans="1:5" s="1720" customFormat="1">
      <c r="A66" s="2707"/>
      <c r="C66" s="2708"/>
      <c r="E66" s="2707"/>
    </row>
    <row r="67" spans="1:5" s="1720" customFormat="1">
      <c r="A67" s="2707"/>
      <c r="C67" s="2708"/>
      <c r="E67" s="2707"/>
    </row>
    <row r="68" spans="1:5" s="1720" customFormat="1">
      <c r="A68" s="2707"/>
      <c r="C68" s="2708"/>
      <c r="E68" s="2707"/>
    </row>
    <row r="69" spans="1:5" s="1720" customFormat="1">
      <c r="A69" s="2707"/>
      <c r="C69" s="2708"/>
      <c r="E69" s="2707"/>
    </row>
    <row r="70" spans="1:5" s="1720" customFormat="1">
      <c r="A70" s="2707"/>
      <c r="C70" s="2708"/>
      <c r="E70" s="2707"/>
    </row>
    <row r="71" spans="1:5" s="1720" customFormat="1">
      <c r="A71" s="2707"/>
      <c r="C71" s="2708"/>
      <c r="E71" s="2707"/>
    </row>
    <row r="72" spans="1:5" s="1720" customFormat="1">
      <c r="A72" s="2707"/>
      <c r="C72" s="2708"/>
      <c r="E72" s="2707"/>
    </row>
    <row r="73" spans="1:5" s="1720" customFormat="1">
      <c r="A73" s="2707"/>
      <c r="C73" s="2708"/>
      <c r="E73" s="2707"/>
    </row>
    <row r="74" spans="1:5" s="1720" customFormat="1">
      <c r="A74" s="2707"/>
      <c r="C74" s="2708"/>
      <c r="E74" s="2707"/>
    </row>
    <row r="75" spans="1:5" s="1720" customFormat="1">
      <c r="A75" s="2707"/>
      <c r="C75" s="2708"/>
      <c r="E75" s="2707"/>
    </row>
    <row r="76" spans="1:5" s="1720" customFormat="1">
      <c r="A76" s="2707"/>
      <c r="C76" s="2708"/>
      <c r="E76" s="2707"/>
    </row>
    <row r="77" spans="1:5" s="1720" customFormat="1">
      <c r="A77" s="2707"/>
      <c r="C77" s="2708"/>
      <c r="E77" s="2707"/>
    </row>
    <row r="78" spans="1:5" s="1720" customFormat="1">
      <c r="A78" s="2707"/>
      <c r="C78" s="2708"/>
      <c r="E78" s="2707"/>
    </row>
    <row r="79" spans="1:5" s="1720" customFormat="1">
      <c r="A79" s="2707"/>
      <c r="C79" s="2708"/>
      <c r="E79" s="2707"/>
    </row>
    <row r="80" spans="1:5" s="1720" customFormat="1">
      <c r="A80" s="2707"/>
      <c r="C80" s="2708"/>
      <c r="E80" s="2707"/>
    </row>
    <row r="81" spans="1:5" s="1720" customFormat="1">
      <c r="A81" s="2707"/>
      <c r="C81" s="2708"/>
      <c r="E81" s="2707"/>
    </row>
    <row r="82" spans="1:5" s="1720" customFormat="1">
      <c r="A82" s="2707"/>
      <c r="C82" s="2708"/>
      <c r="E82" s="2707"/>
    </row>
    <row r="83" spans="1:5" s="1720" customFormat="1">
      <c r="A83" s="2707"/>
      <c r="C83" s="2708"/>
      <c r="E83" s="2707"/>
    </row>
    <row r="84" spans="1:5" s="1720" customFormat="1">
      <c r="A84" s="2707"/>
      <c r="C84" s="2708"/>
      <c r="E84" s="2707"/>
    </row>
    <row r="85" spans="1:5" s="1720" customFormat="1">
      <c r="A85" s="2707"/>
      <c r="C85" s="2708"/>
      <c r="E85" s="2707"/>
    </row>
    <row r="86" spans="1:5" s="1720" customFormat="1">
      <c r="A86" s="2707"/>
      <c r="C86" s="2708"/>
      <c r="E86" s="2707"/>
    </row>
    <row r="87" spans="1:5" s="1720" customFormat="1">
      <c r="A87" s="2707"/>
      <c r="C87" s="2708"/>
      <c r="E87" s="2707"/>
    </row>
    <row r="88" spans="1:5" s="1720" customFormat="1">
      <c r="A88" s="2707"/>
      <c r="C88" s="2708"/>
      <c r="E88" s="2707"/>
    </row>
    <row r="89" spans="1:5" s="1720" customFormat="1">
      <c r="A89" s="2707"/>
      <c r="C89" s="2708"/>
      <c r="E89" s="2707"/>
    </row>
    <row r="90" spans="1:5" s="1720" customFormat="1">
      <c r="A90" s="2707"/>
      <c r="C90" s="2708"/>
      <c r="E90" s="2707"/>
    </row>
    <row r="91" spans="1:5" s="1720" customFormat="1">
      <c r="A91" s="2707"/>
      <c r="C91" s="2708"/>
      <c r="E91" s="2707"/>
    </row>
    <row r="92" spans="1:5" s="1720" customFormat="1">
      <c r="A92" s="2707"/>
      <c r="C92" s="2708"/>
      <c r="E92" s="2707"/>
    </row>
    <row r="93" spans="1:5" s="1720" customFormat="1">
      <c r="A93" s="2707"/>
      <c r="C93" s="2708"/>
      <c r="E93" s="2707"/>
    </row>
    <row r="94" spans="1:5" s="1720" customFormat="1">
      <c r="A94" s="2707"/>
      <c r="C94" s="2708"/>
      <c r="E94" s="2707"/>
    </row>
    <row r="95" spans="1:5" s="1720" customFormat="1">
      <c r="A95" s="2707"/>
      <c r="C95" s="2708"/>
      <c r="E95" s="2707"/>
    </row>
    <row r="96" spans="1:5" s="1720" customFormat="1">
      <c r="A96" s="2707"/>
      <c r="C96" s="2708"/>
      <c r="E96" s="2707"/>
    </row>
    <row r="97" spans="1:5" s="1720" customFormat="1">
      <c r="A97" s="2707"/>
      <c r="C97" s="2708"/>
      <c r="E97" s="2707"/>
    </row>
    <row r="98" spans="1:5" s="1720" customFormat="1">
      <c r="A98" s="2707"/>
      <c r="C98" s="2708"/>
      <c r="E98" s="2707"/>
    </row>
    <row r="99" spans="1:5" s="1720" customFormat="1">
      <c r="A99" s="2707"/>
      <c r="C99" s="2708"/>
      <c r="E99" s="2707"/>
    </row>
    <row r="100" spans="1:5" s="1720" customFormat="1">
      <c r="A100" s="2707"/>
      <c r="C100" s="2708"/>
      <c r="E100" s="2707"/>
    </row>
    <row r="101" spans="1:5" s="1720" customFormat="1">
      <c r="A101" s="2707"/>
      <c r="C101" s="2708"/>
      <c r="E101" s="2707"/>
    </row>
    <row r="102" spans="1:5" s="1720" customFormat="1">
      <c r="A102" s="2707"/>
      <c r="C102" s="2708"/>
      <c r="E102" s="2707"/>
    </row>
    <row r="103" spans="1:5" s="1720" customFormat="1">
      <c r="A103" s="2707"/>
      <c r="C103" s="2708"/>
      <c r="E103" s="2707"/>
    </row>
    <row r="104" spans="1:5" s="1720" customFormat="1">
      <c r="A104" s="2707"/>
      <c r="C104" s="2708"/>
      <c r="E104" s="2707"/>
    </row>
    <row r="105" spans="1:5" s="1720" customFormat="1">
      <c r="A105" s="2707"/>
      <c r="C105" s="2708"/>
      <c r="E105" s="2707"/>
    </row>
    <row r="106" spans="1:5" s="1720" customFormat="1">
      <c r="A106" s="2707"/>
      <c r="C106" s="2708"/>
      <c r="E106" s="2707"/>
    </row>
    <row r="107" spans="1:5" s="1720" customFormat="1">
      <c r="A107" s="2707"/>
      <c r="C107" s="2708"/>
      <c r="E107" s="2707"/>
    </row>
    <row r="108" spans="1:5" s="1720" customFormat="1">
      <c r="A108" s="2707"/>
      <c r="C108" s="2708"/>
      <c r="E108" s="2707"/>
    </row>
    <row r="109" spans="1:5" s="1720" customFormat="1">
      <c r="A109" s="2707"/>
      <c r="C109" s="2708"/>
      <c r="E109" s="2707"/>
    </row>
    <row r="110" spans="1:5" s="1720" customFormat="1">
      <c r="A110" s="2707"/>
      <c r="C110" s="2708"/>
      <c r="E110" s="2707"/>
    </row>
    <row r="111" spans="1:5" s="1720" customFormat="1">
      <c r="A111" s="2707"/>
      <c r="C111" s="2708"/>
      <c r="E111" s="2707"/>
    </row>
    <row r="112" spans="1:5" s="1720" customFormat="1">
      <c r="A112" s="2707"/>
      <c r="C112" s="2708"/>
      <c r="E112" s="2707"/>
    </row>
    <row r="113" spans="1:5" s="1720" customFormat="1">
      <c r="A113" s="2707"/>
      <c r="C113" s="2708"/>
      <c r="E113" s="2707"/>
    </row>
    <row r="114" spans="1:5" s="1720" customFormat="1">
      <c r="A114" s="2707"/>
      <c r="C114" s="2708"/>
      <c r="E114" s="2707"/>
    </row>
    <row r="115" spans="1:5" s="1720" customFormat="1">
      <c r="A115" s="2707"/>
      <c r="C115" s="2708"/>
      <c r="E115" s="2707"/>
    </row>
    <row r="116" spans="1:5" s="1720" customFormat="1">
      <c r="A116" s="2707"/>
      <c r="C116" s="2708"/>
      <c r="E116" s="2707"/>
    </row>
    <row r="117" spans="1:5" s="1720" customFormat="1">
      <c r="A117" s="2707"/>
      <c r="C117" s="2708"/>
      <c r="E117" s="2707"/>
    </row>
    <row r="118" spans="1:5" s="1720" customFormat="1">
      <c r="A118" s="2707"/>
      <c r="C118" s="2708"/>
      <c r="E118" s="2707"/>
    </row>
    <row r="119" spans="1:5" s="1720" customFormat="1">
      <c r="A119" s="2707"/>
      <c r="C119" s="2708"/>
      <c r="E119" s="2707"/>
    </row>
    <row r="120" spans="1:5" s="1720" customFormat="1">
      <c r="A120" s="2707"/>
      <c r="C120" s="2708"/>
      <c r="E120" s="2707"/>
    </row>
    <row r="121" spans="1:5" s="1720" customFormat="1">
      <c r="A121" s="2707"/>
      <c r="C121" s="2708"/>
      <c r="E121" s="2707"/>
    </row>
    <row r="122" spans="1:5" s="1720" customFormat="1">
      <c r="A122" s="2707"/>
      <c r="C122" s="2708"/>
      <c r="E122" s="2707"/>
    </row>
    <row r="123" spans="1:5" s="1720" customFormat="1">
      <c r="A123" s="2707"/>
      <c r="C123" s="2708"/>
      <c r="E123" s="2707"/>
    </row>
    <row r="124" spans="1:5" s="1720" customFormat="1">
      <c r="A124" s="2707"/>
      <c r="C124" s="2708"/>
      <c r="E124" s="2707"/>
    </row>
    <row r="125" spans="1:5" s="1720" customFormat="1">
      <c r="A125" s="2707"/>
      <c r="C125" s="2708"/>
      <c r="E125" s="2707"/>
    </row>
    <row r="126" spans="1:5" s="1720" customFormat="1">
      <c r="A126" s="2707"/>
      <c r="C126" s="2708"/>
      <c r="E126" s="2707"/>
    </row>
    <row r="127" spans="1:5" s="1720" customFormat="1">
      <c r="A127" s="2707"/>
      <c r="C127" s="2708"/>
      <c r="E127" s="2707"/>
    </row>
    <row r="128" spans="1:5" s="1720" customFormat="1">
      <c r="A128" s="2707"/>
      <c r="C128" s="2708"/>
      <c r="E128" s="2707"/>
    </row>
    <row r="129" spans="1:5" s="1720" customFormat="1">
      <c r="A129" s="2707"/>
      <c r="C129" s="2708"/>
      <c r="E129" s="2707"/>
    </row>
    <row r="130" spans="1:5" s="1720" customFormat="1">
      <c r="A130" s="2707"/>
      <c r="C130" s="2708"/>
      <c r="E130" s="2707"/>
    </row>
    <row r="131" spans="1:5" s="1720" customFormat="1">
      <c r="A131" s="2707"/>
      <c r="C131" s="2708"/>
      <c r="E131" s="2707"/>
    </row>
    <row r="132" spans="1:5" s="1720" customFormat="1">
      <c r="A132" s="2707"/>
      <c r="C132" s="2708"/>
      <c r="E132" s="2707"/>
    </row>
    <row r="133" spans="1:5" s="1720" customFormat="1">
      <c r="A133" s="2707"/>
      <c r="C133" s="2708"/>
      <c r="E133" s="2707"/>
    </row>
    <row r="134" spans="1:5" s="1720" customFormat="1">
      <c r="A134" s="2707"/>
      <c r="C134" s="2708"/>
      <c r="E134" s="2707"/>
    </row>
    <row r="135" spans="1:5" s="1720" customFormat="1">
      <c r="A135" s="2707"/>
      <c r="C135" s="2708"/>
      <c r="E135" s="2707"/>
    </row>
    <row r="136" spans="1:5" s="1720" customFormat="1">
      <c r="A136" s="2707"/>
      <c r="C136" s="2708"/>
      <c r="E136" s="2707"/>
    </row>
    <row r="137" spans="1:5" s="1720" customFormat="1">
      <c r="A137" s="2707"/>
      <c r="C137" s="2708"/>
      <c r="E137" s="2707"/>
    </row>
    <row r="138" spans="1:5" s="1720" customFormat="1">
      <c r="A138" s="2707"/>
      <c r="C138" s="2708"/>
      <c r="E138" s="2707"/>
    </row>
    <row r="139" spans="1:5" s="1720" customFormat="1">
      <c r="A139" s="2707"/>
      <c r="C139" s="2708"/>
      <c r="E139" s="2707"/>
    </row>
    <row r="140" spans="1:5" s="1720" customFormat="1">
      <c r="A140" s="2707"/>
      <c r="C140" s="2708"/>
      <c r="E140" s="2707"/>
    </row>
    <row r="141" spans="1:5" s="1720" customFormat="1">
      <c r="A141" s="2707"/>
      <c r="C141" s="2708"/>
      <c r="E141" s="2707"/>
    </row>
    <row r="142" spans="1:5" s="1720" customFormat="1">
      <c r="A142" s="2707"/>
      <c r="C142" s="2708"/>
      <c r="E142" s="2707"/>
    </row>
    <row r="143" spans="1:5" s="1720" customFormat="1">
      <c r="A143" s="2707"/>
      <c r="C143" s="2708"/>
      <c r="E143" s="2707"/>
    </row>
    <row r="144" spans="1:5" s="1720" customFormat="1">
      <c r="A144" s="2707"/>
      <c r="C144" s="2708"/>
      <c r="E144" s="2707"/>
    </row>
    <row r="145" spans="1:5" s="1720" customFormat="1">
      <c r="A145" s="2707"/>
      <c r="C145" s="2708"/>
      <c r="E145" s="2707"/>
    </row>
    <row r="146" spans="1:5" s="1720" customFormat="1">
      <c r="A146" s="2707"/>
      <c r="C146" s="2708"/>
      <c r="E146" s="2707"/>
    </row>
    <row r="147" spans="1:5" s="1720" customFormat="1">
      <c r="A147" s="2707"/>
      <c r="C147" s="2708"/>
      <c r="E147" s="2707"/>
    </row>
    <row r="148" spans="1:5" s="1720" customFormat="1">
      <c r="A148" s="2707"/>
      <c r="C148" s="2708"/>
      <c r="E148" s="2707"/>
    </row>
    <row r="149" spans="1:5" s="1720" customFormat="1">
      <c r="A149" s="2707"/>
      <c r="C149" s="2708"/>
      <c r="E149" s="2707"/>
    </row>
    <row r="150" spans="1:5" s="1720" customFormat="1">
      <c r="A150" s="2707"/>
      <c r="C150" s="2708"/>
      <c r="E150" s="2707"/>
    </row>
    <row r="151" spans="1:5" s="1720" customFormat="1">
      <c r="A151" s="2707"/>
      <c r="C151" s="2708"/>
      <c r="E151" s="2707"/>
    </row>
    <row r="152" spans="1:5" s="1720" customFormat="1">
      <c r="A152" s="2707"/>
      <c r="C152" s="2708"/>
      <c r="E152" s="2707"/>
    </row>
    <row r="153" spans="1:5" s="1720" customFormat="1">
      <c r="A153" s="2707"/>
      <c r="C153" s="2708"/>
      <c r="E153" s="2707"/>
    </row>
    <row r="154" spans="1:5" s="1720" customFormat="1">
      <c r="A154" s="2707"/>
      <c r="C154" s="2708"/>
      <c r="E154" s="2707"/>
    </row>
    <row r="155" spans="1:5" s="1720" customFormat="1">
      <c r="A155" s="2707"/>
      <c r="C155" s="2708"/>
      <c r="E155" s="2707"/>
    </row>
    <row r="156" spans="1:5" s="1720" customFormat="1">
      <c r="A156" s="2707"/>
      <c r="C156" s="2708"/>
      <c r="E156" s="2707"/>
    </row>
    <row r="157" spans="1:5" s="1720" customFormat="1">
      <c r="A157" s="2707"/>
      <c r="C157" s="2708"/>
      <c r="E157" s="2707"/>
    </row>
    <row r="158" spans="1:5" s="1720" customFormat="1">
      <c r="A158" s="2707"/>
      <c r="C158" s="2708"/>
      <c r="E158" s="2707"/>
    </row>
    <row r="159" spans="1:5" s="1720" customFormat="1">
      <c r="A159" s="2707"/>
      <c r="C159" s="2708"/>
      <c r="E159" s="2707"/>
    </row>
    <row r="160" spans="1:5" s="1720" customFormat="1">
      <c r="A160" s="2707"/>
      <c r="C160" s="2708"/>
      <c r="E160" s="2707"/>
    </row>
    <row r="161" spans="1:5" s="1720" customFormat="1">
      <c r="A161" s="2707"/>
      <c r="C161" s="2708"/>
      <c r="E161" s="2707"/>
    </row>
    <row r="162" spans="1:5" s="1720" customFormat="1">
      <c r="A162" s="2707"/>
      <c r="C162" s="2708"/>
      <c r="E162" s="2707"/>
    </row>
    <row r="163" spans="1:5" s="1720" customFormat="1">
      <c r="A163" s="2707"/>
      <c r="C163" s="2708"/>
      <c r="E163" s="2707"/>
    </row>
    <row r="164" spans="1:5" s="1720" customFormat="1">
      <c r="A164" s="2707"/>
      <c r="C164" s="2708"/>
      <c r="E164" s="2707"/>
    </row>
    <row r="165" spans="1:5" s="1720" customFormat="1">
      <c r="A165" s="2707"/>
      <c r="C165" s="2708"/>
      <c r="E165" s="2707"/>
    </row>
    <row r="166" spans="1:5" s="1720" customFormat="1">
      <c r="A166" s="2707"/>
      <c r="C166" s="2708"/>
      <c r="E166" s="2707"/>
    </row>
    <row r="167" spans="1:5" s="1720" customFormat="1">
      <c r="A167" s="2707"/>
      <c r="C167" s="2708"/>
      <c r="E167" s="2707"/>
    </row>
    <row r="168" spans="1:5" s="1720" customFormat="1">
      <c r="A168" s="2707"/>
      <c r="C168" s="2708"/>
      <c r="E168" s="2707"/>
    </row>
    <row r="169" spans="1:5" s="1720" customFormat="1">
      <c r="A169" s="2707"/>
      <c r="C169" s="2708"/>
      <c r="E169" s="2707"/>
    </row>
    <row r="170" spans="1:5" s="1720" customFormat="1">
      <c r="A170" s="2707"/>
      <c r="C170" s="2708"/>
      <c r="E170" s="2707"/>
    </row>
    <row r="171" spans="1:5" s="1720" customFormat="1">
      <c r="A171" s="2707"/>
      <c r="C171" s="2708"/>
      <c r="E171" s="2707"/>
    </row>
    <row r="172" spans="1:5" s="1720" customFormat="1">
      <c r="A172" s="2707"/>
      <c r="C172" s="2708"/>
      <c r="E172" s="2707"/>
    </row>
    <row r="173" spans="1:5" s="1720" customFormat="1">
      <c r="A173" s="2707"/>
      <c r="C173" s="2708"/>
      <c r="E173" s="2707"/>
    </row>
    <row r="174" spans="1:5" s="1720" customFormat="1">
      <c r="A174" s="2707"/>
      <c r="C174" s="2708"/>
      <c r="E174" s="2707"/>
    </row>
    <row r="175" spans="1:5" s="1720" customFormat="1">
      <c r="A175" s="2707"/>
      <c r="C175" s="2708"/>
      <c r="E175" s="2707"/>
    </row>
    <row r="176" spans="1:5" s="1720" customFormat="1">
      <c r="A176" s="2707"/>
      <c r="C176" s="2708"/>
      <c r="E176" s="2707"/>
    </row>
    <row r="177" spans="1:5" s="1720" customFormat="1">
      <c r="A177" s="2707"/>
      <c r="C177" s="2708"/>
      <c r="E177" s="2707"/>
    </row>
    <row r="178" spans="1:5" s="1720" customFormat="1">
      <c r="A178" s="2707"/>
      <c r="C178" s="2708"/>
      <c r="E178" s="2707"/>
    </row>
    <row r="179" spans="1:5" s="1720" customFormat="1">
      <c r="A179" s="2707"/>
      <c r="C179" s="2708"/>
      <c r="E179" s="2707"/>
    </row>
    <row r="180" spans="1:5" s="1720" customFormat="1">
      <c r="A180" s="2707"/>
      <c r="C180" s="2708"/>
      <c r="E180" s="2707"/>
    </row>
    <row r="181" spans="1:5" s="1720" customFormat="1">
      <c r="A181" s="2707"/>
      <c r="C181" s="2708"/>
      <c r="E181" s="2707"/>
    </row>
    <row r="182" spans="1:5" s="1720" customFormat="1">
      <c r="A182" s="2707"/>
      <c r="C182" s="2708"/>
      <c r="E182" s="2707"/>
    </row>
    <row r="183" spans="1:5" s="1720" customFormat="1">
      <c r="A183" s="2707"/>
      <c r="C183" s="2708"/>
      <c r="E183" s="2707"/>
    </row>
    <row r="184" spans="1:5" s="1720" customFormat="1">
      <c r="A184" s="2707"/>
      <c r="C184" s="2708"/>
      <c r="E184" s="2707"/>
    </row>
    <row r="185" spans="1:5" s="1720" customFormat="1">
      <c r="A185" s="2707"/>
      <c r="C185" s="2708"/>
      <c r="E185" s="2707"/>
    </row>
    <row r="186" spans="1:5" s="1720" customFormat="1">
      <c r="A186" s="2707"/>
      <c r="C186" s="2708"/>
      <c r="E186" s="2707"/>
    </row>
    <row r="187" spans="1:5" s="1720" customFormat="1">
      <c r="A187" s="2707"/>
      <c r="C187" s="2708"/>
      <c r="E187" s="2707"/>
    </row>
    <row r="188" spans="1:5" s="1720" customFormat="1">
      <c r="A188" s="2707"/>
      <c r="C188" s="2708"/>
      <c r="E188" s="2707"/>
    </row>
    <row r="189" spans="1:5" s="1720" customFormat="1">
      <c r="A189" s="2707"/>
      <c r="C189" s="2708"/>
      <c r="E189" s="2707"/>
    </row>
    <row r="190" spans="1:5" s="1720" customFormat="1">
      <c r="A190" s="2707"/>
      <c r="C190" s="2708"/>
      <c r="E190" s="2707"/>
    </row>
    <row r="191" spans="1:5" s="1720" customFormat="1">
      <c r="A191" s="2707"/>
      <c r="C191" s="2708"/>
      <c r="E191" s="2707"/>
    </row>
    <row r="192" spans="1:5" s="1720" customFormat="1">
      <c r="A192" s="2707"/>
      <c r="C192" s="2708"/>
      <c r="E192" s="2707"/>
    </row>
    <row r="193" spans="1:5" s="1720" customFormat="1">
      <c r="A193" s="2707"/>
      <c r="C193" s="2708"/>
      <c r="E193" s="2707"/>
    </row>
    <row r="194" spans="1:5" s="1720" customFormat="1">
      <c r="A194" s="2707"/>
      <c r="C194" s="2708"/>
      <c r="E194" s="2707"/>
    </row>
    <row r="195" spans="1:5" s="1720" customFormat="1">
      <c r="A195" s="2707"/>
      <c r="C195" s="2708"/>
      <c r="E195" s="2707"/>
    </row>
    <row r="196" spans="1:5" s="1720" customFormat="1">
      <c r="A196" s="2707"/>
      <c r="C196" s="2708"/>
      <c r="E196" s="2707"/>
    </row>
    <row r="197" spans="1:5" s="1720" customFormat="1">
      <c r="A197" s="2707"/>
      <c r="C197" s="2708"/>
      <c r="E197" s="2707"/>
    </row>
    <row r="198" spans="1:5" s="1720" customFormat="1">
      <c r="A198" s="2707"/>
      <c r="C198" s="2708"/>
      <c r="E198" s="2707"/>
    </row>
    <row r="199" spans="1:5" s="1720" customFormat="1">
      <c r="A199" s="2707"/>
      <c r="C199" s="2708"/>
      <c r="E199" s="2707"/>
    </row>
    <row r="200" spans="1:5" s="1720" customFormat="1">
      <c r="A200" s="2707"/>
      <c r="C200" s="2708"/>
      <c r="E200" s="2707"/>
    </row>
    <row r="201" spans="1:5" s="1720" customFormat="1">
      <c r="A201" s="2707"/>
      <c r="C201" s="2708"/>
      <c r="E201" s="2707"/>
    </row>
    <row r="202" spans="1:5" s="1720" customFormat="1">
      <c r="A202" s="2707"/>
      <c r="C202" s="2708"/>
      <c r="E202" s="2707"/>
    </row>
    <row r="203" spans="1:5" s="1720" customFormat="1">
      <c r="A203" s="2707"/>
      <c r="C203" s="2708"/>
      <c r="E203" s="2707"/>
    </row>
    <row r="204" spans="1:5" s="1720" customFormat="1">
      <c r="A204" s="2707"/>
      <c r="C204" s="2708"/>
      <c r="E204" s="2707"/>
    </row>
    <row r="205" spans="1:5" s="1720" customFormat="1">
      <c r="A205" s="2707"/>
      <c r="C205" s="2708"/>
      <c r="E205" s="2707"/>
    </row>
    <row r="206" spans="1:5" s="1720" customFormat="1">
      <c r="A206" s="2707"/>
      <c r="C206" s="2708"/>
      <c r="E206" s="2707"/>
    </row>
    <row r="207" spans="1:5" s="1720" customFormat="1">
      <c r="A207" s="2707"/>
      <c r="C207" s="2708"/>
      <c r="E207" s="2707"/>
    </row>
    <row r="208" spans="1:5" s="1720" customFormat="1">
      <c r="A208" s="2707"/>
      <c r="C208" s="2708"/>
      <c r="E208" s="2707"/>
    </row>
    <row r="209" spans="1:5" s="1720" customFormat="1">
      <c r="A209" s="2707"/>
      <c r="C209" s="2708"/>
      <c r="E209" s="2707"/>
    </row>
    <row r="210" spans="1:5" s="1720" customFormat="1">
      <c r="A210" s="2707"/>
      <c r="C210" s="2708"/>
      <c r="E210" s="2707"/>
    </row>
    <row r="211" spans="1:5" s="1720" customFormat="1">
      <c r="A211" s="2707"/>
      <c r="C211" s="2708"/>
      <c r="E211" s="270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465</v>
      </c>
      <c r="B1" s="452"/>
      <c r="C1" s="453" t="s">
        <v>545</v>
      </c>
      <c r="D1" s="454" t="s">
        <v>467</v>
      </c>
      <c r="E1" s="672"/>
      <c r="F1" s="673"/>
      <c r="G1" s="672"/>
      <c r="H1" s="672"/>
      <c r="I1" s="672"/>
      <c r="J1" s="672"/>
      <c r="K1" s="674"/>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427</v>
      </c>
      <c r="B2" s="457" t="e">
        <f>F62</f>
        <v>#DIV/0!</v>
      </c>
      <c r="C2" s="2723"/>
      <c r="D2" s="2723"/>
      <c r="E2" s="2723"/>
      <c r="F2" s="2724"/>
      <c r="G2" s="2723"/>
      <c r="H2" s="2723"/>
      <c r="I2" s="2723"/>
      <c r="J2" s="2723"/>
      <c r="K2" s="272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c r="A3" s="1168" t="s">
        <v>1218</v>
      </c>
      <c r="B3" s="459" t="e">
        <f>ROUND(B2*10000/'数据-汇总表'!E3,0)</f>
        <v>#DIV/0!</v>
      </c>
      <c r="C3" s="2722"/>
      <c r="D3" s="2722"/>
      <c r="E3" s="2722"/>
      <c r="F3" s="2722"/>
      <c r="G3" s="2723"/>
      <c r="H3" s="2723"/>
      <c r="I3" s="2723"/>
      <c r="J3" s="2723"/>
      <c r="K3" s="2725"/>
      <c r="L3" s="1736"/>
      <c r="M3" s="1737"/>
      <c r="N3" s="1737"/>
      <c r="O3" s="1737"/>
      <c r="P3" s="1737"/>
      <c r="Q3" s="1737"/>
      <c r="R3" s="1737"/>
      <c r="S3" s="1737"/>
      <c r="T3" s="1737"/>
      <c r="U3" s="1737"/>
      <c r="V3" s="1737"/>
      <c r="W3" s="1737"/>
      <c r="X3" s="1737"/>
      <c r="Y3" s="1737"/>
      <c r="Z3" s="1737"/>
      <c r="AA3" s="1737"/>
      <c r="AB3" s="1671"/>
      <c r="AC3" s="1671"/>
    </row>
    <row r="4" spans="1:29" s="1128" customFormat="1" ht="28.5" customHeight="1">
      <c r="A4" s="460" t="s">
        <v>469</v>
      </c>
      <c r="B4" s="395" t="e">
        <f>IF(B43="单位面积地价",C45,ROUND(B2*10000/'数据-汇总表'!D3,0))</f>
        <v>#DIV/0!</v>
      </c>
      <c r="C4" s="2722"/>
      <c r="D4" s="2722"/>
      <c r="E4" s="2722"/>
      <c r="F4" s="2722"/>
      <c r="G4" s="2723"/>
      <c r="H4" s="2723"/>
      <c r="I4" s="2723"/>
      <c r="J4" s="2723"/>
      <c r="K4" s="2725"/>
      <c r="L4" s="1736"/>
      <c r="M4" s="1737"/>
      <c r="N4" s="1737"/>
      <c r="O4" s="1737"/>
      <c r="P4" s="1737"/>
      <c r="Q4" s="1737"/>
      <c r="R4" s="1737"/>
      <c r="S4" s="1737"/>
      <c r="T4" s="1737"/>
      <c r="U4" s="1737"/>
      <c r="V4" s="1737"/>
      <c r="W4" s="1737"/>
      <c r="X4" s="1737"/>
      <c r="Y4" s="1737"/>
      <c r="Z4" s="1737"/>
      <c r="AA4" s="1737"/>
      <c r="AB4" s="1737"/>
      <c r="AC4" s="1671"/>
    </row>
    <row r="5" spans="1:29" s="1128" customFormat="1" ht="28.5" customHeight="1" thickBot="1">
      <c r="A5" s="397"/>
      <c r="B5" s="398" t="e">
        <f>ROUND(B2/('数据-汇总表'!D3/666.67),0)</f>
        <v>#DIV/0!</v>
      </c>
      <c r="C5" s="399" t="s">
        <v>429</v>
      </c>
      <c r="D5" s="2722"/>
      <c r="E5" s="2722"/>
      <c r="F5" s="2722"/>
      <c r="G5" s="2723"/>
      <c r="H5" s="2723"/>
      <c r="I5" s="2723"/>
      <c r="J5" s="2723"/>
      <c r="K5" s="2725"/>
      <c r="L5" s="1736"/>
      <c r="M5" s="1737"/>
      <c r="N5" s="1737"/>
      <c r="O5" s="1737"/>
      <c r="P5" s="1737"/>
      <c r="Q5" s="1737"/>
      <c r="R5" s="1737"/>
      <c r="S5" s="1737"/>
      <c r="T5" s="1737"/>
      <c r="U5" s="1737"/>
      <c r="V5" s="1737"/>
      <c r="W5" s="1737"/>
      <c r="X5" s="1737"/>
      <c r="Y5" s="1737"/>
      <c r="Z5" s="1737"/>
      <c r="AA5" s="1737"/>
      <c r="AB5" s="2714"/>
      <c r="AC5" s="1671"/>
    </row>
    <row r="6" spans="1:29" ht="15">
      <c r="A6" s="461" t="s">
        <v>470</v>
      </c>
      <c r="B6" s="462"/>
      <c r="C6" s="3648" t="s">
        <v>471</v>
      </c>
      <c r="D6" s="3649"/>
      <c r="E6" s="3688" t="s">
        <v>472</v>
      </c>
      <c r="F6" s="3689"/>
      <c r="G6" s="3648" t="s">
        <v>473</v>
      </c>
      <c r="H6" s="3649"/>
      <c r="I6" s="3648" t="s">
        <v>474</v>
      </c>
      <c r="J6" s="3649"/>
      <c r="K6" s="463" t="s">
        <v>475</v>
      </c>
      <c r="L6" s="1738"/>
      <c r="M6" s="1739"/>
      <c r="N6" s="1739"/>
      <c r="O6" s="1739"/>
      <c r="P6" s="3650" t="s">
        <v>476</v>
      </c>
      <c r="Q6" s="3651"/>
      <c r="R6" s="3656" t="s">
        <v>472</v>
      </c>
      <c r="S6" s="3657"/>
      <c r="T6" s="3656" t="s">
        <v>473</v>
      </c>
      <c r="U6" s="3657"/>
      <c r="V6" s="3643" t="s">
        <v>474</v>
      </c>
      <c r="W6" s="3643"/>
      <c r="X6" s="1299"/>
      <c r="Y6" s="3656" t="s">
        <v>476</v>
      </c>
      <c r="Z6" s="3657"/>
      <c r="AA6" s="3645" t="s">
        <v>472</v>
      </c>
      <c r="AB6" s="3646" t="s">
        <v>473</v>
      </c>
      <c r="AC6" s="3645" t="s">
        <v>474</v>
      </c>
    </row>
    <row r="7" spans="1:29" ht="15">
      <c r="A7" s="464"/>
      <c r="B7" s="465"/>
      <c r="C7" s="3664" t="s">
        <v>2185</v>
      </c>
      <c r="D7" s="3665"/>
      <c r="E7" s="3690" t="s">
        <v>2186</v>
      </c>
      <c r="F7" s="3691"/>
      <c r="G7" s="3664" t="s">
        <v>2187</v>
      </c>
      <c r="H7" s="3665"/>
      <c r="I7" s="3664" t="s">
        <v>2188</v>
      </c>
      <c r="J7" s="3665"/>
      <c r="K7" s="463"/>
      <c r="L7" s="1738"/>
      <c r="M7" s="1739"/>
      <c r="N7" s="1739"/>
      <c r="O7" s="1739"/>
      <c r="P7" s="3652"/>
      <c r="Q7" s="3653"/>
      <c r="R7" s="3658"/>
      <c r="S7" s="3659"/>
      <c r="T7" s="3658"/>
      <c r="U7" s="3659"/>
      <c r="V7" s="3643"/>
      <c r="W7" s="3643"/>
      <c r="X7" s="1299"/>
      <c r="Y7" s="3658"/>
      <c r="Z7" s="3659"/>
      <c r="AA7" s="3646"/>
      <c r="AB7" s="3646"/>
      <c r="AC7" s="3646"/>
    </row>
    <row r="8" spans="1:29" ht="15.75" thickBot="1">
      <c r="A8" s="466"/>
      <c r="B8" s="467"/>
      <c r="C8" s="3662" t="s">
        <v>2189</v>
      </c>
      <c r="D8" s="3663"/>
      <c r="E8" s="3686" t="s">
        <v>2189</v>
      </c>
      <c r="F8" s="3687"/>
      <c r="G8" s="3662" t="s">
        <v>2189</v>
      </c>
      <c r="H8" s="3663"/>
      <c r="I8" s="3662" t="s">
        <v>2189</v>
      </c>
      <c r="J8" s="3663"/>
      <c r="K8" s="463" t="s">
        <v>477</v>
      </c>
      <c r="L8" s="1738"/>
      <c r="M8" s="1739"/>
      <c r="N8" s="1739"/>
      <c r="O8" s="1739"/>
      <c r="P8" s="3654"/>
      <c r="Q8" s="3655"/>
      <c r="R8" s="3658"/>
      <c r="S8" s="3659"/>
      <c r="T8" s="3660"/>
      <c r="U8" s="3661"/>
      <c r="V8" s="3643"/>
      <c r="W8" s="3643"/>
      <c r="X8" s="1299"/>
      <c r="Y8" s="3660"/>
      <c r="Z8" s="3661"/>
      <c r="AA8" s="3647"/>
      <c r="AB8" s="3647"/>
      <c r="AC8" s="3647"/>
    </row>
    <row r="9" spans="1:29" s="1057" customFormat="1" ht="15.75" thickBot="1">
      <c r="A9" s="2205"/>
      <c r="B9" s="2212" t="s">
        <v>478</v>
      </c>
      <c r="C9" s="468">
        <f>'数据-取费表'!B2</f>
        <v>45617</v>
      </c>
      <c r="D9" s="469">
        <v>100</v>
      </c>
      <c r="E9" s="470"/>
      <c r="F9" s="471">
        <f>SUMIF(66:66,YEAR(E9)&amp;"-"&amp;INT((MONTH(E9)+2)/3),67:67)</f>
        <v>0</v>
      </c>
      <c r="G9" s="472"/>
      <c r="H9" s="469">
        <f>SUMIF(66:66,YEAR(G9)&amp;"-"&amp;INT((MONTH(G9)+2)/3),67:67)</f>
        <v>0</v>
      </c>
      <c r="I9" s="472"/>
      <c r="J9" s="469">
        <f>SUMIF(66:66,YEAR(I9)&amp;"-"&amp;INT((MONTH(I9)+2)/3),67:67)</f>
        <v>0</v>
      </c>
      <c r="K9" s="88"/>
      <c r="L9" s="1740"/>
      <c r="M9" s="1637"/>
      <c r="N9" s="1637"/>
      <c r="O9" s="1637"/>
      <c r="P9" s="3673" t="s">
        <v>479</v>
      </c>
      <c r="Q9" s="3675"/>
      <c r="R9" s="1300" t="s">
        <v>5</v>
      </c>
      <c r="S9" s="1301">
        <f t="shared" ref="S9:S17" si="0">F9</f>
        <v>0</v>
      </c>
      <c r="T9" s="1300" t="s">
        <v>5</v>
      </c>
      <c r="U9" s="1301">
        <f t="shared" ref="U9:U17" si="1">H9</f>
        <v>0</v>
      </c>
      <c r="V9" s="1300" t="s">
        <v>5</v>
      </c>
      <c r="W9" s="1301">
        <f t="shared" ref="W9:W17" si="2">J9</f>
        <v>0</v>
      </c>
      <c r="X9" s="1302"/>
      <c r="Y9" s="3673" t="s">
        <v>479</v>
      </c>
      <c r="Z9" s="3674"/>
      <c r="AA9" s="994" t="e">
        <f>D9/F9</f>
        <v>#DIV/0!</v>
      </c>
      <c r="AB9" s="994" t="e">
        <f>D9/H9</f>
        <v>#DIV/0!</v>
      </c>
      <c r="AC9" s="994" t="e">
        <f>D9/J9</f>
        <v>#DIV/0!</v>
      </c>
    </row>
    <row r="10" spans="1:29" s="1057" customFormat="1" ht="15.75" thickBot="1">
      <c r="A10" s="2206"/>
      <c r="B10" s="2213" t="s">
        <v>480</v>
      </c>
      <c r="C10" s="473" t="s">
        <v>481</v>
      </c>
      <c r="D10" s="469">
        <v>100</v>
      </c>
      <c r="E10" s="473"/>
      <c r="F10" s="471">
        <f>SUMIF(69:69,E10,70:70)-SUMIF(69:69,C10,70:70)+100</f>
        <v>0</v>
      </c>
      <c r="G10" s="473"/>
      <c r="H10" s="469">
        <f>SUMIF(69:69,G10,70:70)-SUMIF(69:69,C10,70:70)+100</f>
        <v>0</v>
      </c>
      <c r="I10" s="473"/>
      <c r="J10" s="469">
        <f>SUMIF(69:69,I10,70:70)-SUMIF(69:69,C10,70:70)+100</f>
        <v>0</v>
      </c>
      <c r="K10" s="88"/>
      <c r="L10" s="1740"/>
      <c r="M10" s="1637"/>
      <c r="N10" s="1637"/>
      <c r="O10" s="1637"/>
      <c r="P10" s="3673" t="s">
        <v>482</v>
      </c>
      <c r="Q10" s="3674"/>
      <c r="R10" s="1300" t="s">
        <v>5</v>
      </c>
      <c r="S10" s="1301">
        <f t="shared" si="0"/>
        <v>0</v>
      </c>
      <c r="T10" s="1300" t="s">
        <v>5</v>
      </c>
      <c r="U10" s="1301">
        <f t="shared" si="1"/>
        <v>0</v>
      </c>
      <c r="V10" s="1300" t="s">
        <v>5</v>
      </c>
      <c r="W10" s="1301">
        <f t="shared" si="2"/>
        <v>0</v>
      </c>
      <c r="X10" s="1302"/>
      <c r="Y10" s="3673" t="s">
        <v>482</v>
      </c>
      <c r="Z10" s="3674"/>
      <c r="AA10" s="994" t="e">
        <f t="shared" ref="AA10:AA42" si="3">D10/F10</f>
        <v>#DIV/0!</v>
      </c>
      <c r="AB10" s="994" t="e">
        <f t="shared" ref="AB10:AB42" si="4">D10/H10</f>
        <v>#DIV/0!</v>
      </c>
      <c r="AC10" s="994" t="e">
        <f t="shared" ref="AC10:AC42" si="5">D10/J10</f>
        <v>#DIV/0!</v>
      </c>
    </row>
    <row r="11" spans="1:29" s="1057" customFormat="1" ht="15">
      <c r="A11" s="2207"/>
      <c r="B11" s="2214" t="s">
        <v>2036</v>
      </c>
      <c r="C11" s="474"/>
      <c r="D11" s="154">
        <v>100</v>
      </c>
      <c r="E11" s="474"/>
      <c r="F11" s="154">
        <f>SUMIF(71:71,E11,72:72)-SUMIF(71:71,C11,72:72)+100</f>
        <v>100</v>
      </c>
      <c r="G11" s="474"/>
      <c r="H11" s="154">
        <f>SUMIF(71:71,G11,72:72)-SUMIF(71:71,C11,72:72)+100</f>
        <v>100</v>
      </c>
      <c r="I11" s="474"/>
      <c r="J11" s="154">
        <f>SUMIF(71:71,I11,72:72)-SUMIF(71:71,C11,72:72)+100</f>
        <v>100</v>
      </c>
      <c r="K11" s="88"/>
      <c r="L11" s="1740"/>
      <c r="M11" s="1637"/>
      <c r="N11" s="1637"/>
      <c r="O11" s="1741"/>
      <c r="P11" s="3642" t="s">
        <v>484</v>
      </c>
      <c r="Q11" s="815" t="str">
        <f t="shared" ref="Q11:Q17" si="6">B11</f>
        <v>用途</v>
      </c>
      <c r="R11" s="1300" t="s">
        <v>5</v>
      </c>
      <c r="S11" s="1301">
        <f t="shared" si="0"/>
        <v>100</v>
      </c>
      <c r="T11" s="1300" t="s">
        <v>5</v>
      </c>
      <c r="U11" s="1301">
        <f t="shared" si="1"/>
        <v>100</v>
      </c>
      <c r="V11" s="1300" t="s">
        <v>5</v>
      </c>
      <c r="W11" s="1301">
        <f t="shared" si="2"/>
        <v>100</v>
      </c>
      <c r="X11" s="1302"/>
      <c r="Y11" s="3590" t="s">
        <v>485</v>
      </c>
      <c r="Z11" s="994" t="str">
        <f t="shared" ref="Z11:Z17" si="7">Q11</f>
        <v>用途</v>
      </c>
      <c r="AA11" s="994">
        <f t="shared" si="3"/>
        <v>1</v>
      </c>
      <c r="AB11" s="994">
        <f t="shared" si="4"/>
        <v>1</v>
      </c>
      <c r="AC11" s="994">
        <f t="shared" si="5"/>
        <v>1</v>
      </c>
    </row>
    <row r="12" spans="1:29" s="1130" customFormat="1" ht="27">
      <c r="A12" s="2208"/>
      <c r="B12" s="2213" t="s">
        <v>2037</v>
      </c>
      <c r="C12" s="476"/>
      <c r="D12" s="233">
        <v>100</v>
      </c>
      <c r="E12" s="476"/>
      <c r="F12" s="233">
        <f>ROUND(100/'数据-取费表'!G16,0)</f>
        <v>100</v>
      </c>
      <c r="G12" s="476"/>
      <c r="H12" s="233">
        <f>ROUND(100/'数据-取费表'!G16,0)</f>
        <v>100</v>
      </c>
      <c r="I12" s="476"/>
      <c r="J12" s="233">
        <f>ROUND(100/'数据-取费表'!G16,0)</f>
        <v>100</v>
      </c>
      <c r="K12" s="479"/>
      <c r="L12" s="1742"/>
      <c r="M12" s="1775"/>
      <c r="N12" s="1775"/>
      <c r="O12" s="1743"/>
      <c r="P12" s="3642"/>
      <c r="Q12" s="815" t="str">
        <f t="shared" si="6"/>
        <v>土地使用年限（年）</v>
      </c>
      <c r="R12" s="1300" t="s">
        <v>5</v>
      </c>
      <c r="S12" s="1301">
        <f t="shared" si="0"/>
        <v>100</v>
      </c>
      <c r="T12" s="1300" t="s">
        <v>5</v>
      </c>
      <c r="U12" s="1301">
        <f t="shared" si="1"/>
        <v>100</v>
      </c>
      <c r="V12" s="1300" t="s">
        <v>5</v>
      </c>
      <c r="W12" s="1301">
        <f t="shared" si="2"/>
        <v>100</v>
      </c>
      <c r="X12" s="1302"/>
      <c r="Y12" s="3590"/>
      <c r="Z12" s="994" t="str">
        <f t="shared" si="7"/>
        <v>土地使用年限（年）</v>
      </c>
      <c r="AA12" s="994">
        <f t="shared" si="3"/>
        <v>1</v>
      </c>
      <c r="AB12" s="994">
        <f t="shared" si="4"/>
        <v>1</v>
      </c>
      <c r="AC12" s="994">
        <f t="shared" si="5"/>
        <v>1</v>
      </c>
    </row>
    <row r="13" spans="1:29" ht="15">
      <c r="A13" s="2209"/>
      <c r="B13" s="2213" t="s">
        <v>2038</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4"/>
      <c r="M13" s="1739"/>
      <c r="N13" s="1739"/>
      <c r="O13" s="1745"/>
      <c r="P13" s="3642"/>
      <c r="Q13" s="815" t="str">
        <f t="shared" si="6"/>
        <v>容积率</v>
      </c>
      <c r="R13" s="1300" t="s">
        <v>5</v>
      </c>
      <c r="S13" s="1301" t="e">
        <f t="shared" si="0"/>
        <v>#N/A</v>
      </c>
      <c r="T13" s="1300" t="s">
        <v>5</v>
      </c>
      <c r="U13" s="1301" t="e">
        <f t="shared" si="1"/>
        <v>#N/A</v>
      </c>
      <c r="V13" s="1300" t="s">
        <v>5</v>
      </c>
      <c r="W13" s="1301" t="e">
        <f t="shared" si="2"/>
        <v>#N/A</v>
      </c>
      <c r="X13" s="1302"/>
      <c r="Y13" s="3590"/>
      <c r="Z13" s="994" t="str">
        <f t="shared" si="7"/>
        <v>容积率</v>
      </c>
      <c r="AA13" s="994" t="e">
        <f t="shared" si="3"/>
        <v>#N/A</v>
      </c>
      <c r="AB13" s="994" t="e">
        <f t="shared" si="4"/>
        <v>#N/A</v>
      </c>
      <c r="AC13" s="994" t="e">
        <f t="shared" si="5"/>
        <v>#N/A</v>
      </c>
    </row>
    <row r="14" spans="1:29" s="1057" customFormat="1" ht="15">
      <c r="A14" s="2210"/>
      <c r="B14" s="2216">
        <v>111</v>
      </c>
      <c r="C14" s="476"/>
      <c r="D14" s="486">
        <v>100</v>
      </c>
      <c r="E14" s="489"/>
      <c r="F14" s="233">
        <f>SUMIF(78:78,E14,79:79)-SUMIF(78:78,C14,79:79)+100</f>
        <v>100</v>
      </c>
      <c r="G14" s="490"/>
      <c r="H14" s="233">
        <f>SUMIF(78:78,G14,79:79)-SUMIF(78:78,C14,79:79)+100</f>
        <v>100</v>
      </c>
      <c r="I14" s="489"/>
      <c r="J14" s="233">
        <f>SUMIF(78:78,I14,79:79)-SUMIF(78:78,C14,79:79)+100</f>
        <v>100</v>
      </c>
      <c r="K14" s="479"/>
      <c r="L14" s="1740"/>
      <c r="M14" s="1637"/>
      <c r="N14" s="1637"/>
      <c r="O14" s="1741"/>
      <c r="P14" s="3642"/>
      <c r="Q14" s="815">
        <f t="shared" si="6"/>
        <v>111</v>
      </c>
      <c r="R14" s="1300" t="s">
        <v>5</v>
      </c>
      <c r="S14" s="1301">
        <f t="shared" si="0"/>
        <v>100</v>
      </c>
      <c r="T14" s="1300" t="s">
        <v>5</v>
      </c>
      <c r="U14" s="1301">
        <f t="shared" si="1"/>
        <v>100</v>
      </c>
      <c r="V14" s="1300" t="s">
        <v>5</v>
      </c>
      <c r="W14" s="1301">
        <f t="shared" si="2"/>
        <v>100</v>
      </c>
      <c r="X14" s="1302"/>
      <c r="Y14" s="3590"/>
      <c r="Z14" s="994">
        <f t="shared" si="7"/>
        <v>111</v>
      </c>
      <c r="AA14" s="994">
        <f>D14/F14</f>
        <v>1</v>
      </c>
      <c r="AB14" s="994">
        <f>D14/H14</f>
        <v>1</v>
      </c>
      <c r="AC14" s="994">
        <f>D14/J14</f>
        <v>1</v>
      </c>
    </row>
    <row r="15" spans="1:29" ht="15">
      <c r="A15" s="2210"/>
      <c r="B15" s="2216">
        <v>111</v>
      </c>
      <c r="C15" s="487"/>
      <c r="D15" s="488">
        <v>100</v>
      </c>
      <c r="E15" s="489"/>
      <c r="F15" s="233">
        <f>SUMIF(80:80,E15,81:81)-SUMIF(80:80,C15,81:81)+100</f>
        <v>100</v>
      </c>
      <c r="G15" s="490"/>
      <c r="H15" s="488">
        <f>SUMIF(80:80,G15,81:81)-SUMIF(80:80,C15,81:81)+100</f>
        <v>100</v>
      </c>
      <c r="I15" s="489"/>
      <c r="J15" s="488">
        <f>SUMIF(80:80,I15,81:81)-SUMIF(80:80,C15,81:81)+100</f>
        <v>100</v>
      </c>
      <c r="K15" s="479"/>
      <c r="L15" s="1746"/>
      <c r="M15" s="1739"/>
      <c r="N15" s="1739"/>
      <c r="O15" s="1745"/>
      <c r="P15" s="3642"/>
      <c r="Q15" s="815">
        <f t="shared" si="6"/>
        <v>111</v>
      </c>
      <c r="R15" s="1300" t="s">
        <v>5</v>
      </c>
      <c r="S15" s="1301">
        <f t="shared" si="0"/>
        <v>100</v>
      </c>
      <c r="T15" s="1300" t="s">
        <v>5</v>
      </c>
      <c r="U15" s="1301">
        <f t="shared" si="1"/>
        <v>100</v>
      </c>
      <c r="V15" s="1300" t="s">
        <v>5</v>
      </c>
      <c r="W15" s="1301">
        <f t="shared" si="2"/>
        <v>100</v>
      </c>
      <c r="X15" s="1302"/>
      <c r="Y15" s="3590"/>
      <c r="Z15" s="994">
        <f t="shared" si="7"/>
        <v>111</v>
      </c>
      <c r="AA15" s="994">
        <f t="shared" si="3"/>
        <v>1</v>
      </c>
      <c r="AB15" s="994">
        <f t="shared" si="4"/>
        <v>1</v>
      </c>
      <c r="AC15" s="994">
        <f t="shared" si="5"/>
        <v>1</v>
      </c>
    </row>
    <row r="16" spans="1:29" ht="15.75" thickBot="1">
      <c r="A16" s="2211"/>
      <c r="B16" s="2217">
        <v>111</v>
      </c>
      <c r="C16" s="493"/>
      <c r="D16" s="494">
        <v>100</v>
      </c>
      <c r="E16" s="489"/>
      <c r="F16" s="494">
        <f>SUMIF(82:82,E16,83:83)-SUMIF(82:82,C16,83:83)+100</f>
        <v>100</v>
      </c>
      <c r="G16" s="490"/>
      <c r="H16" s="494">
        <f>SUMIF(82:82,G16,83:83)-SUMIF(82:82,C16,83:83)+100</f>
        <v>100</v>
      </c>
      <c r="I16" s="489"/>
      <c r="J16" s="494">
        <f>SUMIF(82:82,I16,83:83)-SUMIF(82:82,C16,83:83)+100</f>
        <v>100</v>
      </c>
      <c r="K16" s="479"/>
      <c r="L16" s="1746"/>
      <c r="M16" s="1739"/>
      <c r="N16" s="1739"/>
      <c r="O16" s="1745"/>
      <c r="P16" s="3642"/>
      <c r="Q16" s="815">
        <f t="shared" si="6"/>
        <v>111</v>
      </c>
      <c r="R16" s="1300" t="s">
        <v>5</v>
      </c>
      <c r="S16" s="1301">
        <f t="shared" si="0"/>
        <v>100</v>
      </c>
      <c r="T16" s="1300" t="s">
        <v>5</v>
      </c>
      <c r="U16" s="1301">
        <f t="shared" si="1"/>
        <v>100</v>
      </c>
      <c r="V16" s="1300" t="s">
        <v>5</v>
      </c>
      <c r="W16" s="1301">
        <f t="shared" si="2"/>
        <v>100</v>
      </c>
      <c r="X16" s="1302"/>
      <c r="Y16" s="3590"/>
      <c r="Z16" s="994">
        <f t="shared" si="7"/>
        <v>111</v>
      </c>
      <c r="AA16" s="994">
        <f t="shared" si="3"/>
        <v>1</v>
      </c>
      <c r="AB16" s="994">
        <f t="shared" si="4"/>
        <v>1</v>
      </c>
      <c r="AC16" s="994">
        <f t="shared" si="5"/>
        <v>1</v>
      </c>
    </row>
    <row r="17" spans="1:29" ht="57">
      <c r="A17" s="2203" t="s">
        <v>2034</v>
      </c>
      <c r="B17" s="150" t="s">
        <v>546</v>
      </c>
      <c r="C17" s="840"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6"/>
      <c r="M17" s="1739"/>
      <c r="N17" s="1739"/>
      <c r="O17" s="1745"/>
      <c r="P17" s="3676" t="s">
        <v>489</v>
      </c>
      <c r="Q17" s="1303" t="str">
        <f t="shared" si="6"/>
        <v>产业集聚程度</v>
      </c>
      <c r="R17" s="1304" t="s">
        <v>5</v>
      </c>
      <c r="S17" s="1305">
        <f t="shared" si="0"/>
        <v>100</v>
      </c>
      <c r="T17" s="1304" t="s">
        <v>5</v>
      </c>
      <c r="U17" s="1305">
        <f t="shared" si="1"/>
        <v>100</v>
      </c>
      <c r="V17" s="1304" t="s">
        <v>5</v>
      </c>
      <c r="W17" s="1305">
        <f t="shared" si="2"/>
        <v>100</v>
      </c>
      <c r="X17" s="1299"/>
      <c r="Y17" s="3676" t="s">
        <v>489</v>
      </c>
      <c r="Z17" s="1306" t="str">
        <f t="shared" si="7"/>
        <v>产业集聚程度</v>
      </c>
      <c r="AA17" s="1306">
        <f t="shared" si="3"/>
        <v>1</v>
      </c>
      <c r="AB17" s="1306">
        <f t="shared" si="4"/>
        <v>1</v>
      </c>
      <c r="AC17" s="1306">
        <f t="shared" si="5"/>
        <v>1</v>
      </c>
    </row>
    <row r="18" spans="1:29" ht="15">
      <c r="A18" s="480"/>
      <c r="B18" s="797"/>
      <c r="C18" s="524"/>
      <c r="D18" s="503"/>
      <c r="E18" s="502"/>
      <c r="F18" s="503"/>
      <c r="G18" s="502"/>
      <c r="H18" s="507"/>
      <c r="I18" s="502"/>
      <c r="J18" s="503"/>
      <c r="K18" s="479"/>
      <c r="L18" s="1746"/>
      <c r="M18" s="1739"/>
      <c r="N18" s="1739"/>
      <c r="O18" s="1745"/>
      <c r="P18" s="3677"/>
      <c r="Q18" s="1303"/>
      <c r="R18" s="1304"/>
      <c r="S18" s="1305"/>
      <c r="T18" s="1304"/>
      <c r="U18" s="1305"/>
      <c r="V18" s="1304"/>
      <c r="W18" s="1305"/>
      <c r="X18" s="1299"/>
      <c r="Y18" s="3677"/>
      <c r="Z18" s="1306"/>
      <c r="AA18" s="1306">
        <v>1</v>
      </c>
      <c r="AB18" s="1306">
        <v>1</v>
      </c>
      <c r="AC18" s="1306">
        <v>1</v>
      </c>
    </row>
    <row r="19" spans="1:29" ht="85.5">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6"/>
      <c r="M19" s="1739"/>
      <c r="N19" s="1739"/>
      <c r="O19" s="1745"/>
      <c r="P19" s="3677"/>
      <c r="Q19" s="1303" t="str">
        <f>B19</f>
        <v>交通便捷度</v>
      </c>
      <c r="R19" s="1304" t="s">
        <v>5</v>
      </c>
      <c r="S19" s="1305">
        <f>F19</f>
        <v>100</v>
      </c>
      <c r="T19" s="1304" t="s">
        <v>5</v>
      </c>
      <c r="U19" s="1305">
        <f>H19</f>
        <v>100</v>
      </c>
      <c r="V19" s="1304" t="s">
        <v>5</v>
      </c>
      <c r="W19" s="1305">
        <f>J19</f>
        <v>100</v>
      </c>
      <c r="X19" s="1299"/>
      <c r="Y19" s="3677"/>
      <c r="Z19" s="1306" t="str">
        <f>Q19</f>
        <v>交通便捷度</v>
      </c>
      <c r="AA19" s="1306">
        <f t="shared" si="3"/>
        <v>1</v>
      </c>
      <c r="AB19" s="1306">
        <f t="shared" si="4"/>
        <v>1</v>
      </c>
      <c r="AC19" s="1306">
        <f t="shared" si="5"/>
        <v>1</v>
      </c>
    </row>
    <row r="20" spans="1:29" ht="15">
      <c r="A20" s="480"/>
      <c r="B20" s="841"/>
      <c r="C20" s="524"/>
      <c r="D20" s="503"/>
      <c r="E20" s="504"/>
      <c r="F20" s="503"/>
      <c r="G20" s="504"/>
      <c r="H20" s="503"/>
      <c r="I20" s="506"/>
      <c r="J20" s="503"/>
      <c r="K20" s="479"/>
      <c r="L20" s="1746"/>
      <c r="M20" s="1739"/>
      <c r="N20" s="1739"/>
      <c r="O20" s="1745"/>
      <c r="P20" s="3677"/>
      <c r="Q20" s="1303"/>
      <c r="R20" s="1304"/>
      <c r="S20" s="1305"/>
      <c r="T20" s="1304"/>
      <c r="U20" s="1305"/>
      <c r="V20" s="1304"/>
      <c r="W20" s="1305"/>
      <c r="X20" s="1299"/>
      <c r="Y20" s="3677"/>
      <c r="Z20" s="1306"/>
      <c r="AA20" s="1306">
        <v>1</v>
      </c>
      <c r="AB20" s="1306">
        <v>1</v>
      </c>
      <c r="AC20" s="1306">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7"/>
      <c r="L21" s="1746"/>
      <c r="M21" s="1739"/>
      <c r="N21" s="1739"/>
      <c r="O21" s="1745"/>
      <c r="P21" s="3677"/>
      <c r="Q21" s="1303" t="str">
        <f t="shared" ref="Q21:Q35" si="8">B21</f>
        <v>区域土地利用方向</v>
      </c>
      <c r="R21" s="1304" t="s">
        <v>5</v>
      </c>
      <c r="S21" s="1305">
        <f>F21</f>
        <v>100</v>
      </c>
      <c r="T21" s="1304" t="s">
        <v>5</v>
      </c>
      <c r="U21" s="1305">
        <f>H21</f>
        <v>100</v>
      </c>
      <c r="V21" s="1304" t="s">
        <v>5</v>
      </c>
      <c r="W21" s="1305">
        <f>J21</f>
        <v>100</v>
      </c>
      <c r="X21" s="1299"/>
      <c r="Y21" s="3677"/>
      <c r="Z21" s="1306" t="str">
        <f>Q21</f>
        <v>区域土地利用方向</v>
      </c>
      <c r="AA21" s="1306">
        <f t="shared" si="3"/>
        <v>1</v>
      </c>
      <c r="AB21" s="1306">
        <f t="shared" si="4"/>
        <v>1</v>
      </c>
      <c r="AC21" s="1306">
        <f t="shared" si="5"/>
        <v>1</v>
      </c>
    </row>
    <row r="22" spans="1:29" ht="15">
      <c r="A22" s="464"/>
      <c r="B22" s="542"/>
      <c r="C22" s="524"/>
      <c r="D22" s="503"/>
      <c r="E22" s="504"/>
      <c r="F22" s="505"/>
      <c r="G22" s="506"/>
      <c r="H22" s="505"/>
      <c r="I22" s="506"/>
      <c r="J22" s="505"/>
      <c r="K22" s="1139"/>
      <c r="L22" s="1746"/>
      <c r="M22" s="1739"/>
      <c r="N22" s="1739"/>
      <c r="O22" s="1745"/>
      <c r="P22" s="3677"/>
      <c r="Q22" s="1303"/>
      <c r="R22" s="1304"/>
      <c r="S22" s="1305"/>
      <c r="T22" s="1304"/>
      <c r="U22" s="1305"/>
      <c r="V22" s="1304"/>
      <c r="W22" s="1305"/>
      <c r="X22" s="1299"/>
      <c r="Y22" s="3677"/>
      <c r="Z22" s="1306"/>
      <c r="AA22" s="1306"/>
      <c r="AB22" s="1306"/>
      <c r="AC22" s="1306"/>
    </row>
    <row r="23" spans="1:29" ht="71.25">
      <c r="A23" s="464"/>
      <c r="B23" s="841"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6"/>
      <c r="M23" s="1739"/>
      <c r="N23" s="1739"/>
      <c r="O23" s="1745"/>
      <c r="P23" s="3677"/>
      <c r="Q23" s="1303" t="str">
        <f t="shared" si="8"/>
        <v>环境状况</v>
      </c>
      <c r="R23" s="1304" t="s">
        <v>5</v>
      </c>
      <c r="S23" s="1305">
        <f>F23</f>
        <v>100</v>
      </c>
      <c r="T23" s="1304" t="s">
        <v>5</v>
      </c>
      <c r="U23" s="1305">
        <f>H23</f>
        <v>100</v>
      </c>
      <c r="V23" s="1304" t="s">
        <v>5</v>
      </c>
      <c r="W23" s="1305">
        <f>J23</f>
        <v>100</v>
      </c>
      <c r="X23" s="1299"/>
      <c r="Y23" s="3677"/>
      <c r="Z23" s="1306" t="str">
        <f>Q23</f>
        <v>环境状况</v>
      </c>
      <c r="AA23" s="1306">
        <f t="shared" si="3"/>
        <v>1</v>
      </c>
      <c r="AB23" s="1306">
        <f t="shared" si="4"/>
        <v>1</v>
      </c>
      <c r="AC23" s="1306">
        <f t="shared" si="5"/>
        <v>1</v>
      </c>
    </row>
    <row r="24" spans="1:29" ht="15">
      <c r="A24" s="464"/>
      <c r="B24" s="542"/>
      <c r="C24" s="524"/>
      <c r="D24" s="503"/>
      <c r="E24" s="502"/>
      <c r="F24" s="503"/>
      <c r="G24" s="502"/>
      <c r="H24" s="503"/>
      <c r="I24" s="524"/>
      <c r="J24" s="503"/>
      <c r="K24" s="479"/>
      <c r="L24" s="1746"/>
      <c r="M24" s="1739"/>
      <c r="N24" s="1739"/>
      <c r="O24" s="1745"/>
      <c r="P24" s="3677"/>
      <c r="Q24" s="1303"/>
      <c r="R24" s="1304"/>
      <c r="S24" s="1305"/>
      <c r="T24" s="1304"/>
      <c r="U24" s="1305"/>
      <c r="V24" s="1304"/>
      <c r="W24" s="1305"/>
      <c r="X24" s="1299"/>
      <c r="Y24" s="3677"/>
      <c r="Z24" s="1306"/>
      <c r="AA24" s="1306">
        <v>1</v>
      </c>
      <c r="AB24" s="1306">
        <v>1</v>
      </c>
      <c r="AC24" s="1306">
        <v>1</v>
      </c>
    </row>
    <row r="25" spans="1:29" s="1057" customFormat="1" ht="42.75">
      <c r="A25" s="525"/>
      <c r="B25" s="2049" t="s">
        <v>1829</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40"/>
      <c r="M25" s="1637"/>
      <c r="N25" s="1637"/>
      <c r="O25" s="1741"/>
      <c r="P25" s="3677"/>
      <c r="Q25" s="815" t="str">
        <f t="shared" si="8"/>
        <v>公共配套设施</v>
      </c>
      <c r="R25" s="1300" t="s">
        <v>5</v>
      </c>
      <c r="S25" s="1301">
        <f>F25</f>
        <v>100</v>
      </c>
      <c r="T25" s="1300" t="s">
        <v>5</v>
      </c>
      <c r="U25" s="1301">
        <f>H25</f>
        <v>100</v>
      </c>
      <c r="V25" s="1300" t="s">
        <v>5</v>
      </c>
      <c r="W25" s="1301">
        <f>J25</f>
        <v>100</v>
      </c>
      <c r="X25" s="1302"/>
      <c r="Y25" s="3677"/>
      <c r="Z25" s="994" t="str">
        <f>Q25</f>
        <v>公共配套设施</v>
      </c>
      <c r="AA25" s="1306">
        <f>D25/F25</f>
        <v>1</v>
      </c>
      <c r="AB25" s="1306">
        <f>D25/H25</f>
        <v>1</v>
      </c>
      <c r="AC25" s="1306">
        <f>D25/J25</f>
        <v>1</v>
      </c>
    </row>
    <row r="26" spans="1:29" s="1057" customFormat="1" ht="15">
      <c r="A26" s="525"/>
      <c r="B26" s="542"/>
      <c r="C26" s="2048"/>
      <c r="D26" s="503"/>
      <c r="E26" s="502"/>
      <c r="F26" s="503"/>
      <c r="G26" s="502"/>
      <c r="H26" s="503"/>
      <c r="I26" s="524"/>
      <c r="J26" s="503"/>
      <c r="K26" s="479"/>
      <c r="L26" s="1740"/>
      <c r="M26" s="1637"/>
      <c r="N26" s="1637"/>
      <c r="O26" s="1741"/>
      <c r="P26" s="3677"/>
      <c r="Q26" s="815"/>
      <c r="R26" s="1300"/>
      <c r="S26" s="1301"/>
      <c r="T26" s="1300"/>
      <c r="U26" s="1301"/>
      <c r="V26" s="1300"/>
      <c r="W26" s="1301"/>
      <c r="X26" s="1302"/>
      <c r="Y26" s="3677"/>
      <c r="Z26" s="994"/>
      <c r="AA26" s="994">
        <v>1</v>
      </c>
      <c r="AB26" s="994">
        <v>1</v>
      </c>
      <c r="AC26" s="994">
        <v>1</v>
      </c>
    </row>
    <row r="27" spans="1:29" s="1057" customFormat="1" ht="28.5">
      <c r="A27" s="525"/>
      <c r="B27" s="2049" t="s">
        <v>1830</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40"/>
      <c r="M27" s="1637"/>
      <c r="N27" s="1637"/>
      <c r="O27" s="1741"/>
      <c r="P27" s="3677"/>
      <c r="Q27" s="815" t="str">
        <f>B27</f>
        <v>基础设施水平</v>
      </c>
      <c r="R27" s="1300" t="s">
        <v>5</v>
      </c>
      <c r="S27" s="1301">
        <f>F27</f>
        <v>100</v>
      </c>
      <c r="T27" s="1300" t="s">
        <v>5</v>
      </c>
      <c r="U27" s="1301">
        <f>H27</f>
        <v>100</v>
      </c>
      <c r="V27" s="1300" t="s">
        <v>5</v>
      </c>
      <c r="W27" s="1301">
        <f>J27</f>
        <v>100</v>
      </c>
      <c r="X27" s="1302"/>
      <c r="Y27" s="3677"/>
      <c r="Z27" s="994" t="str">
        <f>Q27</f>
        <v>基础设施水平</v>
      </c>
      <c r="AA27" s="1306">
        <f>D27/F27</f>
        <v>1</v>
      </c>
      <c r="AB27" s="1306">
        <f>D27/H27</f>
        <v>1</v>
      </c>
      <c r="AC27" s="1306">
        <f>D27/J27</f>
        <v>1</v>
      </c>
    </row>
    <row r="28" spans="1:29" s="1057" customFormat="1" ht="15">
      <c r="A28" s="525"/>
      <c r="B28" s="542"/>
      <c r="C28" s="2048"/>
      <c r="D28" s="503"/>
      <c r="E28" s="527"/>
      <c r="F28" s="503"/>
      <c r="G28" s="527"/>
      <c r="H28" s="503"/>
      <c r="I28" s="527"/>
      <c r="J28" s="503"/>
      <c r="K28" s="479"/>
      <c r="L28" s="1740"/>
      <c r="M28" s="1637"/>
      <c r="N28" s="1637"/>
      <c r="O28" s="1741"/>
      <c r="P28" s="3677"/>
      <c r="Q28" s="815"/>
      <c r="R28" s="1300"/>
      <c r="S28" s="1301"/>
      <c r="T28" s="1300"/>
      <c r="U28" s="1301"/>
      <c r="V28" s="1300"/>
      <c r="W28" s="1301"/>
      <c r="X28" s="1302"/>
      <c r="Y28" s="3677"/>
      <c r="Z28" s="994"/>
      <c r="AA28" s="994">
        <v>1</v>
      </c>
      <c r="AB28" s="994">
        <v>1</v>
      </c>
      <c r="AC28" s="994">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6"/>
      <c r="M29" s="1739"/>
      <c r="N29" s="1739"/>
      <c r="O29" s="1745"/>
      <c r="P29" s="3677"/>
      <c r="Q29" s="1303" t="str">
        <f t="shared" si="8"/>
        <v>临街状况</v>
      </c>
      <c r="R29" s="1304" t="s">
        <v>5</v>
      </c>
      <c r="S29" s="1305">
        <f t="shared" ref="S29:S42" si="9">F29</f>
        <v>100</v>
      </c>
      <c r="T29" s="1304" t="s">
        <v>5</v>
      </c>
      <c r="U29" s="1305">
        <f t="shared" ref="U29:U42" si="10">H29</f>
        <v>100</v>
      </c>
      <c r="V29" s="1304" t="s">
        <v>5</v>
      </c>
      <c r="W29" s="1305">
        <f t="shared" ref="W29:W42" si="11">J29</f>
        <v>100</v>
      </c>
      <c r="X29" s="1299"/>
      <c r="Y29" s="3677"/>
      <c r="Z29" s="1306" t="str">
        <f t="shared" ref="Z29:Z42" si="12">Q29</f>
        <v>临街状况</v>
      </c>
      <c r="AA29" s="1306">
        <f t="shared" si="3"/>
        <v>1</v>
      </c>
      <c r="AB29" s="1306">
        <f t="shared" si="4"/>
        <v>1</v>
      </c>
      <c r="AC29" s="1306">
        <f t="shared" si="5"/>
        <v>1</v>
      </c>
    </row>
    <row r="30" spans="1:29" ht="27">
      <c r="A30" s="480"/>
      <c r="B30" s="841" t="s">
        <v>497</v>
      </c>
      <c r="C30" s="2051">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6"/>
      <c r="M30" s="1739"/>
      <c r="N30" s="1739"/>
      <c r="O30" s="1745"/>
      <c r="P30" s="3677"/>
      <c r="Q30" s="1303" t="str">
        <f t="shared" si="8"/>
        <v>毗邻道路的类型与等级</v>
      </c>
      <c r="R30" s="1304" t="s">
        <v>5</v>
      </c>
      <c r="S30" s="1305">
        <f t="shared" si="9"/>
        <v>100</v>
      </c>
      <c r="T30" s="1304" t="s">
        <v>5</v>
      </c>
      <c r="U30" s="1305">
        <f t="shared" si="10"/>
        <v>100</v>
      </c>
      <c r="V30" s="1304" t="s">
        <v>5</v>
      </c>
      <c r="W30" s="1305">
        <f t="shared" si="11"/>
        <v>100</v>
      </c>
      <c r="X30" s="1299"/>
      <c r="Y30" s="3677"/>
      <c r="Z30" s="1306" t="str">
        <f t="shared" si="12"/>
        <v>毗邻道路的类型与等级</v>
      </c>
      <c r="AA30" s="1306">
        <f t="shared" si="3"/>
        <v>1</v>
      </c>
      <c r="AB30" s="1306">
        <f t="shared" si="4"/>
        <v>1</v>
      </c>
      <c r="AC30" s="1306">
        <f t="shared" si="5"/>
        <v>1</v>
      </c>
    </row>
    <row r="31" spans="1:29" ht="15">
      <c r="A31" s="480"/>
      <c r="B31" s="542"/>
      <c r="C31" s="524"/>
      <c r="D31" s="503"/>
      <c r="E31" s="524"/>
      <c r="F31" s="503"/>
      <c r="G31" s="524"/>
      <c r="H31" s="503"/>
      <c r="I31" s="524"/>
      <c r="J31" s="503"/>
      <c r="K31" s="529"/>
      <c r="L31" s="1746"/>
      <c r="M31" s="1739"/>
      <c r="N31" s="1739"/>
      <c r="O31" s="1745"/>
      <c r="P31" s="3677"/>
      <c r="Q31" s="1303"/>
      <c r="R31" s="1304"/>
      <c r="S31" s="1305"/>
      <c r="T31" s="1304"/>
      <c r="U31" s="1305"/>
      <c r="V31" s="1304"/>
      <c r="W31" s="1305"/>
      <c r="X31" s="1299"/>
      <c r="Y31" s="3677"/>
      <c r="Z31" s="1306"/>
      <c r="AA31" s="1306">
        <v>1</v>
      </c>
      <c r="AB31" s="1306">
        <v>1</v>
      </c>
      <c r="AC31" s="1306">
        <v>1</v>
      </c>
    </row>
    <row r="32" spans="1:29" ht="15">
      <c r="A32" s="480"/>
      <c r="B32" s="475" t="s">
        <v>498</v>
      </c>
      <c r="C32" s="2052">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6"/>
      <c r="M32" s="1739"/>
      <c r="N32" s="1739"/>
      <c r="O32" s="1745"/>
      <c r="P32" s="3677"/>
      <c r="Q32" s="1303" t="str">
        <f t="shared" si="8"/>
        <v>土地级别</v>
      </c>
      <c r="R32" s="1304" t="s">
        <v>5</v>
      </c>
      <c r="S32" s="1305">
        <f t="shared" si="9"/>
        <v>100</v>
      </c>
      <c r="T32" s="1304" t="s">
        <v>5</v>
      </c>
      <c r="U32" s="1305">
        <f t="shared" si="10"/>
        <v>100</v>
      </c>
      <c r="V32" s="1304" t="s">
        <v>5</v>
      </c>
      <c r="W32" s="1305">
        <f t="shared" si="11"/>
        <v>100</v>
      </c>
      <c r="X32" s="1299"/>
      <c r="Y32" s="3677"/>
      <c r="Z32" s="1306" t="str">
        <f t="shared" si="12"/>
        <v>土地级别</v>
      </c>
      <c r="AA32" s="1306">
        <f t="shared" si="3"/>
        <v>1</v>
      </c>
      <c r="AB32" s="1306">
        <f t="shared" si="4"/>
        <v>1</v>
      </c>
      <c r="AC32" s="1306">
        <f t="shared" si="5"/>
        <v>1</v>
      </c>
    </row>
    <row r="33" spans="1:29" ht="1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6"/>
      <c r="M33" s="1739"/>
      <c r="N33" s="1739"/>
      <c r="O33" s="1745"/>
      <c r="P33" s="3677"/>
      <c r="Q33" s="1303">
        <f t="shared" si="8"/>
        <v>111</v>
      </c>
      <c r="R33" s="1304" t="s">
        <v>5</v>
      </c>
      <c r="S33" s="1305">
        <f t="shared" si="9"/>
        <v>100</v>
      </c>
      <c r="T33" s="1304" t="s">
        <v>5</v>
      </c>
      <c r="U33" s="1305">
        <f t="shared" si="10"/>
        <v>100</v>
      </c>
      <c r="V33" s="1304" t="s">
        <v>5</v>
      </c>
      <c r="W33" s="1305">
        <f t="shared" si="11"/>
        <v>100</v>
      </c>
      <c r="X33" s="1299"/>
      <c r="Y33" s="3677"/>
      <c r="Z33" s="1306">
        <f t="shared" si="12"/>
        <v>111</v>
      </c>
      <c r="AA33" s="1306">
        <f t="shared" si="3"/>
        <v>1</v>
      </c>
      <c r="AB33" s="1306">
        <f t="shared" si="4"/>
        <v>1</v>
      </c>
      <c r="AC33" s="1306">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6"/>
      <c r="M34" s="1739"/>
      <c r="N34" s="1739"/>
      <c r="O34" s="1745"/>
      <c r="P34" s="3678" t="s">
        <v>499</v>
      </c>
      <c r="Q34" s="1303">
        <f t="shared" si="8"/>
        <v>111</v>
      </c>
      <c r="R34" s="1304" t="s">
        <v>5</v>
      </c>
      <c r="S34" s="1305">
        <f t="shared" si="9"/>
        <v>100</v>
      </c>
      <c r="T34" s="1304" t="s">
        <v>5</v>
      </c>
      <c r="U34" s="1305">
        <f t="shared" si="10"/>
        <v>100</v>
      </c>
      <c r="V34" s="1304" t="s">
        <v>5</v>
      </c>
      <c r="W34" s="1305">
        <f t="shared" si="11"/>
        <v>100</v>
      </c>
      <c r="X34" s="1299"/>
      <c r="Y34" s="3679" t="s">
        <v>499</v>
      </c>
      <c r="Z34" s="1306">
        <f t="shared" si="12"/>
        <v>111</v>
      </c>
      <c r="AA34" s="1306">
        <f t="shared" si="3"/>
        <v>1</v>
      </c>
      <c r="AB34" s="1306">
        <f t="shared" si="4"/>
        <v>1</v>
      </c>
      <c r="AC34" s="1306">
        <f t="shared" si="5"/>
        <v>1</v>
      </c>
    </row>
    <row r="35" spans="1:29" s="1131" customFormat="1" ht="15.75" thickBot="1">
      <c r="A35" s="536"/>
      <c r="B35" s="2050">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4"/>
      <c r="M35" s="1768"/>
      <c r="N35" s="1768"/>
      <c r="O35" s="1747"/>
      <c r="P35" s="3679"/>
      <c r="Q35" s="1303">
        <f t="shared" si="8"/>
        <v>111</v>
      </c>
      <c r="R35" s="1307" t="s">
        <v>5</v>
      </c>
      <c r="S35" s="1308">
        <f t="shared" si="9"/>
        <v>100</v>
      </c>
      <c r="T35" s="1307" t="s">
        <v>5</v>
      </c>
      <c r="U35" s="1308">
        <f t="shared" si="10"/>
        <v>100</v>
      </c>
      <c r="V35" s="1307" t="s">
        <v>5</v>
      </c>
      <c r="W35" s="1308">
        <f t="shared" si="11"/>
        <v>100</v>
      </c>
      <c r="X35" s="1309"/>
      <c r="Y35" s="3679"/>
      <c r="Z35" s="1310">
        <f t="shared" si="12"/>
        <v>111</v>
      </c>
      <c r="AA35" s="1306">
        <f t="shared" si="3"/>
        <v>1</v>
      </c>
      <c r="AB35" s="1306">
        <f t="shared" si="4"/>
        <v>1</v>
      </c>
      <c r="AC35" s="1306">
        <f t="shared" si="5"/>
        <v>1</v>
      </c>
    </row>
    <row r="36" spans="1:29" ht="15">
      <c r="A36" s="2201" t="s">
        <v>2035</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6"/>
      <c r="M36" s="1739"/>
      <c r="N36" s="1739"/>
      <c r="O36" s="1745"/>
      <c r="P36" s="3679"/>
      <c r="Q36" s="1303" t="str">
        <f>B36</f>
        <v>宗地面积</v>
      </c>
      <c r="R36" s="1304" t="s">
        <v>5</v>
      </c>
      <c r="S36" s="1305" t="e">
        <f t="shared" si="9"/>
        <v>#N/A</v>
      </c>
      <c r="T36" s="1304" t="s">
        <v>5</v>
      </c>
      <c r="U36" s="1305" t="e">
        <f t="shared" si="10"/>
        <v>#N/A</v>
      </c>
      <c r="V36" s="1304" t="s">
        <v>5</v>
      </c>
      <c r="W36" s="1305" t="e">
        <f t="shared" si="11"/>
        <v>#N/A</v>
      </c>
      <c r="X36" s="1299"/>
      <c r="Y36" s="3679"/>
      <c r="Z36" s="1306" t="str">
        <f t="shared" si="12"/>
        <v>宗地面积</v>
      </c>
      <c r="AA36" s="1306" t="e">
        <f t="shared" si="3"/>
        <v>#N/A</v>
      </c>
      <c r="AB36" s="1306" t="e">
        <f t="shared" si="4"/>
        <v>#N/A</v>
      </c>
      <c r="AC36" s="1306"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6"/>
      <c r="M37" s="1739"/>
      <c r="N37" s="1739"/>
      <c r="O37" s="1745"/>
      <c r="P37" s="3679"/>
      <c r="Q37" s="1303" t="str">
        <f t="shared" ref="Q37:Q42" si="13">B37</f>
        <v>宗地形状</v>
      </c>
      <c r="R37" s="1304" t="s">
        <v>5</v>
      </c>
      <c r="S37" s="1305">
        <f t="shared" si="9"/>
        <v>100</v>
      </c>
      <c r="T37" s="1304" t="s">
        <v>5</v>
      </c>
      <c r="U37" s="1305">
        <f t="shared" si="10"/>
        <v>100</v>
      </c>
      <c r="V37" s="1304" t="s">
        <v>5</v>
      </c>
      <c r="W37" s="1305">
        <f t="shared" si="11"/>
        <v>100</v>
      </c>
      <c r="X37" s="1299"/>
      <c r="Y37" s="3679"/>
      <c r="Z37" s="1306" t="str">
        <f t="shared" si="12"/>
        <v>宗地形状</v>
      </c>
      <c r="AA37" s="1306">
        <f t="shared" si="3"/>
        <v>1</v>
      </c>
      <c r="AB37" s="1306">
        <f t="shared" si="4"/>
        <v>1</v>
      </c>
      <c r="AC37" s="1306">
        <f t="shared" si="5"/>
        <v>1</v>
      </c>
    </row>
    <row r="38" spans="1:29" s="1057" customFormat="1" ht="15">
      <c r="A38" s="547"/>
      <c r="B38" s="1551" t="s">
        <v>1774</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40"/>
      <c r="M38" s="1637"/>
      <c r="N38" s="1637"/>
      <c r="O38" s="1741"/>
      <c r="P38" s="3679"/>
      <c r="Q38" s="1303" t="str">
        <f t="shared" si="13"/>
        <v>宗地开发程度</v>
      </c>
      <c r="R38" s="1300" t="s">
        <v>5</v>
      </c>
      <c r="S38" s="1301">
        <f t="shared" si="9"/>
        <v>100</v>
      </c>
      <c r="T38" s="1300" t="s">
        <v>5</v>
      </c>
      <c r="U38" s="1301">
        <f t="shared" si="10"/>
        <v>100</v>
      </c>
      <c r="V38" s="1300" t="s">
        <v>5</v>
      </c>
      <c r="W38" s="1301">
        <f t="shared" si="11"/>
        <v>100</v>
      </c>
      <c r="X38" s="1302"/>
      <c r="Y38" s="3679"/>
      <c r="Z38" s="994" t="str">
        <f t="shared" si="12"/>
        <v>宗地开发程度</v>
      </c>
      <c r="AA38" s="994">
        <f t="shared" si="3"/>
        <v>1</v>
      </c>
      <c r="AB38" s="994">
        <f t="shared" si="4"/>
        <v>1</v>
      </c>
      <c r="AC38" s="994">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6"/>
      <c r="M39" s="1739"/>
      <c r="N39" s="1739"/>
      <c r="O39" s="1745"/>
      <c r="P39" s="3679" t="s">
        <v>549</v>
      </c>
      <c r="Q39" s="1303" t="str">
        <f t="shared" si="13"/>
        <v>工程地质条件</v>
      </c>
      <c r="R39" s="1304" t="s">
        <v>5</v>
      </c>
      <c r="S39" s="1305">
        <f t="shared" si="9"/>
        <v>100</v>
      </c>
      <c r="T39" s="1304" t="s">
        <v>5</v>
      </c>
      <c r="U39" s="1305">
        <f t="shared" si="10"/>
        <v>100</v>
      </c>
      <c r="V39" s="1304" t="s">
        <v>5</v>
      </c>
      <c r="W39" s="1305">
        <f t="shared" si="11"/>
        <v>100</v>
      </c>
      <c r="X39" s="1299"/>
      <c r="Y39" s="3679" t="s">
        <v>549</v>
      </c>
      <c r="Z39" s="1306" t="str">
        <f t="shared" si="12"/>
        <v>工程地质条件</v>
      </c>
      <c r="AA39" s="1306">
        <f t="shared" si="3"/>
        <v>1</v>
      </c>
      <c r="AB39" s="1306">
        <f t="shared" si="4"/>
        <v>1</v>
      </c>
      <c r="AC39" s="1306">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6"/>
      <c r="M40" s="1739"/>
      <c r="N40" s="1739"/>
      <c r="O40" s="1745"/>
      <c r="P40" s="3679"/>
      <c r="Q40" s="1303">
        <f t="shared" si="13"/>
        <v>111</v>
      </c>
      <c r="R40" s="1304" t="s">
        <v>5</v>
      </c>
      <c r="S40" s="1305">
        <f t="shared" si="9"/>
        <v>100</v>
      </c>
      <c r="T40" s="1304" t="s">
        <v>5</v>
      </c>
      <c r="U40" s="1305">
        <f t="shared" si="10"/>
        <v>100</v>
      </c>
      <c r="V40" s="1304" t="s">
        <v>5</v>
      </c>
      <c r="W40" s="1305">
        <f t="shared" si="11"/>
        <v>100</v>
      </c>
      <c r="X40" s="1299"/>
      <c r="Y40" s="3679"/>
      <c r="Z40" s="1306">
        <f t="shared" si="12"/>
        <v>111</v>
      </c>
      <c r="AA40" s="1306">
        <f t="shared" si="3"/>
        <v>1</v>
      </c>
      <c r="AB40" s="1306">
        <f t="shared" si="4"/>
        <v>1</v>
      </c>
      <c r="AC40" s="1306">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6"/>
      <c r="M41" s="1739"/>
      <c r="N41" s="1739"/>
      <c r="O41" s="1745"/>
      <c r="P41" s="3679"/>
      <c r="Q41" s="1303">
        <f t="shared" si="13"/>
        <v>111</v>
      </c>
      <c r="R41" s="1304" t="s">
        <v>5</v>
      </c>
      <c r="S41" s="1305">
        <f t="shared" si="9"/>
        <v>100</v>
      </c>
      <c r="T41" s="1304" t="s">
        <v>5</v>
      </c>
      <c r="U41" s="1305">
        <f t="shared" si="10"/>
        <v>100</v>
      </c>
      <c r="V41" s="1304" t="s">
        <v>5</v>
      </c>
      <c r="W41" s="1305">
        <f t="shared" si="11"/>
        <v>100</v>
      </c>
      <c r="X41" s="1299"/>
      <c r="Y41" s="3679"/>
      <c r="Z41" s="1306">
        <f t="shared" si="12"/>
        <v>111</v>
      </c>
      <c r="AA41" s="1306">
        <f t="shared" si="3"/>
        <v>1</v>
      </c>
      <c r="AB41" s="1306">
        <f t="shared" si="4"/>
        <v>1</v>
      </c>
      <c r="AC41" s="1306">
        <f t="shared" si="5"/>
        <v>1</v>
      </c>
    </row>
    <row r="42" spans="1:29" s="1131"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4"/>
      <c r="M42" s="1768"/>
      <c r="N42" s="1768"/>
      <c r="O42" s="1747"/>
      <c r="P42" s="3679"/>
      <c r="Q42" s="1303">
        <f t="shared" si="13"/>
        <v>111</v>
      </c>
      <c r="R42" s="1307" t="s">
        <v>5</v>
      </c>
      <c r="S42" s="1308">
        <f t="shared" si="9"/>
        <v>100</v>
      </c>
      <c r="T42" s="1307" t="s">
        <v>5</v>
      </c>
      <c r="U42" s="1308">
        <f t="shared" si="10"/>
        <v>100</v>
      </c>
      <c r="V42" s="1307" t="s">
        <v>5</v>
      </c>
      <c r="W42" s="1308">
        <f t="shared" si="11"/>
        <v>100</v>
      </c>
      <c r="X42" s="1309"/>
      <c r="Y42" s="3679"/>
      <c r="Z42" s="1310">
        <f t="shared" si="12"/>
        <v>111</v>
      </c>
      <c r="AA42" s="1306">
        <f t="shared" si="3"/>
        <v>1</v>
      </c>
      <c r="AB42" s="1306">
        <f t="shared" si="4"/>
        <v>1</v>
      </c>
      <c r="AC42" s="1306">
        <f t="shared" si="5"/>
        <v>1</v>
      </c>
    </row>
    <row r="43" spans="1:29" ht="15">
      <c r="A43" s="554" t="s">
        <v>505</v>
      </c>
      <c r="B43" s="555" t="s">
        <v>2190</v>
      </c>
      <c r="C43" s="556" t="s">
        <v>0</v>
      </c>
      <c r="D43" s="557"/>
      <c r="E43" s="558"/>
      <c r="F43" s="559"/>
      <c r="G43" s="560"/>
      <c r="H43" s="561"/>
      <c r="I43" s="558"/>
      <c r="J43" s="561"/>
      <c r="K43" s="1132"/>
      <c r="L43" s="1748"/>
      <c r="M43" s="1739"/>
      <c r="N43" s="1739"/>
      <c r="O43" s="1739"/>
      <c r="P43" s="3642" t="str">
        <f>A43</f>
        <v>成交单价</v>
      </c>
      <c r="Q43" s="3642"/>
      <c r="R43" s="3643">
        <f>E43</f>
        <v>0</v>
      </c>
      <c r="S43" s="3643"/>
      <c r="T43" s="3643">
        <f>G43</f>
        <v>0</v>
      </c>
      <c r="U43" s="3643"/>
      <c r="V43" s="3643">
        <f>I43</f>
        <v>0</v>
      </c>
      <c r="W43" s="3643"/>
      <c r="X43" s="797"/>
      <c r="Y43" s="1311"/>
      <c r="Z43" s="797"/>
      <c r="AA43" s="797"/>
      <c r="AB43" s="797"/>
      <c r="AC43" s="797"/>
    </row>
    <row r="44" spans="1:29" ht="15.75" thickBot="1">
      <c r="A44" s="562" t="s">
        <v>1973</v>
      </c>
      <c r="B44" s="563"/>
      <c r="C44" s="564" t="e">
        <f>R45</f>
        <v>#DIV/0!</v>
      </c>
      <c r="D44" s="2546" t="s">
        <v>2254</v>
      </c>
      <c r="E44" s="564" t="e">
        <f>R44</f>
        <v>#DIV/0!</v>
      </c>
      <c r="F44" s="2547"/>
      <c r="G44" s="565" t="e">
        <f>T44</f>
        <v>#DIV/0!</v>
      </c>
      <c r="H44" s="2547"/>
      <c r="I44" s="564" t="e">
        <f>V44</f>
        <v>#DIV/0!</v>
      </c>
      <c r="J44" s="2547"/>
      <c r="K44" s="2548">
        <f>F44+H44+J44</f>
        <v>0</v>
      </c>
      <c r="L44" s="1748"/>
      <c r="M44" s="1739"/>
      <c r="N44" s="1739"/>
      <c r="O44" s="1739"/>
      <c r="P44" s="3642" t="str">
        <f>A44</f>
        <v>比较价格（元/平方米）</v>
      </c>
      <c r="Q44" s="3642"/>
      <c r="R44" s="3644" t="e">
        <f>ROUND(PRODUCT(R43,AA9:AA42),0)</f>
        <v>#DIV/0!</v>
      </c>
      <c r="S44" s="3644"/>
      <c r="T44" s="3644" t="e">
        <f>ROUND(PRODUCT(T43,AB9:AB42),0)</f>
        <v>#DIV/0!</v>
      </c>
      <c r="U44" s="3644"/>
      <c r="V44" s="3644" t="e">
        <f>ROUND(PRODUCT(V43,AC9:AC42),0)</f>
        <v>#DIV/0!</v>
      </c>
      <c r="W44" s="3644"/>
      <c r="X44" s="797"/>
      <c r="Y44" s="797"/>
      <c r="Z44" s="797"/>
      <c r="AA44" s="797"/>
      <c r="AB44" s="797"/>
      <c r="AC44" s="797"/>
    </row>
    <row r="45" spans="1:29" ht="15.75" thickBot="1">
      <c r="A45" s="566" t="s">
        <v>2191</v>
      </c>
      <c r="B45" s="567"/>
      <c r="C45" s="568" t="e">
        <f>R45</f>
        <v>#DIV/0!</v>
      </c>
      <c r="D45" s="568"/>
      <c r="E45" s="568"/>
      <c r="F45" s="568"/>
      <c r="G45" s="568"/>
      <c r="H45" s="568"/>
      <c r="I45" s="568"/>
      <c r="J45" s="568"/>
      <c r="K45" s="1133"/>
      <c r="L45" s="1748"/>
      <c r="M45" s="1739"/>
      <c r="N45" s="1739"/>
      <c r="O45" s="1739"/>
      <c r="P45" s="3680" t="str">
        <f>A45</f>
        <v>估价对象XX用房的比较价格（楼面单价，元/平方米）</v>
      </c>
      <c r="Q45" s="3681"/>
      <c r="R45" s="3696" t="e">
        <f>ROUND(IF(D44="简单平均",AVERAGE(R44:W44),R44*F44+T44*H44+V44*J44),0)</f>
        <v>#DIV/0!</v>
      </c>
      <c r="S45" s="3696"/>
      <c r="T45" s="3696"/>
      <c r="U45" s="3696"/>
      <c r="V45" s="3696"/>
      <c r="W45" s="3696"/>
      <c r="X45" s="797"/>
      <c r="Y45" s="797"/>
      <c r="Z45" s="797"/>
      <c r="AA45" s="797"/>
      <c r="AB45" s="797"/>
      <c r="AC45" s="797"/>
    </row>
    <row r="46" spans="1:29">
      <c r="A46" s="2715"/>
      <c r="B46" s="2715"/>
      <c r="C46" s="2715"/>
      <c r="D46" s="2715"/>
      <c r="E46" s="2715"/>
      <c r="F46" s="2715"/>
      <c r="G46" s="2717"/>
      <c r="H46" s="2715"/>
      <c r="I46" s="2715"/>
      <c r="J46" s="2715"/>
      <c r="K46" s="2718"/>
      <c r="L46" s="1752"/>
      <c r="M46" s="1739"/>
      <c r="N46" s="1739"/>
      <c r="O46" s="1739"/>
      <c r="P46" s="1739"/>
      <c r="Q46" s="1739"/>
      <c r="R46" s="1739"/>
      <c r="S46" s="1739"/>
      <c r="T46" s="1739"/>
      <c r="U46" s="1739"/>
      <c r="V46" s="1739"/>
      <c r="W46" s="1739"/>
      <c r="X46" s="1739"/>
      <c r="Y46" s="1739"/>
      <c r="Z46" s="1739"/>
      <c r="AA46" s="1739"/>
      <c r="AB46" s="1739"/>
      <c r="AC46" s="1739"/>
    </row>
    <row r="47" spans="1:29">
      <c r="A47" s="2715"/>
      <c r="B47" s="2715"/>
      <c r="C47" s="2715"/>
      <c r="D47" s="2715"/>
      <c r="E47" s="2715"/>
      <c r="F47" s="2715"/>
      <c r="G47" s="2715"/>
      <c r="H47" s="2715"/>
      <c r="I47" s="2715"/>
      <c r="J47" s="2715"/>
      <c r="K47" s="2718"/>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5"/>
      <c r="B48" s="2715"/>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8"/>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5"/>
      <c r="B49" s="2715"/>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8"/>
      <c r="L49" s="1752"/>
      <c r="M49" s="1739"/>
      <c r="N49" s="1739"/>
      <c r="O49" s="1739"/>
      <c r="P49" s="1739"/>
      <c r="Q49" s="1739"/>
      <c r="R49" s="1739"/>
      <c r="S49" s="1739"/>
      <c r="T49" s="1739"/>
      <c r="U49" s="1739"/>
      <c r="V49" s="1739"/>
      <c r="W49" s="1739"/>
      <c r="X49" s="1739"/>
      <c r="Y49" s="1739"/>
      <c r="Z49" s="1739"/>
      <c r="AA49" s="1739"/>
      <c r="AB49" s="1739"/>
      <c r="AC49" s="1739"/>
    </row>
    <row r="50" spans="1:29" s="1136" customFormat="1" ht="13.5" customHeight="1">
      <c r="A50" s="2716"/>
      <c r="B50" s="2716"/>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9"/>
      <c r="L50" s="1755"/>
      <c r="M50" s="1749"/>
      <c r="N50" s="1749"/>
      <c r="O50" s="1749"/>
      <c r="P50" s="1749"/>
      <c r="Q50" s="1749"/>
      <c r="R50" s="1749"/>
      <c r="S50" s="1749"/>
      <c r="T50" s="1749"/>
      <c r="U50" s="1749"/>
      <c r="V50" s="1749"/>
      <c r="W50" s="1749"/>
      <c r="X50" s="1749"/>
      <c r="Y50" s="1749"/>
      <c r="Z50" s="1749"/>
      <c r="AA50" s="1749"/>
      <c r="AB50" s="1749"/>
      <c r="AC50" s="1749"/>
    </row>
    <row r="51" spans="1:29" s="1136" customFormat="1" ht="15" thickBot="1">
      <c r="A51" s="2716"/>
      <c r="B51" s="2727"/>
      <c r="C51" s="1753"/>
      <c r="D51" s="1749"/>
      <c r="E51" s="1749"/>
      <c r="F51" s="1749"/>
      <c r="G51" s="1749"/>
      <c r="H51" s="1749"/>
      <c r="I51" s="1749"/>
      <c r="J51" s="1749"/>
      <c r="K51" s="2719"/>
      <c r="L51" s="1755"/>
      <c r="M51" s="1749"/>
      <c r="N51" s="1749"/>
      <c r="O51" s="1749"/>
      <c r="P51" s="1749"/>
      <c r="Q51" s="1749"/>
      <c r="R51" s="1749"/>
      <c r="S51" s="1749"/>
      <c r="T51" s="1749"/>
      <c r="U51" s="1749"/>
      <c r="V51" s="1749"/>
      <c r="W51" s="1749"/>
      <c r="X51" s="1749"/>
      <c r="Y51" s="1749"/>
      <c r="Z51" s="1749"/>
      <c r="AA51" s="1749"/>
      <c r="AB51" s="1749"/>
      <c r="AC51" s="1749"/>
    </row>
    <row r="52" spans="1:29" ht="27">
      <c r="A52" s="574" t="s">
        <v>509</v>
      </c>
      <c r="B52" s="575" t="s">
        <v>510</v>
      </c>
      <c r="C52" s="1297" t="s">
        <v>1253</v>
      </c>
      <c r="D52" s="1818" t="s">
        <v>1648</v>
      </c>
      <c r="E52" s="576" t="s">
        <v>511</v>
      </c>
      <c r="F52" s="1607" t="s">
        <v>512</v>
      </c>
      <c r="G52" s="3692" t="s">
        <v>1640</v>
      </c>
      <c r="H52" s="3693"/>
      <c r="I52" s="1608" t="s">
        <v>1465</v>
      </c>
      <c r="J52" s="1294">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7" customFormat="1" ht="12.75">
      <c r="A53" s="578" t="s">
        <v>513</v>
      </c>
      <c r="B53" s="579" t="e">
        <f>C45</f>
        <v>#DIV/0!</v>
      </c>
      <c r="C53" s="580">
        <v>1</v>
      </c>
      <c r="D53" s="1819">
        <v>1</v>
      </c>
      <c r="E53" s="580">
        <f>'数据-汇总表'!E8+'数据-汇总表'!E9</f>
        <v>42645.099999999991</v>
      </c>
      <c r="F53" s="1606" t="e">
        <f t="shared" ref="F53:F61" si="14">ROUND(B53*E53/10000,0)</f>
        <v>#DIV/0!</v>
      </c>
      <c r="G53" s="3694"/>
      <c r="H53" s="3695"/>
      <c r="I53" s="1609">
        <v>1</v>
      </c>
      <c r="J53" s="1295">
        <v>1</v>
      </c>
      <c r="K53" s="2720"/>
      <c r="L53" s="1757"/>
      <c r="M53" s="1757"/>
      <c r="N53" s="1757"/>
      <c r="O53" s="1757"/>
      <c r="P53" s="1757"/>
      <c r="Q53" s="1757"/>
      <c r="R53" s="1757"/>
      <c r="S53" s="1757"/>
      <c r="T53" s="1757"/>
      <c r="U53" s="1757"/>
      <c r="V53" s="1757"/>
      <c r="W53" s="1757"/>
      <c r="X53" s="1757"/>
      <c r="Y53" s="1757"/>
      <c r="Z53" s="1757"/>
      <c r="AA53" s="1757"/>
      <c r="AB53" s="1757"/>
      <c r="AC53" s="1757"/>
    </row>
    <row r="54" spans="1:29" s="1137" customFormat="1" ht="12.75">
      <c r="A54" s="582" t="s">
        <v>514</v>
      </c>
      <c r="B54" s="583" t="e">
        <f>ROUND($C$45*C54*D54,0)</f>
        <v>#DIV/0!</v>
      </c>
      <c r="C54" s="346">
        <f t="shared" ref="C54:C61" si="15">IF($C$52="北京市系数",I54,J54)</f>
        <v>0.5</v>
      </c>
      <c r="D54" s="1820">
        <v>0.25</v>
      </c>
      <c r="E54" s="584"/>
      <c r="F54" s="1606" t="e">
        <f t="shared" si="14"/>
        <v>#DIV/0!</v>
      </c>
      <c r="G54" s="3023" t="s">
        <v>1641</v>
      </c>
      <c r="H54" s="1610" t="str">
        <f>项目基本情况!B43</f>
        <v>九级</v>
      </c>
      <c r="I54" s="1609">
        <f>SUMIF(修正!$A$57:$A$68,H54,修正!B57:B68)</f>
        <v>0.5</v>
      </c>
      <c r="J54" s="1296"/>
      <c r="K54" s="2720"/>
      <c r="L54" s="1757"/>
      <c r="M54" s="1757"/>
      <c r="N54" s="1757"/>
      <c r="O54" s="1757"/>
      <c r="P54" s="1757"/>
      <c r="Q54" s="1757"/>
      <c r="R54" s="1757"/>
      <c r="S54" s="1757"/>
      <c r="T54" s="1757"/>
      <c r="U54" s="1757"/>
      <c r="V54" s="1757"/>
      <c r="W54" s="1757"/>
      <c r="X54" s="1757"/>
      <c r="Y54" s="1757"/>
      <c r="Z54" s="1757"/>
      <c r="AA54" s="1757"/>
      <c r="AB54" s="1757"/>
      <c r="AC54" s="1757"/>
    </row>
    <row r="55" spans="1:29" s="1137" customFormat="1" ht="12.75">
      <c r="A55" s="582" t="s">
        <v>515</v>
      </c>
      <c r="B55" s="583" t="e">
        <f t="shared" ref="B55:B61" si="16">ROUND($C$45*C55*D55,0)</f>
        <v>#DIV/0!</v>
      </c>
      <c r="C55" s="346">
        <f t="shared" si="15"/>
        <v>0.2</v>
      </c>
      <c r="D55" s="1820">
        <v>0.25</v>
      </c>
      <c r="E55" s="584"/>
      <c r="F55" s="1606" t="e">
        <f t="shared" si="14"/>
        <v>#DIV/0!</v>
      </c>
      <c r="G55" s="3024"/>
      <c r="H55" s="1611" t="str">
        <f>项目基本情况!B43</f>
        <v>九级</v>
      </c>
      <c r="I55" s="1609">
        <f>SUMIF(修正!$A$57:$A$68,H55,修正!C57:C68)</f>
        <v>0.2</v>
      </c>
      <c r="J55" s="1296"/>
      <c r="K55" s="2720"/>
      <c r="L55" s="1757"/>
      <c r="M55" s="1757"/>
      <c r="N55" s="1757"/>
      <c r="O55" s="1757"/>
      <c r="P55" s="1757"/>
      <c r="Q55" s="1757"/>
      <c r="R55" s="1757"/>
      <c r="S55" s="1757"/>
      <c r="T55" s="1757"/>
      <c r="U55" s="1757"/>
      <c r="V55" s="1757"/>
      <c r="W55" s="1757"/>
      <c r="X55" s="1757"/>
      <c r="Y55" s="1757"/>
      <c r="Z55" s="1757"/>
      <c r="AA55" s="1757"/>
      <c r="AB55" s="1757"/>
      <c r="AC55" s="1757"/>
    </row>
    <row r="56" spans="1:29" s="1137" customFormat="1" ht="12.75">
      <c r="A56" s="582" t="s">
        <v>516</v>
      </c>
      <c r="B56" s="583" t="e">
        <f t="shared" si="16"/>
        <v>#DIV/0!</v>
      </c>
      <c r="C56" s="346">
        <f t="shared" si="15"/>
        <v>0.2</v>
      </c>
      <c r="D56" s="1820">
        <v>0.25</v>
      </c>
      <c r="E56" s="584"/>
      <c r="F56" s="1606" t="e">
        <f t="shared" si="14"/>
        <v>#DIV/0!</v>
      </c>
      <c r="G56" s="3024"/>
      <c r="H56" s="1611" t="str">
        <f>项目基本情况!B43</f>
        <v>九级</v>
      </c>
      <c r="I56" s="1609">
        <f>SUMIF(修正!$A$57:$A$68,H56,修正!D57:D68)</f>
        <v>0.2</v>
      </c>
      <c r="J56" s="1296"/>
      <c r="K56" s="2720"/>
      <c r="L56" s="1757"/>
      <c r="M56" s="1757"/>
      <c r="N56" s="1757"/>
      <c r="O56" s="1757"/>
      <c r="P56" s="1757"/>
      <c r="Q56" s="1757"/>
      <c r="R56" s="1757"/>
      <c r="S56" s="1757"/>
      <c r="T56" s="1757"/>
      <c r="U56" s="1757"/>
      <c r="V56" s="1757"/>
      <c r="W56" s="1757"/>
      <c r="X56" s="1757"/>
      <c r="Y56" s="1757"/>
      <c r="Z56" s="1757"/>
      <c r="AA56" s="1757"/>
      <c r="AB56" s="1757"/>
      <c r="AC56" s="1757"/>
    </row>
    <row r="57" spans="1:29" s="1137" customFormat="1" ht="12.75">
      <c r="A57" s="1916" t="s">
        <v>1683</v>
      </c>
      <c r="B57" s="583" t="e">
        <f t="shared" si="16"/>
        <v>#DIV/0!</v>
      </c>
      <c r="C57" s="346">
        <f t="shared" si="15"/>
        <v>0.2</v>
      </c>
      <c r="D57" s="1820">
        <v>0.25</v>
      </c>
      <c r="E57" s="586">
        <f>'数据-汇总表'!E11</f>
        <v>50.08</v>
      </c>
      <c r="F57" s="1606" t="e">
        <f t="shared" si="14"/>
        <v>#DIV/0!</v>
      </c>
      <c r="G57" s="1612" t="s">
        <v>1642</v>
      </c>
      <c r="H57" s="1611" t="str">
        <f>项目基本情况!C43</f>
        <v>九级</v>
      </c>
      <c r="I57" s="1609">
        <f>SUMIF(修正!$A$57:$A$68,H57,修正!E57:E68)</f>
        <v>0.2</v>
      </c>
      <c r="J57" s="1296"/>
      <c r="K57" s="2720"/>
      <c r="L57" s="1757"/>
      <c r="M57" s="1757"/>
      <c r="N57" s="1757"/>
      <c r="O57" s="1757"/>
      <c r="P57" s="1757"/>
      <c r="Q57" s="1757"/>
      <c r="R57" s="1757"/>
      <c r="S57" s="1757"/>
      <c r="T57" s="1757"/>
      <c r="U57" s="1757"/>
      <c r="V57" s="1757"/>
      <c r="W57" s="1757"/>
      <c r="X57" s="1757"/>
      <c r="Y57" s="1757"/>
      <c r="Z57" s="1757"/>
      <c r="AA57" s="1757"/>
      <c r="AB57" s="1757"/>
      <c r="AC57" s="1757"/>
    </row>
    <row r="58" spans="1:29" s="1137" customFormat="1" ht="12.75">
      <c r="A58" s="582" t="s">
        <v>517</v>
      </c>
      <c r="B58" s="583" t="e">
        <f t="shared" si="16"/>
        <v>#DIV/0!</v>
      </c>
      <c r="C58" s="346">
        <f t="shared" si="15"/>
        <v>0.2</v>
      </c>
      <c r="D58" s="1820">
        <v>0.25</v>
      </c>
      <c r="E58" s="586">
        <f>'数据-汇总表'!E12</f>
        <v>0</v>
      </c>
      <c r="F58" s="1606" t="e">
        <f t="shared" si="14"/>
        <v>#DIV/0!</v>
      </c>
      <c r="G58" s="1602" t="s">
        <v>1212</v>
      </c>
      <c r="H58" s="1610" t="str">
        <f>IF(G58="商业",项目基本情况!B43,IF(G58="办公",项目基本情况!C43,IF(G58="住宅",项目基本情况!D43,项目基本情况!E43)))</f>
        <v>九级</v>
      </c>
      <c r="I58" s="1609">
        <f>SUMIF(修正!$A$57:$A$68,H58,修正!F57:F68)</f>
        <v>0.2</v>
      </c>
      <c r="J58" s="1296"/>
      <c r="K58" s="2720"/>
      <c r="L58" s="1757"/>
      <c r="M58" s="1757"/>
      <c r="N58" s="1757"/>
      <c r="O58" s="1757"/>
      <c r="P58" s="1757"/>
      <c r="Q58" s="1757"/>
      <c r="R58" s="1757"/>
      <c r="S58" s="1757"/>
      <c r="T58" s="1757"/>
      <c r="U58" s="1757"/>
      <c r="V58" s="1757"/>
      <c r="W58" s="1757"/>
      <c r="X58" s="1757"/>
      <c r="Y58" s="1757"/>
      <c r="Z58" s="1757"/>
      <c r="AA58" s="1757"/>
      <c r="AB58" s="1757"/>
      <c r="AC58" s="1757"/>
    </row>
    <row r="59" spans="1:29" s="1137" customFormat="1" ht="12.75">
      <c r="A59" s="582" t="s">
        <v>518</v>
      </c>
      <c r="B59" s="583" t="e">
        <f t="shared" si="16"/>
        <v>#DIV/0!</v>
      </c>
      <c r="C59" s="346">
        <f t="shared" si="15"/>
        <v>0.1</v>
      </c>
      <c r="D59" s="1820">
        <v>0.25</v>
      </c>
      <c r="E59" s="586">
        <f>'数据-汇总表'!E13</f>
        <v>11328.62</v>
      </c>
      <c r="F59" s="1606" t="e">
        <f t="shared" si="14"/>
        <v>#DIV/0!</v>
      </c>
      <c r="G59" s="1602" t="s">
        <v>851</v>
      </c>
      <c r="H59" s="1610" t="str">
        <f>IF(G59="商业",项目基本情况!B43,IF(G59="办公",项目基本情况!C43,IF(G59="住宅",项目基本情况!D43,项目基本情况!E43)))</f>
        <v>九级</v>
      </c>
      <c r="I59" s="1609">
        <f>SUMIF(修正!$A$57:$A$68,H59,修正!G57:G68)</f>
        <v>0.1</v>
      </c>
      <c r="J59" s="1296"/>
      <c r="K59" s="2720"/>
      <c r="L59" s="1757"/>
      <c r="M59" s="1757"/>
      <c r="N59" s="1757"/>
      <c r="O59" s="1757"/>
      <c r="P59" s="1757"/>
      <c r="Q59" s="1757"/>
      <c r="R59" s="1757"/>
      <c r="S59" s="1757"/>
      <c r="T59" s="1757"/>
      <c r="U59" s="1757"/>
      <c r="V59" s="1757"/>
      <c r="W59" s="1757"/>
      <c r="X59" s="1757"/>
      <c r="Y59" s="1757"/>
      <c r="Z59" s="1757"/>
      <c r="AA59" s="1757"/>
      <c r="AB59" s="1757"/>
      <c r="AC59" s="1757"/>
    </row>
    <row r="60" spans="1:29" s="1137" customFormat="1" ht="12.75">
      <c r="A60" s="582" t="s">
        <v>519</v>
      </c>
      <c r="B60" s="583" t="e">
        <f t="shared" si="16"/>
        <v>#DIV/0!</v>
      </c>
      <c r="C60" s="346">
        <f t="shared" si="15"/>
        <v>0.1</v>
      </c>
      <c r="D60" s="1820">
        <v>0.25</v>
      </c>
      <c r="E60" s="586">
        <f>'数据-汇总表'!E14</f>
        <v>0</v>
      </c>
      <c r="F60" s="1606" t="e">
        <f t="shared" si="14"/>
        <v>#DIV/0!</v>
      </c>
      <c r="G60" s="1612" t="s">
        <v>1641</v>
      </c>
      <c r="H60" s="1611" t="str">
        <f>项目基本情况!B43</f>
        <v>九级</v>
      </c>
      <c r="I60" s="1609">
        <f>SUMIF(修正!$A$57:$A$68,H60,修正!G57:G68)</f>
        <v>0.1</v>
      </c>
      <c r="J60" s="1296"/>
      <c r="K60" s="2720"/>
      <c r="L60" s="1757"/>
      <c r="M60" s="1757"/>
      <c r="N60" s="1757"/>
      <c r="O60" s="1757"/>
      <c r="P60" s="1757"/>
      <c r="Q60" s="1757"/>
      <c r="R60" s="1757"/>
      <c r="S60" s="1757"/>
      <c r="T60" s="1757"/>
      <c r="U60" s="1757"/>
      <c r="V60" s="1757"/>
      <c r="W60" s="1757"/>
      <c r="X60" s="1757"/>
      <c r="Y60" s="1757"/>
      <c r="Z60" s="1757"/>
      <c r="AA60" s="1757"/>
      <c r="AB60" s="1757"/>
      <c r="AC60" s="1757"/>
    </row>
    <row r="61" spans="1:29" s="1137" customFormat="1" ht="13.5" thickBot="1">
      <c r="A61" s="582" t="s">
        <v>520</v>
      </c>
      <c r="B61" s="583" t="e">
        <f t="shared" si="16"/>
        <v>#DIV/0!</v>
      </c>
      <c r="C61" s="346">
        <f t="shared" si="15"/>
        <v>0.1</v>
      </c>
      <c r="D61" s="1820">
        <v>0.25</v>
      </c>
      <c r="E61" s="586">
        <f>'数据-汇总表'!E15</f>
        <v>0</v>
      </c>
      <c r="F61" s="1606" t="e">
        <f t="shared" si="14"/>
        <v>#DIV/0!</v>
      </c>
      <c r="G61" s="1613" t="s">
        <v>1642</v>
      </c>
      <c r="H61" s="1614" t="str">
        <f>项目基本情况!C43</f>
        <v>九级</v>
      </c>
      <c r="I61" s="1609">
        <f>SUMIF(修正!$A$57:$A$68,H61,修正!G57:G68)</f>
        <v>0.1</v>
      </c>
      <c r="J61" s="1296"/>
      <c r="K61" s="2720"/>
      <c r="L61" s="1757"/>
      <c r="M61" s="1757"/>
      <c r="N61" s="1757"/>
      <c r="O61" s="1757"/>
      <c r="P61" s="1757"/>
      <c r="Q61" s="1757"/>
      <c r="R61" s="1757"/>
      <c r="S61" s="1757"/>
      <c r="T61" s="1757"/>
      <c r="U61" s="1757"/>
      <c r="V61" s="1757"/>
      <c r="W61" s="1757"/>
      <c r="X61" s="1757"/>
      <c r="Y61" s="1757"/>
      <c r="Z61" s="1757"/>
      <c r="AA61" s="1757"/>
      <c r="AB61" s="1757"/>
      <c r="AC61" s="1757"/>
    </row>
    <row r="62" spans="1:29" s="1137" customFormat="1" ht="13.5" thickBot="1">
      <c r="A62" s="587" t="s">
        <v>521</v>
      </c>
      <c r="B62" s="588" t="s">
        <v>11</v>
      </c>
      <c r="C62" s="588" t="s">
        <v>12</v>
      </c>
      <c r="D62" s="588" t="s">
        <v>1649</v>
      </c>
      <c r="E62" s="588">
        <f>IF(B43="楼面地价",SUM(E53:E61),'数据-汇总表'!D3)</f>
        <v>19518.45</v>
      </c>
      <c r="F62" s="589" t="e">
        <f>IF(B43="楼面地价",SUM(F53:F61),ROUND(C45*E62/10000,0))</f>
        <v>#DIV/0!</v>
      </c>
      <c r="G62" s="1758"/>
      <c r="H62" s="1758"/>
      <c r="I62" s="1758"/>
      <c r="J62" s="1758"/>
      <c r="K62" s="2728"/>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2024-11-1</v>
      </c>
      <c r="D64" s="2108">
        <f>EDATE(C64,-3)</f>
        <v>45505</v>
      </c>
      <c r="E64" s="2108">
        <f t="shared" ref="E64:N64" si="17">EDATE(D64,-3)</f>
        <v>45413</v>
      </c>
      <c r="F64" s="2108">
        <f t="shared" si="17"/>
        <v>45323</v>
      </c>
      <c r="G64" s="2108">
        <f t="shared" si="17"/>
        <v>45231</v>
      </c>
      <c r="H64" s="2108">
        <f t="shared" si="17"/>
        <v>45139</v>
      </c>
      <c r="I64" s="2108">
        <f t="shared" si="17"/>
        <v>45047</v>
      </c>
      <c r="J64" s="2108">
        <f t="shared" si="17"/>
        <v>44958</v>
      </c>
      <c r="K64" s="2108">
        <f t="shared" si="17"/>
        <v>44866</v>
      </c>
      <c r="L64" s="2108">
        <f t="shared" si="17"/>
        <v>44774</v>
      </c>
      <c r="M64" s="2108">
        <f t="shared" si="17"/>
        <v>44682</v>
      </c>
      <c r="N64" s="2108">
        <f t="shared" si="17"/>
        <v>44593</v>
      </c>
      <c r="O64" s="1739"/>
      <c r="P64" s="1739"/>
      <c r="Q64" s="1739"/>
      <c r="R64" s="1739"/>
      <c r="S64" s="1739"/>
      <c r="T64" s="1739"/>
      <c r="U64" s="1739"/>
      <c r="V64" s="1739"/>
      <c r="W64" s="1739"/>
      <c r="X64" s="1739"/>
      <c r="Y64" s="1739"/>
      <c r="Z64" s="1739"/>
      <c r="AA64" s="1739"/>
      <c r="AB64" s="1739"/>
      <c r="AC64" s="1739"/>
    </row>
    <row r="65" spans="1:29" ht="21.75" thickBot="1">
      <c r="A65" s="1314" t="s">
        <v>522</v>
      </c>
      <c r="B65" s="797"/>
      <c r="C65" s="1313"/>
      <c r="D65" s="1313"/>
      <c r="E65" s="1313"/>
      <c r="F65" s="1315"/>
      <c r="G65" s="1315"/>
      <c r="H65" s="1313"/>
      <c r="I65" s="1313"/>
      <c r="J65" s="1313"/>
      <c r="K65" s="1316"/>
      <c r="L65" s="1312"/>
      <c r="M65" s="1313"/>
      <c r="N65" s="1313"/>
      <c r="O65" s="1759"/>
      <c r="P65" s="1759"/>
      <c r="Q65" s="1760"/>
      <c r="R65" s="1739"/>
      <c r="S65" s="1739"/>
      <c r="T65" s="1739"/>
      <c r="U65" s="1739"/>
      <c r="V65" s="1739"/>
      <c r="W65" s="1739"/>
      <c r="X65" s="1739"/>
      <c r="Y65" s="1739"/>
      <c r="Z65" s="1739"/>
      <c r="AA65" s="1739"/>
      <c r="AB65" s="1739"/>
      <c r="AC65" s="1739"/>
    </row>
    <row r="66" spans="1:29" s="1138" customFormat="1" ht="15">
      <c r="A66" s="2039" t="s">
        <v>1814</v>
      </c>
      <c r="B66" s="591"/>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1"/>
      <c r="P66" s="1762"/>
      <c r="Q66" s="1762"/>
      <c r="R66" s="1762"/>
      <c r="S66" s="1762"/>
      <c r="T66" s="1762"/>
      <c r="U66" s="1762"/>
      <c r="V66" s="1762"/>
      <c r="W66" s="1762"/>
      <c r="X66" s="1762"/>
      <c r="Y66" s="1762"/>
      <c r="Z66" s="1762"/>
      <c r="AA66" s="1762"/>
      <c r="AB66" s="1762"/>
      <c r="AC66" s="1762"/>
    </row>
    <row r="67" spans="1:29" s="1057" customFormat="1" ht="27.75" customHeight="1">
      <c r="A67" s="2107" t="s">
        <v>1929</v>
      </c>
      <c r="B67" s="446" t="str">
        <f>"北京市平均增长率"&amp;TEXT(基准地价!P28,"0.00%")</f>
        <v>北京市平均增长率0.00%</v>
      </c>
      <c r="C67" s="815">
        <v>100</v>
      </c>
      <c r="D67" s="79"/>
      <c r="E67" s="79"/>
      <c r="F67" s="79"/>
      <c r="G67" s="79"/>
      <c r="H67" s="79"/>
      <c r="I67" s="79"/>
      <c r="J67" s="79"/>
      <c r="K67" s="79"/>
      <c r="L67" s="79"/>
      <c r="M67" s="91"/>
      <c r="N67" s="532"/>
      <c r="O67" s="1763"/>
      <c r="P67" s="1760"/>
      <c r="Q67" s="1637"/>
      <c r="R67" s="1637"/>
      <c r="S67" s="1637"/>
      <c r="T67" s="1637"/>
      <c r="U67" s="1637"/>
      <c r="V67" s="1637"/>
      <c r="W67" s="1637"/>
      <c r="X67" s="1637"/>
      <c r="Y67" s="1637"/>
      <c r="Z67" s="1637"/>
      <c r="AA67" s="1637"/>
      <c r="AB67" s="1637"/>
      <c r="AC67" s="1637"/>
    </row>
    <row r="68" spans="1:29" s="1057" customFormat="1" ht="15.75" thickBot="1">
      <c r="A68" s="260" t="s">
        <v>523</v>
      </c>
      <c r="B68" s="596"/>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7" customFormat="1" ht="15">
      <c r="A69" s="601" t="s">
        <v>480</v>
      </c>
      <c r="B69" s="592"/>
      <c r="C69" s="602" t="s">
        <v>524</v>
      </c>
      <c r="D69" s="80"/>
      <c r="E69" s="80"/>
      <c r="F69" s="80"/>
      <c r="G69" s="80"/>
      <c r="H69" s="80"/>
      <c r="I69" s="80"/>
      <c r="J69" s="80"/>
      <c r="K69" s="80"/>
      <c r="L69" s="603"/>
      <c r="M69" s="604"/>
      <c r="N69" s="2729"/>
      <c r="O69" s="1763"/>
      <c r="P69" s="1644"/>
      <c r="Q69" s="1760"/>
      <c r="R69" s="1637"/>
      <c r="S69" s="1637"/>
      <c r="T69" s="1637"/>
      <c r="U69" s="1637"/>
      <c r="V69" s="1637"/>
      <c r="W69" s="1637"/>
      <c r="X69" s="1637"/>
      <c r="Y69" s="1637"/>
      <c r="Z69" s="1637"/>
      <c r="AA69" s="1637"/>
      <c r="AB69" s="1637"/>
      <c r="AC69" s="1637"/>
    </row>
    <row r="70" spans="1:29" s="1057" customFormat="1" ht="15.75" thickBot="1">
      <c r="A70" s="601"/>
      <c r="B70" s="592"/>
      <c r="C70" s="593">
        <v>100</v>
      </c>
      <c r="D70" s="594"/>
      <c r="E70" s="594"/>
      <c r="F70" s="594"/>
      <c r="G70" s="594"/>
      <c r="H70" s="594"/>
      <c r="I70" s="594"/>
      <c r="J70" s="594"/>
      <c r="K70" s="594"/>
      <c r="L70" s="594"/>
      <c r="M70" s="595"/>
      <c r="N70" s="2729"/>
      <c r="O70" s="1763"/>
      <c r="P70" s="1760"/>
      <c r="Q70" s="1760"/>
      <c r="R70" s="1637"/>
      <c r="S70" s="1637"/>
      <c r="T70" s="1637"/>
      <c r="U70" s="1637"/>
      <c r="V70" s="1637"/>
      <c r="W70" s="1637"/>
      <c r="X70" s="1637"/>
      <c r="Y70" s="1637"/>
      <c r="Z70" s="1637"/>
      <c r="AA70" s="1637"/>
      <c r="AB70" s="1637"/>
      <c r="AC70" s="1637"/>
    </row>
    <row r="71" spans="1:29">
      <c r="A71" s="605" t="s">
        <v>525</v>
      </c>
      <c r="B71" s="606" t="s">
        <v>483</v>
      </c>
      <c r="C71" s="545"/>
      <c r="D71" s="545"/>
      <c r="E71" s="545"/>
      <c r="F71" s="545"/>
      <c r="G71" s="545"/>
      <c r="H71" s="545"/>
      <c r="I71" s="545"/>
      <c r="J71" s="545"/>
      <c r="K71" s="607"/>
      <c r="L71" s="608"/>
      <c r="M71" s="609"/>
      <c r="N71" s="2730"/>
      <c r="O71" s="1764"/>
      <c r="P71" s="1763"/>
      <c r="Q71" s="1760"/>
      <c r="R71" s="1739"/>
      <c r="S71" s="1739"/>
      <c r="T71" s="1739"/>
      <c r="U71" s="1739"/>
      <c r="V71" s="1739"/>
      <c r="W71" s="1739"/>
      <c r="X71" s="1739"/>
      <c r="Y71" s="1739"/>
      <c r="Z71" s="1739"/>
      <c r="AA71" s="1739"/>
      <c r="AB71" s="1739"/>
      <c r="AC71" s="1739"/>
    </row>
    <row r="72" spans="1:29" ht="15.75" thickBot="1">
      <c r="A72" s="480"/>
      <c r="B72" s="610"/>
      <c r="C72" s="611"/>
      <c r="D72" s="611"/>
      <c r="E72" s="611"/>
      <c r="F72" s="611"/>
      <c r="G72" s="611"/>
      <c r="H72" s="611"/>
      <c r="I72" s="611"/>
      <c r="J72" s="611"/>
      <c r="K72" s="611"/>
      <c r="L72" s="611"/>
      <c r="M72" s="612"/>
      <c r="N72" s="2731"/>
      <c r="O72" s="1765"/>
      <c r="P72" s="1763"/>
      <c r="Q72" s="1760"/>
      <c r="R72" s="1739"/>
      <c r="S72" s="1739"/>
      <c r="T72" s="1739"/>
      <c r="U72" s="1739"/>
      <c r="V72" s="1739"/>
      <c r="W72" s="1739"/>
      <c r="X72" s="1739"/>
      <c r="Y72" s="1739"/>
      <c r="Z72" s="1739"/>
      <c r="AA72" s="1739"/>
      <c r="AB72" s="1739"/>
      <c r="AC72" s="1739"/>
    </row>
    <row r="73" spans="1:29" ht="27.75" thickTop="1">
      <c r="A73" s="480"/>
      <c r="B73" s="613" t="s">
        <v>486</v>
      </c>
      <c r="C73" s="614"/>
      <c r="D73" s="614"/>
      <c r="E73" s="614"/>
      <c r="F73" s="614"/>
      <c r="G73" s="614"/>
      <c r="H73" s="614"/>
      <c r="I73" s="614"/>
      <c r="J73" s="614"/>
      <c r="K73" s="615"/>
      <c r="L73" s="616"/>
      <c r="M73" s="617"/>
      <c r="N73" s="2730"/>
      <c r="O73" s="1764"/>
      <c r="P73" s="1763"/>
      <c r="Q73" s="1760"/>
      <c r="R73" s="1739"/>
      <c r="S73" s="1739"/>
      <c r="T73" s="1739"/>
      <c r="U73" s="1739"/>
      <c r="V73" s="1739"/>
      <c r="W73" s="1739"/>
      <c r="X73" s="1739"/>
      <c r="Y73" s="1739"/>
      <c r="Z73" s="1739"/>
      <c r="AA73" s="1739"/>
      <c r="AB73" s="1739"/>
      <c r="AC73" s="1739"/>
    </row>
    <row r="74" spans="1:29" ht="15.75" thickBot="1">
      <c r="A74" s="480"/>
      <c r="B74" s="618"/>
      <c r="C74" s="619"/>
      <c r="D74" s="619"/>
      <c r="E74" s="619"/>
      <c r="F74" s="619"/>
      <c r="G74" s="619"/>
      <c r="H74" s="619"/>
      <c r="I74" s="619"/>
      <c r="J74" s="619"/>
      <c r="K74" s="619"/>
      <c r="L74" s="619"/>
      <c r="M74" s="620"/>
      <c r="N74" s="2731"/>
      <c r="O74" s="1765"/>
      <c r="P74" s="1763"/>
      <c r="Q74" s="1760"/>
      <c r="R74" s="1739"/>
      <c r="S74" s="1739"/>
      <c r="T74" s="1739"/>
      <c r="U74" s="1739"/>
      <c r="V74" s="1739"/>
      <c r="W74" s="1739"/>
      <c r="X74" s="1739"/>
      <c r="Y74" s="1739"/>
      <c r="Z74" s="1739"/>
      <c r="AA74" s="1739"/>
      <c r="AB74" s="1739"/>
      <c r="AC74" s="1739"/>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1"/>
      <c r="O75" s="1765"/>
      <c r="P75" s="1763"/>
      <c r="Q75" s="1760"/>
      <c r="R75" s="1739"/>
      <c r="S75" s="1739"/>
      <c r="T75" s="1739"/>
      <c r="U75" s="1739"/>
      <c r="V75" s="1739"/>
      <c r="W75" s="1739"/>
      <c r="X75" s="1739"/>
      <c r="Y75" s="1739"/>
      <c r="Z75" s="1739"/>
      <c r="AA75" s="1739"/>
      <c r="AB75" s="1739"/>
      <c r="AC75" s="1739"/>
    </row>
    <row r="76" spans="1:29" ht="15">
      <c r="A76" s="480"/>
      <c r="B76" s="623"/>
      <c r="C76" s="489"/>
      <c r="D76" s="489"/>
      <c r="E76" s="489"/>
      <c r="F76" s="489"/>
      <c r="G76" s="489"/>
      <c r="H76" s="489"/>
      <c r="I76" s="489"/>
      <c r="J76" s="489"/>
      <c r="K76" s="624"/>
      <c r="L76" s="625"/>
      <c r="M76" s="626"/>
      <c r="N76" s="2730"/>
      <c r="O76" s="1764"/>
      <c r="P76" s="1763"/>
      <c r="Q76" s="1760"/>
      <c r="R76" s="1739"/>
      <c r="S76" s="1739"/>
      <c r="T76" s="1739"/>
      <c r="U76" s="1739"/>
      <c r="V76" s="1739"/>
      <c r="W76" s="1739"/>
      <c r="X76" s="1739"/>
      <c r="Y76" s="1739"/>
      <c r="Z76" s="1739"/>
      <c r="AA76" s="1739"/>
      <c r="AB76" s="1739"/>
      <c r="AC76" s="1739"/>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1"/>
      <c r="O77" s="1765"/>
      <c r="P77" s="1763"/>
      <c r="Q77" s="1760"/>
      <c r="R77" s="1739"/>
      <c r="S77" s="1739"/>
      <c r="T77" s="1739"/>
      <c r="U77" s="1739"/>
      <c r="V77" s="1739"/>
      <c r="W77" s="1739"/>
      <c r="X77" s="1739"/>
      <c r="Y77" s="1739"/>
      <c r="Z77" s="1739"/>
      <c r="AA77" s="1739"/>
      <c r="AB77" s="1739"/>
      <c r="AC77" s="1739"/>
    </row>
    <row r="78" spans="1:29" s="1131" customFormat="1" ht="15.75" thickTop="1">
      <c r="A78" s="627"/>
      <c r="B78" s="613">
        <f>B14</f>
        <v>111</v>
      </c>
      <c r="C78" s="628"/>
      <c r="D78" s="628"/>
      <c r="E78" s="628"/>
      <c r="F78" s="628"/>
      <c r="G78" s="628"/>
      <c r="H78" s="629"/>
      <c r="I78" s="629"/>
      <c r="J78" s="629"/>
      <c r="K78" s="629"/>
      <c r="L78" s="630"/>
      <c r="M78" s="631"/>
      <c r="N78" s="2732"/>
      <c r="O78" s="1766"/>
      <c r="P78" s="1766"/>
      <c r="Q78" s="1767"/>
      <c r="R78" s="1768"/>
      <c r="S78" s="1768"/>
      <c r="T78" s="1768"/>
      <c r="U78" s="1768"/>
      <c r="V78" s="1768"/>
      <c r="W78" s="1768"/>
      <c r="X78" s="1768"/>
      <c r="Y78" s="1768"/>
      <c r="Z78" s="1768"/>
      <c r="AA78" s="1768"/>
      <c r="AB78" s="1768"/>
      <c r="AC78" s="1768"/>
    </row>
    <row r="79" spans="1:29" s="1131" customFormat="1" ht="15.75" thickBot="1">
      <c r="A79" s="627"/>
      <c r="B79" s="618"/>
      <c r="C79" s="632"/>
      <c r="D79" s="611"/>
      <c r="E79" s="611"/>
      <c r="F79" s="611"/>
      <c r="G79" s="611"/>
      <c r="H79" s="611"/>
      <c r="I79" s="611"/>
      <c r="J79" s="611"/>
      <c r="K79" s="611"/>
      <c r="L79" s="611"/>
      <c r="M79" s="612"/>
      <c r="N79" s="2731"/>
      <c r="O79" s="1765"/>
      <c r="P79" s="1766"/>
      <c r="Q79" s="1767"/>
      <c r="R79" s="1768"/>
      <c r="S79" s="1768"/>
      <c r="T79" s="1768"/>
      <c r="U79" s="1768"/>
      <c r="V79" s="1768"/>
      <c r="W79" s="1768"/>
      <c r="X79" s="1768"/>
      <c r="Y79" s="1768"/>
      <c r="Z79" s="1768"/>
      <c r="AA79" s="1768"/>
      <c r="AB79" s="1768"/>
      <c r="AC79" s="1768"/>
    </row>
    <row r="80" spans="1:29" s="1131" customFormat="1" ht="15.75" thickTop="1">
      <c r="A80" s="627"/>
      <c r="B80" s="613">
        <f>B15</f>
        <v>111</v>
      </c>
      <c r="C80" s="628"/>
      <c r="D80" s="628"/>
      <c r="E80" s="628"/>
      <c r="F80" s="628"/>
      <c r="G80" s="628"/>
      <c r="H80" s="629"/>
      <c r="I80" s="629"/>
      <c r="J80" s="629"/>
      <c r="K80" s="629"/>
      <c r="L80" s="630"/>
      <c r="M80" s="631"/>
      <c r="N80" s="2732"/>
      <c r="O80" s="1766"/>
      <c r="P80" s="1768"/>
      <c r="Q80" s="1769"/>
      <c r="R80" s="1768"/>
      <c r="S80" s="1768"/>
      <c r="T80" s="1768"/>
      <c r="U80" s="1768"/>
      <c r="V80" s="1768"/>
      <c r="W80" s="1768"/>
      <c r="X80" s="1768"/>
      <c r="Y80" s="1768"/>
      <c r="Z80" s="1768"/>
      <c r="AA80" s="1768"/>
      <c r="AB80" s="1768"/>
      <c r="AC80" s="1768"/>
    </row>
    <row r="81" spans="1:29" s="1131" customFormat="1" ht="15.75" thickBot="1">
      <c r="A81" s="627"/>
      <c r="B81" s="618"/>
      <c r="C81" s="632"/>
      <c r="D81" s="632"/>
      <c r="E81" s="632"/>
      <c r="F81" s="632"/>
      <c r="G81" s="632"/>
      <c r="H81" s="633"/>
      <c r="I81" s="633"/>
      <c r="J81" s="633"/>
      <c r="K81" s="633"/>
      <c r="L81" s="633"/>
      <c r="M81" s="634"/>
      <c r="N81" s="2732"/>
      <c r="O81" s="1766"/>
      <c r="P81" s="1766"/>
      <c r="Q81" s="1767"/>
      <c r="R81" s="1768"/>
      <c r="S81" s="1768"/>
      <c r="T81" s="1768"/>
      <c r="U81" s="1768"/>
      <c r="V81" s="1768"/>
      <c r="W81" s="1768"/>
      <c r="X81" s="1768"/>
      <c r="Y81" s="1768"/>
      <c r="Z81" s="1768"/>
      <c r="AA81" s="1768"/>
      <c r="AB81" s="1768"/>
      <c r="AC81" s="1768"/>
    </row>
    <row r="82" spans="1:29" s="1131" customFormat="1" ht="15.75" thickTop="1">
      <c r="A82" s="627"/>
      <c r="B82" s="621">
        <f>B16</f>
        <v>111</v>
      </c>
      <c r="C82" s="80"/>
      <c r="D82" s="80"/>
      <c r="E82" s="80"/>
      <c r="F82" s="80"/>
      <c r="G82" s="80"/>
      <c r="H82" s="635"/>
      <c r="I82" s="635"/>
      <c r="J82" s="635"/>
      <c r="K82" s="635"/>
      <c r="L82" s="636"/>
      <c r="M82" s="637"/>
      <c r="N82" s="2732"/>
      <c r="O82" s="1766"/>
      <c r="P82" s="1770"/>
      <c r="Q82" s="1767"/>
      <c r="R82" s="1768"/>
      <c r="S82" s="1768"/>
      <c r="T82" s="1768"/>
      <c r="U82" s="1768"/>
      <c r="V82" s="1768"/>
      <c r="W82" s="1768"/>
      <c r="X82" s="1768"/>
      <c r="Y82" s="1768"/>
      <c r="Z82" s="1768"/>
      <c r="AA82" s="1768"/>
      <c r="AB82" s="1768"/>
      <c r="AC82" s="1768"/>
    </row>
    <row r="83" spans="1:29" s="1131" customFormat="1" ht="15.75" thickBot="1">
      <c r="A83" s="638"/>
      <c r="B83" s="639"/>
      <c r="C83" s="640"/>
      <c r="D83" s="640"/>
      <c r="E83" s="640"/>
      <c r="F83" s="640"/>
      <c r="G83" s="640"/>
      <c r="H83" s="641"/>
      <c r="I83" s="641"/>
      <c r="J83" s="641"/>
      <c r="K83" s="641"/>
      <c r="L83" s="641"/>
      <c r="M83" s="642"/>
      <c r="N83" s="2732"/>
      <c r="O83" s="1766"/>
      <c r="P83" s="1766"/>
      <c r="Q83" s="1767"/>
      <c r="R83" s="1768"/>
      <c r="S83" s="1768"/>
      <c r="T83" s="1768"/>
      <c r="U83" s="1768"/>
      <c r="V83" s="1768"/>
      <c r="W83" s="1768"/>
      <c r="X83" s="1768"/>
      <c r="Y83" s="1768"/>
      <c r="Z83" s="1768"/>
      <c r="AA83" s="1768"/>
      <c r="AB83" s="1768"/>
      <c r="AC83" s="1768"/>
    </row>
    <row r="84" spans="1:29">
      <c r="A84" s="605" t="s">
        <v>488</v>
      </c>
      <c r="B84" s="606" t="s">
        <v>550</v>
      </c>
      <c r="C84" s="143" t="s">
        <v>527</v>
      </c>
      <c r="D84" s="143" t="s">
        <v>528</v>
      </c>
      <c r="E84" s="143" t="s">
        <v>529</v>
      </c>
      <c r="F84" s="143" t="s">
        <v>530</v>
      </c>
      <c r="G84" s="143" t="s">
        <v>531</v>
      </c>
      <c r="H84" s="643"/>
      <c r="I84" s="643"/>
      <c r="J84" s="643"/>
      <c r="K84" s="644"/>
      <c r="L84" s="645"/>
      <c r="M84" s="646"/>
      <c r="N84" s="2730"/>
      <c r="O84" s="1764"/>
      <c r="P84" s="1771"/>
      <c r="Q84" s="1760"/>
      <c r="R84" s="1739"/>
      <c r="S84" s="1739"/>
      <c r="T84" s="1739"/>
      <c r="U84" s="1739"/>
      <c r="V84" s="1739"/>
      <c r="W84" s="1739"/>
      <c r="X84" s="1739"/>
      <c r="Y84" s="1739"/>
      <c r="Z84" s="1739"/>
      <c r="AA84" s="1739"/>
      <c r="AB84" s="1739"/>
      <c r="AC84" s="1739"/>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1"/>
      <c r="O85" s="1765"/>
      <c r="P85" s="1763"/>
      <c r="Q85" s="1760"/>
      <c r="R85" s="1739"/>
      <c r="S85" s="1739"/>
      <c r="T85" s="1739"/>
      <c r="U85" s="1739"/>
      <c r="V85" s="1739"/>
      <c r="W85" s="1739"/>
      <c r="X85" s="1739"/>
      <c r="Y85" s="1739"/>
      <c r="Z85" s="1739"/>
      <c r="AA85" s="1739"/>
      <c r="AB85" s="1739"/>
      <c r="AC85" s="1739"/>
    </row>
    <row r="86" spans="1:29" ht="15.75" thickTop="1">
      <c r="A86" s="480"/>
      <c r="B86" s="613" t="s">
        <v>534</v>
      </c>
      <c r="C86" s="647" t="s">
        <v>527</v>
      </c>
      <c r="D86" s="647" t="s">
        <v>528</v>
      </c>
      <c r="E86" s="647" t="s">
        <v>529</v>
      </c>
      <c r="F86" s="647" t="s">
        <v>530</v>
      </c>
      <c r="G86" s="647" t="s">
        <v>531</v>
      </c>
      <c r="H86" s="614"/>
      <c r="I86" s="614"/>
      <c r="J86" s="614"/>
      <c r="K86" s="615"/>
      <c r="L86" s="616"/>
      <c r="M86" s="617"/>
      <c r="N86" s="2730"/>
      <c r="O86" s="1764"/>
      <c r="P86" s="1763"/>
      <c r="Q86" s="1760"/>
      <c r="R86" s="1739"/>
      <c r="S86" s="1739"/>
      <c r="T86" s="1739"/>
      <c r="U86" s="1739"/>
      <c r="V86" s="1739"/>
      <c r="W86" s="1739"/>
      <c r="X86" s="1739"/>
      <c r="Y86" s="1739"/>
      <c r="Z86" s="1739"/>
      <c r="AA86" s="1739"/>
      <c r="AB86" s="1739"/>
      <c r="AC86" s="1739"/>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1"/>
      <c r="O87" s="1765"/>
      <c r="P87" s="1763"/>
      <c r="Q87" s="1760"/>
      <c r="R87" s="1739"/>
      <c r="S87" s="1739"/>
      <c r="T87" s="1739"/>
      <c r="U87" s="1739"/>
      <c r="V87" s="1739"/>
      <c r="W87" s="1739"/>
      <c r="X87" s="1739"/>
      <c r="Y87" s="1739"/>
      <c r="Z87" s="1739"/>
      <c r="AA87" s="1739"/>
      <c r="AB87" s="1739"/>
      <c r="AC87" s="1739"/>
    </row>
    <row r="88" spans="1:29" s="1057" customFormat="1" ht="27.75" thickTop="1">
      <c r="A88" s="484"/>
      <c r="B88" s="613" t="s">
        <v>535</v>
      </c>
      <c r="C88" s="647" t="s">
        <v>527</v>
      </c>
      <c r="D88" s="647" t="s">
        <v>528</v>
      </c>
      <c r="E88" s="647" t="s">
        <v>529</v>
      </c>
      <c r="F88" s="647" t="s">
        <v>530</v>
      </c>
      <c r="G88" s="647" t="s">
        <v>531</v>
      </c>
      <c r="H88" s="647"/>
      <c r="I88" s="647"/>
      <c r="J88" s="647"/>
      <c r="K88" s="647"/>
      <c r="L88" s="648"/>
      <c r="M88" s="649"/>
      <c r="N88" s="2729"/>
      <c r="O88" s="1763"/>
      <c r="P88" s="1763"/>
      <c r="Q88" s="1760"/>
      <c r="R88" s="1637"/>
      <c r="S88" s="1637"/>
      <c r="T88" s="1637"/>
      <c r="U88" s="1637"/>
      <c r="V88" s="1637"/>
      <c r="W88" s="1637"/>
      <c r="X88" s="1637"/>
      <c r="Y88" s="1637"/>
      <c r="Z88" s="1637"/>
      <c r="AA88" s="1637"/>
      <c r="AB88" s="1637"/>
      <c r="AC88" s="1637"/>
    </row>
    <row r="89" spans="1:29" s="1057" customFormat="1" ht="15.75" thickBot="1">
      <c r="A89" s="484"/>
      <c r="B89" s="618"/>
      <c r="C89" s="650">
        <v>100</v>
      </c>
      <c r="D89" s="619">
        <f>C89-$K21</f>
        <v>100</v>
      </c>
      <c r="E89" s="619">
        <f>D89-$K21</f>
        <v>100</v>
      </c>
      <c r="F89" s="619">
        <f>E89-$K21</f>
        <v>100</v>
      </c>
      <c r="G89" s="619">
        <f>F89-$K21</f>
        <v>100</v>
      </c>
      <c r="H89" s="619"/>
      <c r="I89" s="619"/>
      <c r="J89" s="619"/>
      <c r="K89" s="619"/>
      <c r="L89" s="619"/>
      <c r="M89" s="620"/>
      <c r="N89" s="2731"/>
      <c r="O89" s="1765"/>
      <c r="P89" s="1763"/>
      <c r="Q89" s="1760"/>
      <c r="R89" s="1637"/>
      <c r="S89" s="1637"/>
      <c r="T89" s="1637"/>
      <c r="U89" s="1637"/>
      <c r="V89" s="1637"/>
      <c r="W89" s="1637"/>
      <c r="X89" s="1637"/>
      <c r="Y89" s="1637"/>
      <c r="Z89" s="1637"/>
      <c r="AA89" s="1637"/>
      <c r="AB89" s="1637"/>
      <c r="AC89" s="1637"/>
    </row>
    <row r="90" spans="1:29" s="1057" customFormat="1" ht="27.75" thickTop="1">
      <c r="A90" s="484"/>
      <c r="B90" s="613" t="s">
        <v>536</v>
      </c>
      <c r="C90" s="143" t="s">
        <v>527</v>
      </c>
      <c r="D90" s="143" t="s">
        <v>528</v>
      </c>
      <c r="E90" s="143" t="s">
        <v>529</v>
      </c>
      <c r="F90" s="143" t="s">
        <v>530</v>
      </c>
      <c r="G90" s="143" t="s">
        <v>531</v>
      </c>
      <c r="H90" s="647"/>
      <c r="I90" s="647"/>
      <c r="J90" s="647"/>
      <c r="K90" s="647"/>
      <c r="L90" s="647"/>
      <c r="M90" s="649"/>
      <c r="N90" s="2729"/>
      <c r="O90" s="1763"/>
      <c r="P90" s="1763"/>
      <c r="Q90" s="1760"/>
      <c r="R90" s="1637"/>
      <c r="S90" s="1637"/>
      <c r="T90" s="1637"/>
      <c r="U90" s="1637"/>
      <c r="V90" s="1637"/>
      <c r="W90" s="1637"/>
      <c r="X90" s="1637"/>
      <c r="Y90" s="1637"/>
      <c r="Z90" s="1637"/>
      <c r="AA90" s="1637"/>
      <c r="AB90" s="1637"/>
      <c r="AC90" s="1637"/>
    </row>
    <row r="91" spans="1:29" s="1057" customFormat="1" ht="15.75" thickBot="1">
      <c r="A91" s="484"/>
      <c r="B91" s="618"/>
      <c r="C91" s="619">
        <v>100</v>
      </c>
      <c r="D91" s="619">
        <f>C91-$K23</f>
        <v>100</v>
      </c>
      <c r="E91" s="619">
        <f>D91-$K23</f>
        <v>100</v>
      </c>
      <c r="F91" s="619">
        <f>E91-$K23</f>
        <v>100</v>
      </c>
      <c r="G91" s="619">
        <f>F91-$K23</f>
        <v>100</v>
      </c>
      <c r="H91" s="619"/>
      <c r="I91" s="619"/>
      <c r="J91" s="619"/>
      <c r="K91" s="619"/>
      <c r="L91" s="619"/>
      <c r="M91" s="620"/>
      <c r="N91" s="2731"/>
      <c r="O91" s="1765"/>
      <c r="P91" s="1763"/>
      <c r="Q91" s="1760"/>
      <c r="R91" s="1637"/>
      <c r="S91" s="1637"/>
      <c r="T91" s="1637"/>
      <c r="U91" s="1637"/>
      <c r="V91" s="1637"/>
      <c r="W91" s="1637"/>
      <c r="X91" s="1637"/>
      <c r="Y91" s="1637"/>
      <c r="Z91" s="1637"/>
      <c r="AA91" s="1637"/>
      <c r="AB91" s="1637"/>
      <c r="AC91" s="1637"/>
    </row>
    <row r="92" spans="1:29" s="1131" customFormat="1" ht="15.75" thickTop="1">
      <c r="A92" s="627"/>
      <c r="B92" s="1552" t="s">
        <v>1829</v>
      </c>
      <c r="C92" s="143" t="s">
        <v>527</v>
      </c>
      <c r="D92" s="143" t="s">
        <v>528</v>
      </c>
      <c r="E92" s="143" t="s">
        <v>529</v>
      </c>
      <c r="F92" s="143" t="s">
        <v>530</v>
      </c>
      <c r="G92" s="143" t="s">
        <v>531</v>
      </c>
      <c r="H92" s="651"/>
      <c r="I92" s="651"/>
      <c r="J92" s="651"/>
      <c r="K92" s="651"/>
      <c r="L92" s="652"/>
      <c r="M92" s="653"/>
      <c r="N92" s="2732"/>
      <c r="O92" s="1766"/>
      <c r="P92" s="1766"/>
      <c r="Q92" s="1767"/>
      <c r="R92" s="1768"/>
      <c r="S92" s="1768"/>
      <c r="T92" s="1768"/>
      <c r="U92" s="1768"/>
      <c r="V92" s="1768"/>
      <c r="W92" s="1768"/>
      <c r="X92" s="1768"/>
      <c r="Y92" s="1768"/>
      <c r="Z92" s="1768"/>
      <c r="AA92" s="1768"/>
      <c r="AB92" s="1768"/>
      <c r="AC92" s="1768"/>
    </row>
    <row r="93" spans="1:29" s="1131" customFormat="1" ht="15.75" thickBot="1">
      <c r="A93" s="627"/>
      <c r="B93" s="618"/>
      <c r="C93" s="619">
        <v>100</v>
      </c>
      <c r="D93" s="619">
        <f>C93-$K25</f>
        <v>100</v>
      </c>
      <c r="E93" s="619">
        <f>D93-$K25</f>
        <v>100</v>
      </c>
      <c r="F93" s="619">
        <f>E93-$K25</f>
        <v>100</v>
      </c>
      <c r="G93" s="619">
        <f>F93-$K25</f>
        <v>100</v>
      </c>
      <c r="H93" s="654"/>
      <c r="I93" s="654"/>
      <c r="J93" s="654"/>
      <c r="K93" s="654"/>
      <c r="L93" s="654"/>
      <c r="M93" s="655"/>
      <c r="N93" s="2732"/>
      <c r="O93" s="1766"/>
      <c r="P93" s="1766"/>
      <c r="Q93" s="1767"/>
      <c r="R93" s="1768"/>
      <c r="S93" s="1768"/>
      <c r="T93" s="1768"/>
      <c r="U93" s="1768"/>
      <c r="V93" s="1768"/>
      <c r="W93" s="1768"/>
      <c r="X93" s="1768"/>
      <c r="Y93" s="1768"/>
      <c r="Z93" s="1768"/>
      <c r="AA93" s="1768"/>
      <c r="AB93" s="1768"/>
      <c r="AC93" s="1768"/>
    </row>
    <row r="94" spans="1:29" s="1131" customFormat="1" ht="15.75" thickTop="1">
      <c r="A94" s="627"/>
      <c r="B94" s="2053" t="s">
        <v>1831</v>
      </c>
      <c r="C94" s="2054" t="s">
        <v>1832</v>
      </c>
      <c r="D94" s="2054" t="s">
        <v>1833</v>
      </c>
      <c r="E94" s="2054" t="s">
        <v>1834</v>
      </c>
      <c r="F94" s="2054" t="s">
        <v>1835</v>
      </c>
      <c r="G94" s="2054" t="s">
        <v>1836</v>
      </c>
      <c r="H94" s="651"/>
      <c r="I94" s="651"/>
      <c r="J94" s="651"/>
      <c r="K94" s="651"/>
      <c r="L94" s="651"/>
      <c r="M94" s="653"/>
      <c r="N94" s="2732"/>
      <c r="O94" s="1766"/>
      <c r="P94" s="1766"/>
      <c r="Q94" s="1767"/>
      <c r="R94" s="1768"/>
      <c r="S94" s="1768"/>
      <c r="T94" s="1768"/>
      <c r="U94" s="1768"/>
      <c r="V94" s="1768"/>
      <c r="W94" s="1768"/>
      <c r="X94" s="1768"/>
      <c r="Y94" s="1768"/>
      <c r="Z94" s="1768"/>
      <c r="AA94" s="1768"/>
      <c r="AB94" s="1768"/>
      <c r="AC94" s="1768"/>
    </row>
    <row r="95" spans="1:29" s="1131" customFormat="1" ht="15.75" thickBot="1">
      <c r="A95" s="627"/>
      <c r="B95" s="621"/>
      <c r="C95" s="619">
        <v>100</v>
      </c>
      <c r="D95" s="619">
        <f>C95-$K27</f>
        <v>100</v>
      </c>
      <c r="E95" s="619">
        <f>D95-$K27</f>
        <v>100</v>
      </c>
      <c r="F95" s="619">
        <f>E95-$K27</f>
        <v>100</v>
      </c>
      <c r="G95" s="619">
        <f>F95-$K27</f>
        <v>100</v>
      </c>
      <c r="H95" s="623"/>
      <c r="I95" s="623"/>
      <c r="J95" s="623"/>
      <c r="K95" s="623"/>
      <c r="L95" s="623"/>
      <c r="M95" s="2046"/>
      <c r="N95" s="2732"/>
      <c r="O95" s="1766"/>
      <c r="P95" s="1766"/>
      <c r="Q95" s="1767"/>
      <c r="R95" s="1768"/>
      <c r="S95" s="1768"/>
      <c r="T95" s="1768"/>
      <c r="U95" s="1768"/>
      <c r="V95" s="1768"/>
      <c r="W95" s="1768"/>
      <c r="X95" s="1768"/>
      <c r="Y95" s="1768"/>
      <c r="Z95" s="1768"/>
      <c r="AA95" s="1768"/>
      <c r="AB95" s="1768"/>
      <c r="AC95" s="1768"/>
    </row>
    <row r="96" spans="1:29" ht="15.75" thickTop="1">
      <c r="A96" s="480"/>
      <c r="B96" s="613" t="str">
        <f>B29</f>
        <v>临街状况</v>
      </c>
      <c r="C96" s="614" t="s">
        <v>537</v>
      </c>
      <c r="D96" s="614" t="s">
        <v>538</v>
      </c>
      <c r="E96" s="614" t="s">
        <v>539</v>
      </c>
      <c r="F96" s="614" t="s">
        <v>540</v>
      </c>
      <c r="G96" s="614"/>
      <c r="H96" s="614"/>
      <c r="I96" s="614"/>
      <c r="J96" s="614"/>
      <c r="K96" s="615"/>
      <c r="L96" s="616"/>
      <c r="M96" s="617"/>
      <c r="N96" s="2730"/>
      <c r="O96" s="1764"/>
      <c r="P96" s="1763"/>
      <c r="Q96" s="1760"/>
      <c r="R96" s="1739"/>
      <c r="S96" s="1739"/>
      <c r="T96" s="1739"/>
      <c r="U96" s="1739"/>
      <c r="V96" s="1739"/>
      <c r="W96" s="1739"/>
      <c r="X96" s="1739"/>
      <c r="Y96" s="1739"/>
      <c r="Z96" s="1739"/>
      <c r="AA96" s="1739"/>
      <c r="AB96" s="1739"/>
      <c r="AC96" s="1739"/>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1"/>
      <c r="O97" s="1765"/>
      <c r="P97" s="1763"/>
      <c r="Q97" s="1760"/>
      <c r="R97" s="1739"/>
      <c r="S97" s="1739"/>
      <c r="T97" s="1739"/>
      <c r="U97" s="1739"/>
      <c r="V97" s="1739"/>
      <c r="W97" s="1739"/>
      <c r="X97" s="1739"/>
      <c r="Y97" s="1739"/>
      <c r="Z97" s="1739"/>
      <c r="AA97" s="1739"/>
      <c r="AB97" s="1739"/>
      <c r="AC97" s="1739"/>
    </row>
    <row r="98" spans="1:29" ht="27.75" thickTop="1">
      <c r="A98" s="480"/>
      <c r="B98" s="613" t="s">
        <v>497</v>
      </c>
      <c r="C98" s="628"/>
      <c r="D98" s="628"/>
      <c r="E98" s="628"/>
      <c r="F98" s="628"/>
      <c r="G98" s="628"/>
      <c r="H98" s="656"/>
      <c r="I98" s="656"/>
      <c r="J98" s="656"/>
      <c r="K98" s="657"/>
      <c r="L98" s="658"/>
      <c r="M98" s="659"/>
      <c r="N98" s="2730"/>
      <c r="O98" s="1764"/>
      <c r="P98" s="1763"/>
      <c r="Q98" s="1760"/>
      <c r="R98" s="1739"/>
      <c r="S98" s="1739"/>
      <c r="T98" s="1739"/>
      <c r="U98" s="1739"/>
      <c r="V98" s="1739"/>
      <c r="W98" s="1739"/>
      <c r="X98" s="1739"/>
      <c r="Y98" s="1739"/>
      <c r="Z98" s="1739"/>
      <c r="AA98" s="1739"/>
      <c r="AB98" s="1739"/>
      <c r="AC98" s="1739"/>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1"/>
      <c r="O99" s="1765"/>
      <c r="P99" s="1763"/>
      <c r="Q99" s="1760"/>
      <c r="R99" s="1739"/>
      <c r="S99" s="1739"/>
      <c r="T99" s="1739"/>
      <c r="U99" s="1739"/>
      <c r="V99" s="1739"/>
      <c r="W99" s="1739"/>
      <c r="X99" s="1739"/>
      <c r="Y99" s="1739"/>
      <c r="Z99" s="1739"/>
      <c r="AA99" s="1739"/>
      <c r="AB99" s="1739"/>
      <c r="AC99" s="1739"/>
    </row>
    <row r="100" spans="1:29" ht="15.75" thickTop="1">
      <c r="A100" s="480"/>
      <c r="B100" s="613" t="s">
        <v>498</v>
      </c>
      <c r="C100" s="656"/>
      <c r="D100" s="656"/>
      <c r="E100" s="656"/>
      <c r="F100" s="656"/>
      <c r="G100" s="656"/>
      <c r="H100" s="656"/>
      <c r="I100" s="656"/>
      <c r="J100" s="656"/>
      <c r="K100" s="657"/>
      <c r="L100" s="658"/>
      <c r="M100" s="659"/>
      <c r="N100" s="2730"/>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1"/>
      <c r="O101" s="1765"/>
      <c r="P101" s="1763"/>
      <c r="Q101" s="1760"/>
      <c r="R101" s="1739"/>
      <c r="S101" s="1739"/>
      <c r="T101" s="1739"/>
      <c r="U101" s="1739"/>
      <c r="V101" s="1739"/>
      <c r="W101" s="1739"/>
      <c r="X101" s="1739"/>
      <c r="Y101" s="1739"/>
      <c r="Z101" s="1739"/>
      <c r="AA101" s="1739"/>
      <c r="AB101" s="1739"/>
      <c r="AC101" s="1739"/>
    </row>
    <row r="102" spans="1:29" ht="15.75" thickTop="1">
      <c r="A102" s="480"/>
      <c r="B102" s="621">
        <f>B33</f>
        <v>111</v>
      </c>
      <c r="C102" s="628"/>
      <c r="D102" s="628"/>
      <c r="E102" s="628"/>
      <c r="F102" s="628"/>
      <c r="G102" s="660"/>
      <c r="H102" s="660"/>
      <c r="I102" s="660"/>
      <c r="J102" s="660"/>
      <c r="K102" s="661"/>
      <c r="L102" s="662"/>
      <c r="M102" s="663"/>
      <c r="N102" s="2730"/>
      <c r="O102" s="1764"/>
      <c r="P102" s="1763"/>
      <c r="Q102" s="1760"/>
      <c r="R102" s="1739"/>
      <c r="S102" s="1739"/>
      <c r="T102" s="1739"/>
      <c r="U102" s="1739"/>
      <c r="V102" s="1739"/>
      <c r="W102" s="1739"/>
      <c r="X102" s="1739"/>
      <c r="Y102" s="1739"/>
      <c r="Z102" s="1739"/>
      <c r="AA102" s="1739"/>
      <c r="AB102" s="1739"/>
      <c r="AC102" s="1739"/>
    </row>
    <row r="103" spans="1:29" ht="15.75" thickBot="1">
      <c r="A103" s="480"/>
      <c r="B103" s="639"/>
      <c r="C103" s="632"/>
      <c r="D103" s="611"/>
      <c r="E103" s="611"/>
      <c r="F103" s="611"/>
      <c r="G103" s="664"/>
      <c r="H103" s="664"/>
      <c r="I103" s="664"/>
      <c r="J103" s="664"/>
      <c r="K103" s="664"/>
      <c r="L103" s="664"/>
      <c r="M103" s="665"/>
      <c r="N103" s="2731"/>
      <c r="O103" s="1765"/>
      <c r="P103" s="1763"/>
      <c r="Q103" s="1760"/>
      <c r="R103" s="1739"/>
      <c r="S103" s="1739"/>
      <c r="T103" s="1739"/>
      <c r="U103" s="1739"/>
      <c r="V103" s="1739"/>
      <c r="W103" s="1739"/>
      <c r="X103" s="1739"/>
      <c r="Y103" s="1739"/>
      <c r="Z103" s="1739"/>
      <c r="AA103" s="1739"/>
      <c r="AB103" s="1739"/>
      <c r="AC103" s="1739"/>
    </row>
    <row r="104" spans="1:29" ht="15" thickTop="1">
      <c r="A104" s="534"/>
      <c r="B104" s="613">
        <f>B34</f>
        <v>111</v>
      </c>
      <c r="C104" s="628"/>
      <c r="D104" s="628"/>
      <c r="E104" s="628"/>
      <c r="F104" s="628"/>
      <c r="G104" s="656"/>
      <c r="H104" s="656"/>
      <c r="I104" s="656"/>
      <c r="J104" s="656"/>
      <c r="K104" s="657"/>
      <c r="L104" s="658"/>
      <c r="M104" s="659"/>
      <c r="N104" s="2730"/>
      <c r="O104" s="1764"/>
      <c r="P104" s="1763"/>
      <c r="Q104" s="1760"/>
      <c r="R104" s="1739"/>
      <c r="S104" s="1739"/>
      <c r="T104" s="1739"/>
      <c r="U104" s="1739"/>
      <c r="V104" s="1739"/>
      <c r="W104" s="1739"/>
      <c r="X104" s="1739"/>
      <c r="Y104" s="1739"/>
      <c r="Z104" s="1739"/>
      <c r="AA104" s="1739"/>
      <c r="AB104" s="1739"/>
      <c r="AC104" s="1739"/>
    </row>
    <row r="105" spans="1:29" ht="15.75" thickBot="1">
      <c r="A105" s="480"/>
      <c r="B105" s="618"/>
      <c r="C105" s="632"/>
      <c r="D105" s="632"/>
      <c r="E105" s="632"/>
      <c r="F105" s="632"/>
      <c r="G105" s="611"/>
      <c r="H105" s="611"/>
      <c r="I105" s="611"/>
      <c r="J105" s="611"/>
      <c r="K105" s="611"/>
      <c r="L105" s="611"/>
      <c r="M105" s="612"/>
      <c r="N105" s="2731"/>
      <c r="O105" s="1765"/>
      <c r="P105" s="1763"/>
      <c r="Q105" s="1760"/>
      <c r="R105" s="1739"/>
      <c r="S105" s="1739"/>
      <c r="T105" s="1739"/>
      <c r="U105" s="1739"/>
      <c r="V105" s="1739"/>
      <c r="W105" s="1739"/>
      <c r="X105" s="1739"/>
      <c r="Y105" s="1739"/>
      <c r="Z105" s="1739"/>
      <c r="AA105" s="1739"/>
      <c r="AB105" s="1739"/>
      <c r="AC105" s="1739"/>
    </row>
    <row r="106" spans="1:29" s="1131" customFormat="1" ht="15" thickTop="1">
      <c r="A106" s="550"/>
      <c r="B106" s="666">
        <f>B35</f>
        <v>111</v>
      </c>
      <c r="C106" s="80"/>
      <c r="D106" s="80"/>
      <c r="E106" s="80"/>
      <c r="F106" s="80"/>
      <c r="G106" s="79"/>
      <c r="H106" s="79"/>
      <c r="I106" s="79"/>
      <c r="J106" s="667"/>
      <c r="K106" s="667"/>
      <c r="L106" s="668"/>
      <c r="M106" s="669"/>
      <c r="N106" s="2732"/>
      <c r="O106" s="1766"/>
      <c r="P106" s="1766"/>
      <c r="Q106" s="1767"/>
      <c r="R106" s="1768"/>
      <c r="S106" s="1768"/>
      <c r="T106" s="1768"/>
      <c r="U106" s="1768"/>
      <c r="V106" s="1768"/>
      <c r="W106" s="1768"/>
      <c r="X106" s="1768"/>
      <c r="Y106" s="1768"/>
      <c r="Z106" s="1768"/>
      <c r="AA106" s="1768"/>
      <c r="AB106" s="1768"/>
      <c r="AC106" s="1768"/>
    </row>
    <row r="107" spans="1:29" s="1131" customFormat="1" ht="15.75" thickBot="1">
      <c r="A107" s="627"/>
      <c r="B107" s="621"/>
      <c r="C107" s="640"/>
      <c r="D107" s="640"/>
      <c r="E107" s="640"/>
      <c r="F107" s="640"/>
      <c r="G107" s="539"/>
      <c r="H107" s="539"/>
      <c r="I107" s="539"/>
      <c r="J107" s="539"/>
      <c r="K107" s="539"/>
      <c r="L107" s="539"/>
      <c r="M107" s="670"/>
      <c r="N107" s="2731"/>
      <c r="O107" s="1765"/>
      <c r="P107" s="1766"/>
      <c r="Q107" s="1767"/>
      <c r="R107" s="1768"/>
      <c r="S107" s="1768"/>
      <c r="T107" s="1768"/>
      <c r="U107" s="1768"/>
      <c r="V107" s="1768"/>
      <c r="W107" s="1768"/>
      <c r="X107" s="1768"/>
      <c r="Y107" s="1768"/>
      <c r="Z107" s="1768"/>
      <c r="AA107" s="1768"/>
      <c r="AB107" s="1768"/>
      <c r="AC107" s="1768"/>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4" t="str">
        <f t="shared" si="24"/>
        <v>(含)-</v>
      </c>
      <c r="L108" s="2345" t="str">
        <f t="shared" si="24"/>
        <v>(含)-</v>
      </c>
      <c r="M108" s="145" t="str">
        <f>M109&amp;"(含)"&amp;"-"&amp;P109</f>
        <v>(含)-</v>
      </c>
      <c r="N108" s="2730"/>
      <c r="O108" s="1764"/>
      <c r="P108" s="1763"/>
      <c r="Q108" s="1760"/>
      <c r="R108" s="1739"/>
      <c r="S108" s="1739"/>
      <c r="T108" s="1739"/>
      <c r="U108" s="1739"/>
      <c r="V108" s="1739"/>
      <c r="W108" s="1739"/>
      <c r="X108" s="1739"/>
      <c r="Y108" s="1739"/>
      <c r="Z108" s="1739"/>
      <c r="AA108" s="1739"/>
      <c r="AB108" s="1739"/>
      <c r="AC108" s="1739"/>
    </row>
    <row r="109" spans="1:29" ht="15">
      <c r="A109" s="480"/>
      <c r="B109" s="621"/>
      <c r="C109" s="79"/>
      <c r="D109" s="79"/>
      <c r="E109" s="79"/>
      <c r="F109" s="79"/>
      <c r="G109" s="79"/>
      <c r="H109" s="79"/>
      <c r="I109" s="79"/>
      <c r="J109" s="667"/>
      <c r="K109" s="667"/>
      <c r="L109" s="668"/>
      <c r="M109" s="669"/>
      <c r="N109" s="2730"/>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40"/>
      <c r="D110" s="664"/>
      <c r="E110" s="664"/>
      <c r="F110" s="664"/>
      <c r="G110" s="664"/>
      <c r="H110" s="664"/>
      <c r="I110" s="664"/>
      <c r="J110" s="664"/>
      <c r="K110" s="664"/>
      <c r="L110" s="664"/>
      <c r="M110" s="665"/>
      <c r="N110" s="2731"/>
      <c r="O110" s="1765"/>
      <c r="P110" s="1763"/>
      <c r="Q110" s="1760"/>
      <c r="R110" s="1739"/>
      <c r="S110" s="1739"/>
      <c r="T110" s="1739"/>
      <c r="U110" s="1739"/>
      <c r="V110" s="1739"/>
      <c r="W110" s="1739"/>
      <c r="X110" s="1739"/>
      <c r="Y110" s="1739"/>
      <c r="Z110" s="1739"/>
      <c r="AA110" s="1739"/>
      <c r="AB110" s="1739"/>
      <c r="AC110" s="1739"/>
    </row>
    <row r="111" spans="1:29" ht="15" thickTop="1">
      <c r="A111" s="541"/>
      <c r="B111" s="613" t="s">
        <v>542</v>
      </c>
      <c r="C111" s="656"/>
      <c r="D111" s="656"/>
      <c r="E111" s="656"/>
      <c r="F111" s="656"/>
      <c r="G111" s="656"/>
      <c r="H111" s="656"/>
      <c r="I111" s="656"/>
      <c r="J111" s="656"/>
      <c r="K111" s="657"/>
      <c r="L111" s="658"/>
      <c r="M111" s="659"/>
      <c r="N111" s="2730"/>
      <c r="O111" s="1764"/>
      <c r="P111" s="1763"/>
      <c r="Q111" s="1760"/>
      <c r="R111" s="1739"/>
      <c r="S111" s="1739"/>
      <c r="T111" s="1739"/>
      <c r="U111" s="1739"/>
      <c r="V111" s="1739"/>
      <c r="W111" s="1739"/>
      <c r="X111" s="1739"/>
      <c r="Y111" s="1739"/>
      <c r="Z111" s="1739"/>
      <c r="AA111" s="1739"/>
      <c r="AB111" s="1739"/>
      <c r="AC111" s="1739"/>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1"/>
      <c r="O112" s="1765"/>
      <c r="P112" s="1763"/>
      <c r="Q112" s="1760"/>
      <c r="R112" s="1739"/>
      <c r="S112" s="1739"/>
      <c r="T112" s="1739"/>
      <c r="U112" s="1739"/>
      <c r="V112" s="1739"/>
      <c r="W112" s="1739"/>
      <c r="X112" s="1739"/>
      <c r="Y112" s="1739"/>
      <c r="Z112" s="1739"/>
      <c r="AA112" s="1739"/>
      <c r="AB112" s="1739"/>
      <c r="AC112" s="1739"/>
    </row>
    <row r="113" spans="1:29" s="1131" customFormat="1" ht="15" thickTop="1">
      <c r="A113" s="550"/>
      <c r="B113" s="1552" t="s">
        <v>1775</v>
      </c>
      <c r="C113" s="1164"/>
      <c r="D113" s="1164"/>
      <c r="E113" s="1164"/>
      <c r="F113" s="1164"/>
      <c r="G113" s="1164"/>
      <c r="H113" s="656"/>
      <c r="I113" s="656"/>
      <c r="J113" s="656"/>
      <c r="K113" s="657"/>
      <c r="L113" s="658"/>
      <c r="M113" s="659"/>
      <c r="N113" s="2732"/>
      <c r="O113" s="1766"/>
      <c r="P113" s="1766"/>
      <c r="Q113" s="1767"/>
      <c r="R113" s="1768"/>
      <c r="S113" s="1768"/>
      <c r="T113" s="1768"/>
      <c r="U113" s="1768"/>
      <c r="V113" s="1768"/>
      <c r="W113" s="1768"/>
      <c r="X113" s="1768"/>
      <c r="Y113" s="1768"/>
      <c r="Z113" s="1768"/>
      <c r="AA113" s="1768"/>
      <c r="AB113" s="1768"/>
      <c r="AC113" s="1768"/>
    </row>
    <row r="114" spans="1:29" s="1131"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2"/>
      <c r="O114" s="1766"/>
      <c r="P114" s="1766"/>
      <c r="Q114" s="1767"/>
      <c r="R114" s="1768"/>
      <c r="S114" s="1768"/>
      <c r="T114" s="1768"/>
      <c r="U114" s="1768"/>
      <c r="V114" s="1768"/>
      <c r="W114" s="1768"/>
      <c r="X114" s="1768"/>
      <c r="Y114" s="1768"/>
      <c r="Z114" s="1768"/>
      <c r="AA114" s="1768"/>
      <c r="AB114" s="1768"/>
      <c r="AC114" s="1768"/>
    </row>
    <row r="115" spans="1:29" ht="15" thickTop="1">
      <c r="A115" s="541"/>
      <c r="B115" s="613" t="s">
        <v>544</v>
      </c>
      <c r="C115" s="628"/>
      <c r="D115" s="628"/>
      <c r="E115" s="656"/>
      <c r="F115" s="656"/>
      <c r="G115" s="656"/>
      <c r="H115" s="656"/>
      <c r="I115" s="656"/>
      <c r="J115" s="656"/>
      <c r="K115" s="657"/>
      <c r="L115" s="658"/>
      <c r="M115" s="659"/>
      <c r="N115" s="2730"/>
      <c r="O115" s="1764"/>
      <c r="P115" s="1763"/>
      <c r="Q115" s="1760"/>
      <c r="R115" s="1739"/>
      <c r="S115" s="1739"/>
      <c r="T115" s="1739"/>
      <c r="U115" s="1739"/>
      <c r="V115" s="1739"/>
      <c r="W115" s="1739"/>
      <c r="X115" s="1739"/>
      <c r="Y115" s="1739"/>
      <c r="Z115" s="1739"/>
      <c r="AA115" s="1739"/>
      <c r="AB115" s="1739"/>
      <c r="AC115" s="1739"/>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1"/>
      <c r="O116" s="1765"/>
      <c r="P116" s="1763"/>
      <c r="Q116" s="1760"/>
      <c r="R116" s="1739"/>
      <c r="S116" s="1739"/>
      <c r="T116" s="1739"/>
      <c r="U116" s="1739"/>
      <c r="V116" s="1739"/>
      <c r="W116" s="1739"/>
      <c r="X116" s="1739"/>
      <c r="Y116" s="1739"/>
      <c r="Z116" s="1739"/>
      <c r="AA116" s="1739"/>
      <c r="AB116" s="1739"/>
      <c r="AC116" s="1739"/>
    </row>
    <row r="117" spans="1:29" ht="15" thickTop="1">
      <c r="A117" s="541"/>
      <c r="B117" s="613">
        <f>B40</f>
        <v>111</v>
      </c>
      <c r="C117" s="628"/>
      <c r="D117" s="628"/>
      <c r="E117" s="628"/>
      <c r="F117" s="628"/>
      <c r="G117" s="628"/>
      <c r="H117" s="656"/>
      <c r="I117" s="656"/>
      <c r="J117" s="656"/>
      <c r="K117" s="657"/>
      <c r="L117" s="658"/>
      <c r="M117" s="659"/>
      <c r="N117" s="2730"/>
      <c r="O117" s="1764"/>
      <c r="P117" s="1763"/>
      <c r="Q117" s="1760"/>
      <c r="R117" s="1739"/>
      <c r="S117" s="1739"/>
      <c r="T117" s="1739"/>
      <c r="U117" s="1739"/>
      <c r="V117" s="1739"/>
      <c r="W117" s="1739"/>
      <c r="X117" s="1739"/>
      <c r="Y117" s="1739"/>
      <c r="Z117" s="1739"/>
      <c r="AA117" s="1739"/>
      <c r="AB117" s="1739"/>
      <c r="AC117" s="1739"/>
    </row>
    <row r="118" spans="1:29" ht="15.75" thickBot="1">
      <c r="A118" s="480"/>
      <c r="B118" s="618"/>
      <c r="C118" s="632"/>
      <c r="D118" s="611"/>
      <c r="E118" s="611"/>
      <c r="F118" s="611"/>
      <c r="G118" s="611"/>
      <c r="H118" s="611"/>
      <c r="I118" s="611"/>
      <c r="J118" s="611"/>
      <c r="K118" s="611"/>
      <c r="L118" s="611"/>
      <c r="M118" s="612"/>
      <c r="N118" s="2731"/>
      <c r="O118" s="1765"/>
      <c r="P118" s="1763"/>
      <c r="Q118" s="1760"/>
      <c r="R118" s="1739"/>
      <c r="S118" s="1739"/>
      <c r="T118" s="1739"/>
      <c r="U118" s="1739"/>
      <c r="V118" s="1739"/>
      <c r="W118" s="1739"/>
      <c r="X118" s="1739"/>
      <c r="Y118" s="1739"/>
      <c r="Z118" s="1739"/>
      <c r="AA118" s="1739"/>
      <c r="AB118" s="1739"/>
      <c r="AC118" s="1739"/>
    </row>
    <row r="119" spans="1:29" ht="15" thickTop="1">
      <c r="A119" s="541"/>
      <c r="B119" s="613">
        <f>B41</f>
        <v>111</v>
      </c>
      <c r="C119" s="628"/>
      <c r="D119" s="628"/>
      <c r="E119" s="628"/>
      <c r="F119" s="628"/>
      <c r="G119" s="656"/>
      <c r="H119" s="656"/>
      <c r="I119" s="656"/>
      <c r="J119" s="656"/>
      <c r="K119" s="657"/>
      <c r="L119" s="658"/>
      <c r="M119" s="659"/>
      <c r="N119" s="2730"/>
      <c r="O119" s="1764"/>
      <c r="P119" s="1763"/>
      <c r="Q119" s="1760"/>
      <c r="R119" s="1739"/>
      <c r="S119" s="1739"/>
      <c r="T119" s="1739"/>
      <c r="U119" s="1739"/>
      <c r="V119" s="1739"/>
      <c r="W119" s="1739"/>
      <c r="X119" s="1739"/>
      <c r="Y119" s="1739"/>
      <c r="Z119" s="1739"/>
      <c r="AA119" s="1739"/>
      <c r="AB119" s="1739"/>
      <c r="AC119" s="1739"/>
    </row>
    <row r="120" spans="1:29" ht="15.75" thickBot="1">
      <c r="A120" s="480"/>
      <c r="B120" s="618"/>
      <c r="C120" s="632"/>
      <c r="D120" s="632"/>
      <c r="E120" s="632"/>
      <c r="F120" s="632"/>
      <c r="G120" s="611"/>
      <c r="H120" s="611"/>
      <c r="I120" s="611"/>
      <c r="J120" s="611"/>
      <c r="K120" s="611"/>
      <c r="L120" s="611"/>
      <c r="M120" s="612"/>
      <c r="N120" s="2731"/>
      <c r="O120" s="1765"/>
      <c r="P120" s="1763"/>
      <c r="Q120" s="1760"/>
      <c r="R120" s="1739"/>
      <c r="S120" s="1739"/>
      <c r="T120" s="1739"/>
      <c r="U120" s="1739"/>
      <c r="V120" s="1739"/>
      <c r="W120" s="1739"/>
      <c r="X120" s="1739"/>
      <c r="Y120" s="1739"/>
      <c r="Z120" s="1739"/>
      <c r="AA120" s="1739"/>
      <c r="AB120" s="1739"/>
      <c r="AC120" s="1739"/>
    </row>
    <row r="121" spans="1:29" s="1131" customFormat="1" ht="15" thickTop="1">
      <c r="A121" s="550"/>
      <c r="B121" s="613">
        <f>B42</f>
        <v>111</v>
      </c>
      <c r="C121" s="80"/>
      <c r="D121" s="80"/>
      <c r="E121" s="80"/>
      <c r="F121" s="80"/>
      <c r="G121" s="629"/>
      <c r="H121" s="629"/>
      <c r="I121" s="629"/>
      <c r="J121" s="629"/>
      <c r="K121" s="629"/>
      <c r="L121" s="630"/>
      <c r="M121" s="631"/>
      <c r="N121" s="2732"/>
      <c r="O121" s="1766"/>
      <c r="P121" s="1766"/>
      <c r="Q121" s="1767"/>
      <c r="R121" s="1768"/>
      <c r="S121" s="1768"/>
      <c r="T121" s="1768"/>
      <c r="U121" s="1768"/>
      <c r="V121" s="1768"/>
      <c r="W121" s="1768"/>
      <c r="X121" s="1768"/>
      <c r="Y121" s="1768"/>
      <c r="Z121" s="1768"/>
      <c r="AA121" s="1768"/>
      <c r="AB121" s="1768"/>
      <c r="AC121" s="1768"/>
    </row>
    <row r="122" spans="1:29" s="1131" customFormat="1" ht="15.75" thickBot="1">
      <c r="A122" s="638"/>
      <c r="B122" s="671"/>
      <c r="C122" s="640"/>
      <c r="D122" s="640"/>
      <c r="E122" s="640"/>
      <c r="F122" s="640"/>
      <c r="G122" s="664"/>
      <c r="H122" s="664"/>
      <c r="I122" s="664"/>
      <c r="J122" s="664"/>
      <c r="K122" s="664"/>
      <c r="L122" s="664"/>
      <c r="M122" s="665"/>
      <c r="N122" s="2732"/>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90" zoomScaleNormal="60" zoomScaleSheetLayoutView="90" workbookViewId="0">
      <selection activeCell="B2" sqref="B2"/>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6.25" style="1129" customWidth="1"/>
    <col min="6" max="6" width="12.25" style="1129" customWidth="1"/>
    <col min="7" max="7" width="15.875" style="1129" customWidth="1"/>
    <col min="8" max="8" width="12.25" style="1129" customWidth="1"/>
    <col min="9" max="9" width="16.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2075" t="s">
        <v>666</v>
      </c>
      <c r="C1" s="2076" t="s">
        <v>667</v>
      </c>
      <c r="D1" s="2077" t="s">
        <v>851</v>
      </c>
      <c r="E1" s="1732"/>
      <c r="F1" s="2115" t="s">
        <v>4072</v>
      </c>
      <c r="G1" s="1325" t="s">
        <v>668</v>
      </c>
      <c r="H1" s="455"/>
      <c r="I1" s="455"/>
      <c r="J1" s="455"/>
      <c r="K1" s="456"/>
      <c r="L1" s="2712"/>
      <c r="M1" s="2713"/>
      <c r="N1" s="2713"/>
      <c r="O1" s="2713"/>
      <c r="P1" s="453"/>
      <c r="Q1" s="453"/>
      <c r="R1" s="453"/>
      <c r="S1" s="453"/>
      <c r="T1" s="453"/>
      <c r="U1" s="453"/>
      <c r="V1" s="453"/>
      <c r="W1" s="453"/>
      <c r="X1" s="453"/>
      <c r="Y1" s="453"/>
      <c r="Z1" s="453"/>
      <c r="AA1" s="453"/>
      <c r="AB1" s="453"/>
      <c r="AC1" s="396"/>
    </row>
    <row r="2" spans="1:29" s="1153" customFormat="1" ht="28.5" customHeight="1">
      <c r="A2" s="391" t="s">
        <v>427</v>
      </c>
      <c r="B2" s="2074">
        <f>ROUND(B3*D3/10000,0)</f>
        <v>99887</v>
      </c>
      <c r="C2" s="1732"/>
      <c r="D2" s="1732"/>
      <c r="E2" s="1732"/>
      <c r="F2" s="1796"/>
      <c r="G2" s="1732"/>
      <c r="H2" s="1732"/>
      <c r="I2" s="1732"/>
      <c r="J2" s="1732"/>
      <c r="K2" s="1797"/>
      <c r="L2" s="1798"/>
      <c r="M2" s="1799"/>
      <c r="N2" s="1799"/>
      <c r="O2" s="1799"/>
      <c r="P2" s="1326"/>
      <c r="Q2" s="1326"/>
      <c r="R2" s="1326"/>
      <c r="S2" s="1326"/>
      <c r="T2" s="1326"/>
      <c r="U2" s="1326"/>
      <c r="V2" s="1326"/>
      <c r="W2" s="1326"/>
      <c r="X2" s="1326"/>
      <c r="Y2" s="1326"/>
      <c r="Z2" s="1326"/>
      <c r="AA2" s="1326"/>
      <c r="AB2" s="1326"/>
      <c r="AC2" s="1327"/>
    </row>
    <row r="3" spans="1:29" s="1153" customFormat="1" ht="28.5" customHeight="1" thickBot="1">
      <c r="A3" s="458" t="s">
        <v>468</v>
      </c>
      <c r="B3" s="783">
        <f>C49</f>
        <v>28973</v>
      </c>
      <c r="C3" s="784" t="s">
        <v>669</v>
      </c>
      <c r="D3" s="783">
        <f>SUMIF('数据-汇总表'!$C19:$C33,D1,'数据-汇总表'!$E19:$E33)</f>
        <v>34475.879999999997</v>
      </c>
      <c r="E3" s="1732"/>
      <c r="F3" s="1796"/>
      <c r="G3" s="1732"/>
      <c r="H3" s="1732"/>
      <c r="I3" s="1732"/>
      <c r="J3" s="1732"/>
      <c r="K3" s="1797"/>
      <c r="L3" s="1798"/>
      <c r="M3" s="1799"/>
      <c r="N3" s="1799"/>
      <c r="O3" s="1799"/>
      <c r="P3" s="1326"/>
      <c r="Q3" s="1326"/>
      <c r="R3" s="1326"/>
      <c r="S3" s="1326"/>
      <c r="T3" s="1326"/>
      <c r="U3" s="1326"/>
      <c r="V3" s="1326"/>
      <c r="W3" s="1326"/>
      <c r="X3" s="1326"/>
      <c r="Y3" s="1326"/>
      <c r="Z3" s="1326"/>
      <c r="AA3" s="1326"/>
      <c r="AB3" s="1326"/>
      <c r="AC3" s="1327"/>
    </row>
    <row r="4" spans="1:29" ht="15">
      <c r="A4" s="461" t="s">
        <v>470</v>
      </c>
      <c r="B4" s="462"/>
      <c r="C4" s="3648" t="s">
        <v>471</v>
      </c>
      <c r="D4" s="3649"/>
      <c r="E4" s="3688" t="s">
        <v>472</v>
      </c>
      <c r="F4" s="3689"/>
      <c r="G4" s="3648" t="s">
        <v>473</v>
      </c>
      <c r="H4" s="3649"/>
      <c r="I4" s="3648" t="s">
        <v>474</v>
      </c>
      <c r="J4" s="3649"/>
      <c r="K4" s="785" t="s">
        <v>475</v>
      </c>
      <c r="L4" s="1738"/>
      <c r="M4" s="1739"/>
      <c r="N4" s="1739"/>
      <c r="O4" s="1739"/>
      <c r="P4" s="3650" t="s">
        <v>476</v>
      </c>
      <c r="Q4" s="3651"/>
      <c r="R4" s="3656" t="s">
        <v>472</v>
      </c>
      <c r="S4" s="3657"/>
      <c r="T4" s="3656" t="s">
        <v>473</v>
      </c>
      <c r="U4" s="3657"/>
      <c r="V4" s="3643" t="s">
        <v>474</v>
      </c>
      <c r="W4" s="3643"/>
      <c r="X4" s="1299"/>
      <c r="Y4" s="3656" t="s">
        <v>476</v>
      </c>
      <c r="Z4" s="3657"/>
      <c r="AA4" s="3645" t="s">
        <v>472</v>
      </c>
      <c r="AB4" s="3645" t="s">
        <v>473</v>
      </c>
      <c r="AC4" s="3645" t="s">
        <v>474</v>
      </c>
    </row>
    <row r="5" spans="1:29" ht="15">
      <c r="A5" s="464"/>
      <c r="B5" s="465"/>
      <c r="C5" s="3664" t="s">
        <v>2185</v>
      </c>
      <c r="D5" s="3665"/>
      <c r="E5" s="3690" t="str">
        <f>旧案例!B6</f>
        <v>中海云筑</v>
      </c>
      <c r="F5" s="3691"/>
      <c r="G5" s="3664" t="str">
        <f>旧案例!B7</f>
        <v>和悦璞云</v>
      </c>
      <c r="H5" s="3665"/>
      <c r="I5" s="3664" t="str">
        <f>旧案例!B9</f>
        <v>航城壹号</v>
      </c>
      <c r="J5" s="3665"/>
      <c r="K5" s="786"/>
      <c r="L5" s="1738"/>
      <c r="M5" s="1739"/>
      <c r="N5" s="1739"/>
      <c r="O5" s="1739"/>
      <c r="P5" s="3652"/>
      <c r="Q5" s="3653"/>
      <c r="R5" s="3658"/>
      <c r="S5" s="3659"/>
      <c r="T5" s="3658"/>
      <c r="U5" s="3659"/>
      <c r="V5" s="3643"/>
      <c r="W5" s="3643"/>
      <c r="X5" s="1299"/>
      <c r="Y5" s="3658"/>
      <c r="Z5" s="3659"/>
      <c r="AA5" s="3646"/>
      <c r="AB5" s="3646"/>
      <c r="AC5" s="3646"/>
    </row>
    <row r="6" spans="1:29" ht="15.75" thickBot="1">
      <c r="A6" s="466"/>
      <c r="B6" s="467"/>
      <c r="C6" s="3662" t="s">
        <v>2189</v>
      </c>
      <c r="D6" s="3663"/>
      <c r="E6" s="3686" t="s">
        <v>2189</v>
      </c>
      <c r="F6" s="3687"/>
      <c r="G6" s="3662" t="s">
        <v>2189</v>
      </c>
      <c r="H6" s="3663"/>
      <c r="I6" s="3662" t="s">
        <v>2189</v>
      </c>
      <c r="J6" s="3663"/>
      <c r="K6" s="786" t="s">
        <v>477</v>
      </c>
      <c r="L6" s="1738"/>
      <c r="M6" s="1739"/>
      <c r="N6" s="1739"/>
      <c r="O6" s="1739"/>
      <c r="P6" s="3654"/>
      <c r="Q6" s="3655"/>
      <c r="R6" s="3658"/>
      <c r="S6" s="3659"/>
      <c r="T6" s="3660"/>
      <c r="U6" s="3661"/>
      <c r="V6" s="3643"/>
      <c r="W6" s="3643"/>
      <c r="X6" s="1299"/>
      <c r="Y6" s="3660"/>
      <c r="Z6" s="3661"/>
      <c r="AA6" s="3647"/>
      <c r="AB6" s="3647"/>
      <c r="AC6" s="3647"/>
    </row>
    <row r="7" spans="1:29" s="1057" customFormat="1" ht="15.75" thickBot="1">
      <c r="A7" s="2205"/>
      <c r="B7" s="2212" t="s">
        <v>478</v>
      </c>
      <c r="C7" s="468">
        <f>'数据-取费表'!B2</f>
        <v>45617</v>
      </c>
      <c r="D7" s="469">
        <v>100</v>
      </c>
      <c r="E7" s="470">
        <f>C7</f>
        <v>45617</v>
      </c>
      <c r="F7" s="471">
        <f>SUMIF(58:58,YEAR(E7)&amp;"-"&amp;MONTH(E7),59:59)</f>
        <v>100</v>
      </c>
      <c r="G7" s="472">
        <f>C7</f>
        <v>45617</v>
      </c>
      <c r="H7" s="469">
        <f>SUMIF(58:58,YEAR(G7)&amp;"-"&amp;MONTH(G7),59:59)</f>
        <v>100</v>
      </c>
      <c r="I7" s="472">
        <f>C7</f>
        <v>45617</v>
      </c>
      <c r="J7" s="469">
        <f>SUMIF(58:58,YEAR(I7)&amp;"-"&amp;MONTH(I7),59:59)</f>
        <v>100</v>
      </c>
      <c r="K7" s="787"/>
      <c r="L7" s="1740"/>
      <c r="M7" s="1637"/>
      <c r="N7" s="1637"/>
      <c r="O7" s="1637"/>
      <c r="P7" s="3673" t="s">
        <v>479</v>
      </c>
      <c r="Q7" s="3675"/>
      <c r="R7" s="1300" t="s">
        <v>10</v>
      </c>
      <c r="S7" s="1301">
        <f t="shared" ref="S7:S15" si="0">F7</f>
        <v>100</v>
      </c>
      <c r="T7" s="1300" t="s">
        <v>10</v>
      </c>
      <c r="U7" s="1301">
        <f t="shared" ref="U7:U15" si="1">H7</f>
        <v>100</v>
      </c>
      <c r="V7" s="1300" t="s">
        <v>10</v>
      </c>
      <c r="W7" s="1301">
        <f t="shared" ref="W7:W15" si="2">J7</f>
        <v>100</v>
      </c>
      <c r="X7" s="1302"/>
      <c r="Y7" s="3673" t="s">
        <v>479</v>
      </c>
      <c r="Z7" s="3674"/>
      <c r="AA7" s="994">
        <f>D7/F7</f>
        <v>1</v>
      </c>
      <c r="AB7" s="994">
        <f>D7/H7</f>
        <v>1</v>
      </c>
      <c r="AC7" s="994">
        <f>D7/J7</f>
        <v>1</v>
      </c>
    </row>
    <row r="8" spans="1:29" s="1057" customFormat="1" ht="15.75" thickBot="1">
      <c r="A8" s="2206"/>
      <c r="B8" s="2213" t="s">
        <v>480</v>
      </c>
      <c r="C8" s="473" t="s">
        <v>524</v>
      </c>
      <c r="D8" s="469">
        <v>100</v>
      </c>
      <c r="E8" s="473" t="s">
        <v>524</v>
      </c>
      <c r="F8" s="471">
        <f>SUMIF(61:61,E8,62:62)-SUMIF(61:61,C8,62:62)+100</f>
        <v>100</v>
      </c>
      <c r="G8" s="473" t="s">
        <v>524</v>
      </c>
      <c r="H8" s="469">
        <f>SUMIF(61:61,G8,62:62)-SUMIF(61:61,C8,62:62)+100</f>
        <v>100</v>
      </c>
      <c r="I8" s="473" t="s">
        <v>524</v>
      </c>
      <c r="J8" s="469">
        <f>SUMIF(61:61,I8,62:62)-SUMIF(61:61,C8,62:62)+100</f>
        <v>100</v>
      </c>
      <c r="K8" s="787"/>
      <c r="L8" s="1740"/>
      <c r="M8" s="1637"/>
      <c r="N8" s="1637"/>
      <c r="O8" s="1637"/>
      <c r="P8" s="3673" t="s">
        <v>482</v>
      </c>
      <c r="Q8" s="3674"/>
      <c r="R8" s="1300" t="s">
        <v>10</v>
      </c>
      <c r="S8" s="1301">
        <f t="shared" si="0"/>
        <v>100</v>
      </c>
      <c r="T8" s="1300" t="s">
        <v>10</v>
      </c>
      <c r="U8" s="1301">
        <f t="shared" si="1"/>
        <v>100</v>
      </c>
      <c r="V8" s="1300" t="s">
        <v>10</v>
      </c>
      <c r="W8" s="1301">
        <f t="shared" si="2"/>
        <v>100</v>
      </c>
      <c r="X8" s="1302"/>
      <c r="Y8" s="3673" t="s">
        <v>482</v>
      </c>
      <c r="Z8" s="3674"/>
      <c r="AA8" s="994">
        <f t="shared" ref="AA8:AA46" si="3">D8/F8</f>
        <v>1</v>
      </c>
      <c r="AB8" s="994">
        <f t="shared" ref="AB8:AB46" si="4">D8/H8</f>
        <v>1</v>
      </c>
      <c r="AC8" s="994">
        <f t="shared" ref="AC8:AC46" si="5">D8/J8</f>
        <v>1</v>
      </c>
    </row>
    <row r="9" spans="1:29" s="1057" customFormat="1" ht="15">
      <c r="A9" s="2207"/>
      <c r="B9" s="2214" t="s">
        <v>2036</v>
      </c>
      <c r="C9" s="3401" t="s">
        <v>4049</v>
      </c>
      <c r="D9" s="154">
        <v>100</v>
      </c>
      <c r="E9" s="790" t="s">
        <v>851</v>
      </c>
      <c r="F9" s="156">
        <f>SUMIF(63:63,E9,64:64)-SUMIF(63:63,C9,64:64)+100</f>
        <v>100</v>
      </c>
      <c r="G9" s="790" t="s">
        <v>851</v>
      </c>
      <c r="H9" s="154">
        <f>SUMIF(63:63,G9,64:64)-SUMIF(63:63,C9,64:64)+100</f>
        <v>100</v>
      </c>
      <c r="I9" s="790" t="s">
        <v>851</v>
      </c>
      <c r="J9" s="154">
        <f>SUMIF(63:63,I9,64:64)-SUMIF(63:63,C9,64:64)+100</f>
        <v>100</v>
      </c>
      <c r="K9" s="787"/>
      <c r="L9" s="1740"/>
      <c r="M9" s="1637"/>
      <c r="N9" s="1637"/>
      <c r="O9" s="1741"/>
      <c r="P9" s="3642" t="s">
        <v>484</v>
      </c>
      <c r="Q9" s="815" t="str">
        <f t="shared" ref="Q9:Q15" si="6">B9</f>
        <v>用途</v>
      </c>
      <c r="R9" s="1300" t="s">
        <v>5</v>
      </c>
      <c r="S9" s="1301">
        <f t="shared" si="0"/>
        <v>100</v>
      </c>
      <c r="T9" s="1300" t="s">
        <v>5</v>
      </c>
      <c r="U9" s="1301">
        <f t="shared" si="1"/>
        <v>100</v>
      </c>
      <c r="V9" s="1300" t="s">
        <v>5</v>
      </c>
      <c r="W9" s="1301">
        <f t="shared" si="2"/>
        <v>100</v>
      </c>
      <c r="X9" s="1302"/>
      <c r="Y9" s="3590" t="s">
        <v>485</v>
      </c>
      <c r="Z9" s="994" t="str">
        <f t="shared" ref="Z9:Z15" si="7">Q9</f>
        <v>用途</v>
      </c>
      <c r="AA9" s="994">
        <f t="shared" si="3"/>
        <v>1</v>
      </c>
      <c r="AB9" s="994">
        <f t="shared" si="4"/>
        <v>1</v>
      </c>
      <c r="AC9" s="994">
        <f t="shared" si="5"/>
        <v>1</v>
      </c>
    </row>
    <row r="10" spans="1:29" s="1130" customFormat="1" ht="27">
      <c r="A10" s="2208"/>
      <c r="B10" s="2213" t="s">
        <v>2037</v>
      </c>
      <c r="C10" s="3380"/>
      <c r="D10" s="233">
        <v>100</v>
      </c>
      <c r="E10" s="3381"/>
      <c r="F10" s="475">
        <f>SUMIF(65:65,E10,66:66)-SUMIF(65:65,C10,66:66)+100</f>
        <v>100</v>
      </c>
      <c r="G10" s="3380"/>
      <c r="H10" s="233">
        <f>SUMIF(65:65,G10,66:66)-SUMIF(65:65,C10,66:66)+100</f>
        <v>100</v>
      </c>
      <c r="I10" s="3380"/>
      <c r="J10" s="233">
        <f>SUMIF(65:65,I10,66:66)-SUMIF(65:65,C10,66:66)+100</f>
        <v>100</v>
      </c>
      <c r="K10" s="787"/>
      <c r="L10" s="1742"/>
      <c r="M10" s="1775"/>
      <c r="N10" s="1775"/>
      <c r="O10" s="1743"/>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75" thickBot="1">
      <c r="A11" s="2209"/>
      <c r="B11" s="2213" t="s">
        <v>2038</v>
      </c>
      <c r="C11" s="481"/>
      <c r="D11" s="233">
        <v>100</v>
      </c>
      <c r="E11" s="482"/>
      <c r="F11" s="475">
        <f>LOOKUP(E11,68:68,69:69)-LOOKUP(C11,68:68,69:69)+100</f>
        <v>100</v>
      </c>
      <c r="G11" s="481"/>
      <c r="H11" s="233">
        <f>LOOKUP(G11,68:68,69:69)-LOOKUP(C11,68:68,69:69)+100</f>
        <v>100</v>
      </c>
      <c r="I11" s="481"/>
      <c r="J11" s="233">
        <f>LOOKUP(I11,68:68,69:69)-LOOKUP(C11,68:68,69:69)+100</f>
        <v>100</v>
      </c>
      <c r="K11" s="792"/>
      <c r="L11" s="1744"/>
      <c r="M11" s="1739"/>
      <c r="N11" s="1739"/>
      <c r="O11" s="1745"/>
      <c r="P11" s="3642"/>
      <c r="Q11" s="815" t="str">
        <f t="shared" si="6"/>
        <v>容积率</v>
      </c>
      <c r="R11" s="1300" t="s">
        <v>8</v>
      </c>
      <c r="S11" s="1301">
        <f t="shared" si="0"/>
        <v>100</v>
      </c>
      <c r="T11" s="1300" t="s">
        <v>8</v>
      </c>
      <c r="U11" s="1301">
        <f t="shared" si="1"/>
        <v>100</v>
      </c>
      <c r="V11" s="1300" t="s">
        <v>8</v>
      </c>
      <c r="W11" s="1301">
        <f t="shared" si="2"/>
        <v>100</v>
      </c>
      <c r="X11" s="1302"/>
      <c r="Y11" s="3590"/>
      <c r="Z11" s="994" t="str">
        <f t="shared" si="7"/>
        <v>容积率</v>
      </c>
      <c r="AA11" s="994">
        <f t="shared" si="3"/>
        <v>1</v>
      </c>
      <c r="AB11" s="994">
        <f t="shared" si="4"/>
        <v>1</v>
      </c>
      <c r="AC11" s="994">
        <f t="shared" si="5"/>
        <v>1</v>
      </c>
    </row>
    <row r="12" spans="1:29" s="1057" customFormat="1" ht="15" hidden="1">
      <c r="A12" s="2210"/>
      <c r="B12" s="3404" t="s">
        <v>4102</v>
      </c>
      <c r="C12" s="476"/>
      <c r="D12" s="486">
        <v>100</v>
      </c>
      <c r="E12" s="476"/>
      <c r="F12" s="475">
        <f>SUMIF(70:70,E12,71:71)-SUMIF(70:70,C12,71:71)+100</f>
        <v>100</v>
      </c>
      <c r="G12" s="476"/>
      <c r="H12" s="233">
        <f>SUMIF(70:70,G12,71:71)-SUMIF(70:70,C12,71:71)+100</f>
        <v>100</v>
      </c>
      <c r="I12" s="476"/>
      <c r="J12" s="233">
        <f>SUMIF(70:70,I12,71:71)-SUMIF(70:70,C12,71:71)+100</f>
        <v>100</v>
      </c>
      <c r="K12" s="793"/>
      <c r="L12" s="1740"/>
      <c r="M12" s="1637"/>
      <c r="N12" s="1637"/>
      <c r="O12" s="1741"/>
      <c r="P12" s="3642"/>
      <c r="Q12" s="815" t="str">
        <f t="shared" si="6"/>
        <v>限价</v>
      </c>
      <c r="R12" s="1300" t="s">
        <v>8</v>
      </c>
      <c r="S12" s="1301">
        <f t="shared" si="0"/>
        <v>100</v>
      </c>
      <c r="T12" s="1300" t="s">
        <v>8</v>
      </c>
      <c r="U12" s="1301">
        <f t="shared" si="1"/>
        <v>100</v>
      </c>
      <c r="V12" s="1300" t="s">
        <v>8</v>
      </c>
      <c r="W12" s="1301">
        <f t="shared" si="2"/>
        <v>100</v>
      </c>
      <c r="X12" s="1302"/>
      <c r="Y12" s="3590"/>
      <c r="Z12" s="994" t="str">
        <f t="shared" si="7"/>
        <v>限价</v>
      </c>
      <c r="AA12" s="994">
        <f>D12/F12</f>
        <v>1</v>
      </c>
      <c r="AB12" s="994">
        <f>D12/H12</f>
        <v>1</v>
      </c>
      <c r="AC12" s="994">
        <f>D12/J12</f>
        <v>1</v>
      </c>
    </row>
    <row r="13" spans="1:29" ht="15" hidden="1">
      <c r="A13" s="2210"/>
      <c r="B13" s="2216">
        <v>111</v>
      </c>
      <c r="C13" s="487"/>
      <c r="D13" s="488">
        <v>100</v>
      </c>
      <c r="E13" s="487"/>
      <c r="F13" s="475">
        <f>SUMIF(72:72,E13,73:73)-SUMIF(72:72,C13,73:73)+100</f>
        <v>100</v>
      </c>
      <c r="G13" s="487"/>
      <c r="H13" s="488">
        <f>SUMIF(72:72,G13,73:73)-SUMIF(72:72,C13,73:73)+100</f>
        <v>100</v>
      </c>
      <c r="I13" s="487"/>
      <c r="J13" s="488">
        <f>SUMIF(72:72,I13,73:73)-SUMIF(72:72,C13,73:73)+100</f>
        <v>100</v>
      </c>
      <c r="K13" s="793"/>
      <c r="L13" s="1746"/>
      <c r="M13" s="1739"/>
      <c r="N13" s="1739"/>
      <c r="O13" s="1745"/>
      <c r="P13" s="3642"/>
      <c r="Q13" s="815">
        <f t="shared" si="6"/>
        <v>111</v>
      </c>
      <c r="R13" s="1300" t="s">
        <v>8</v>
      </c>
      <c r="S13" s="1301">
        <f t="shared" si="0"/>
        <v>100</v>
      </c>
      <c r="T13" s="1300" t="s">
        <v>8</v>
      </c>
      <c r="U13" s="1301">
        <f t="shared" si="1"/>
        <v>100</v>
      </c>
      <c r="V13" s="1300" t="s">
        <v>8</v>
      </c>
      <c r="W13" s="1301">
        <f t="shared" si="2"/>
        <v>100</v>
      </c>
      <c r="X13" s="1302"/>
      <c r="Y13" s="3590"/>
      <c r="Z13" s="994">
        <f t="shared" si="7"/>
        <v>111</v>
      </c>
      <c r="AA13" s="994">
        <f t="shared" si="3"/>
        <v>1</v>
      </c>
      <c r="AB13" s="994">
        <f t="shared" si="4"/>
        <v>1</v>
      </c>
      <c r="AC13" s="994">
        <f t="shared" si="5"/>
        <v>1</v>
      </c>
    </row>
    <row r="14" spans="1:29" ht="15.75" hidden="1" thickBot="1">
      <c r="A14" s="2211"/>
      <c r="B14" s="2217">
        <v>111</v>
      </c>
      <c r="C14" s="493"/>
      <c r="D14" s="494">
        <v>100</v>
      </c>
      <c r="E14" s="493"/>
      <c r="F14" s="794">
        <f>SUMIF(74:74,E14,75:75)-SUMIF(74:74,C14,75:75)+100</f>
        <v>100</v>
      </c>
      <c r="G14" s="493"/>
      <c r="H14" s="494">
        <f>SUMIF(74:74,G14,75:75)-SUMIF(74:74,C14,75:75)+100</f>
        <v>100</v>
      </c>
      <c r="I14" s="493"/>
      <c r="J14" s="494">
        <f>SUMIF(74:74,I14,75:75)-SUMIF(74:74,C14,75:75)+100</f>
        <v>100</v>
      </c>
      <c r="K14" s="793"/>
      <c r="L14" s="1746"/>
      <c r="M14" s="1739"/>
      <c r="N14" s="1739"/>
      <c r="O14" s="1745"/>
      <c r="P14" s="3642"/>
      <c r="Q14" s="815">
        <f t="shared" si="6"/>
        <v>111</v>
      </c>
      <c r="R14" s="1300" t="s">
        <v>8</v>
      </c>
      <c r="S14" s="1301">
        <f t="shared" si="0"/>
        <v>100</v>
      </c>
      <c r="T14" s="1300" t="s">
        <v>8</v>
      </c>
      <c r="U14" s="1301">
        <f t="shared" si="1"/>
        <v>100</v>
      </c>
      <c r="V14" s="1300" t="s">
        <v>8</v>
      </c>
      <c r="W14" s="1301">
        <f t="shared" si="2"/>
        <v>100</v>
      </c>
      <c r="X14" s="1302"/>
      <c r="Y14" s="3590"/>
      <c r="Z14" s="994">
        <f t="shared" si="7"/>
        <v>111</v>
      </c>
      <c r="AA14" s="994">
        <f t="shared" si="3"/>
        <v>1</v>
      </c>
      <c r="AB14" s="994">
        <f t="shared" si="4"/>
        <v>1</v>
      </c>
      <c r="AC14" s="994">
        <f t="shared" si="5"/>
        <v>1</v>
      </c>
    </row>
    <row r="15" spans="1:29" ht="15">
      <c r="A15" s="2203" t="s">
        <v>2034</v>
      </c>
      <c r="B15" s="150" t="s">
        <v>261</v>
      </c>
      <c r="C15" s="795">
        <f>估价对象房地状况!C3</f>
        <v>0</v>
      </c>
      <c r="D15" s="497">
        <v>100</v>
      </c>
      <c r="E15" s="3402" t="s">
        <v>4060</v>
      </c>
      <c r="F15" s="499">
        <f>SUMIF(76:76,E16,77:77)-SUMIF(76:76,C16,77:77)+100</f>
        <v>100</v>
      </c>
      <c r="G15" s="500" t="s">
        <v>3342</v>
      </c>
      <c r="H15" s="497">
        <f>SUMIF(76:76,G16,77:77)-SUMIF(76:76,C16,77:77)+100</f>
        <v>100</v>
      </c>
      <c r="I15" s="500" t="s">
        <v>3342</v>
      </c>
      <c r="J15" s="497">
        <f>SUMIF(76:76,I16,77:77)-SUMIF(76:76,C16,77:77)+100</f>
        <v>100</v>
      </c>
      <c r="K15" s="796">
        <v>1</v>
      </c>
      <c r="L15" s="1746"/>
      <c r="M15" s="1739"/>
      <c r="N15" s="1739"/>
      <c r="O15" s="1745"/>
      <c r="P15" s="3676" t="s">
        <v>489</v>
      </c>
      <c r="Q15" s="1303" t="str">
        <f t="shared" si="6"/>
        <v>居住社区成熟度</v>
      </c>
      <c r="R15" s="1304" t="s">
        <v>8</v>
      </c>
      <c r="S15" s="1305">
        <f t="shared" si="0"/>
        <v>100</v>
      </c>
      <c r="T15" s="1304" t="s">
        <v>8</v>
      </c>
      <c r="U15" s="1305">
        <f t="shared" si="1"/>
        <v>100</v>
      </c>
      <c r="V15" s="1304" t="s">
        <v>8</v>
      </c>
      <c r="W15" s="1305">
        <f t="shared" si="2"/>
        <v>100</v>
      </c>
      <c r="X15" s="1299"/>
      <c r="Y15" s="3676" t="s">
        <v>489</v>
      </c>
      <c r="Z15" s="1306" t="str">
        <f t="shared" si="7"/>
        <v>居住社区成熟度</v>
      </c>
      <c r="AA15" s="1306">
        <f t="shared" si="3"/>
        <v>1</v>
      </c>
      <c r="AB15" s="1306">
        <f t="shared" si="4"/>
        <v>1</v>
      </c>
      <c r="AC15" s="1306">
        <f t="shared" si="5"/>
        <v>1</v>
      </c>
    </row>
    <row r="16" spans="1:29" ht="15.75" thickBot="1">
      <c r="A16" s="480"/>
      <c r="B16" s="797"/>
      <c r="C16" s="3460" t="s">
        <v>3342</v>
      </c>
      <c r="D16" s="503"/>
      <c r="E16" s="504" t="s">
        <v>3342</v>
      </c>
      <c r="F16" s="505"/>
      <c r="G16" s="506" t="s">
        <v>3342</v>
      </c>
      <c r="H16" s="507"/>
      <c r="I16" s="506" t="s">
        <v>3342</v>
      </c>
      <c r="J16" s="503"/>
      <c r="K16" s="798"/>
      <c r="L16" s="1746"/>
      <c r="M16" s="1739"/>
      <c r="N16" s="1739"/>
      <c r="O16" s="1745"/>
      <c r="P16" s="3677"/>
      <c r="Q16" s="1303"/>
      <c r="R16" s="1304"/>
      <c r="S16" s="1305"/>
      <c r="T16" s="1304"/>
      <c r="U16" s="1305"/>
      <c r="V16" s="1304"/>
      <c r="W16" s="1305"/>
      <c r="X16" s="1299"/>
      <c r="Y16" s="3677"/>
      <c r="Z16" s="1306"/>
      <c r="AA16" s="1306">
        <v>1</v>
      </c>
      <c r="AB16" s="1306">
        <v>1</v>
      </c>
      <c r="AC16" s="1306">
        <v>1</v>
      </c>
    </row>
    <row r="17" spans="1:29" ht="15">
      <c r="A17" s="480"/>
      <c r="B17" s="675" t="s">
        <v>262</v>
      </c>
      <c r="C17" s="799">
        <f>估价对象房地状况!C6</f>
        <v>0</v>
      </c>
      <c r="D17" s="507">
        <v>100</v>
      </c>
      <c r="E17" s="3402" t="s">
        <v>4060</v>
      </c>
      <c r="F17" s="511">
        <f>SUMIF(78:78,E18,79:79)-SUMIF(78:78,C18,79:79)+100</f>
        <v>100</v>
      </c>
      <c r="G17" s="512" t="s">
        <v>3342</v>
      </c>
      <c r="H17" s="513">
        <f>SUMIF(78:78,G18,79:79)-SUMIF(78:78,C18,79:79)+100</f>
        <v>100</v>
      </c>
      <c r="I17" s="512" t="s">
        <v>3342</v>
      </c>
      <c r="J17" s="513">
        <f>SUMIF(78:78,I18,79:79)-SUMIF(78:78,C18,79:79)+100</f>
        <v>100</v>
      </c>
      <c r="K17" s="796">
        <v>1</v>
      </c>
      <c r="L17" s="1746"/>
      <c r="M17" s="1739"/>
      <c r="N17" s="1739"/>
      <c r="O17" s="1745"/>
      <c r="P17" s="3677"/>
      <c r="Q17" s="1303" t="str">
        <f>B17</f>
        <v>交通便捷度</v>
      </c>
      <c r="R17" s="1304" t="s">
        <v>8</v>
      </c>
      <c r="S17" s="1305">
        <f>F17</f>
        <v>100</v>
      </c>
      <c r="T17" s="1304" t="s">
        <v>8</v>
      </c>
      <c r="U17" s="1305">
        <f>H17</f>
        <v>100</v>
      </c>
      <c r="V17" s="1304" t="s">
        <v>8</v>
      </c>
      <c r="W17" s="1305">
        <f>J17</f>
        <v>100</v>
      </c>
      <c r="X17" s="1299"/>
      <c r="Y17" s="3677"/>
      <c r="Z17" s="1306" t="str">
        <f>Q17</f>
        <v>交通便捷度</v>
      </c>
      <c r="AA17" s="1306">
        <f t="shared" si="3"/>
        <v>1</v>
      </c>
      <c r="AB17" s="1306">
        <f t="shared" si="4"/>
        <v>1</v>
      </c>
      <c r="AC17" s="1306">
        <f t="shared" si="5"/>
        <v>1</v>
      </c>
    </row>
    <row r="18" spans="1:29" ht="15.75" thickBot="1">
      <c r="A18" s="480"/>
      <c r="B18" s="542"/>
      <c r="C18" s="3461" t="s">
        <v>3342</v>
      </c>
      <c r="D18" s="507"/>
      <c r="E18" s="504" t="s">
        <v>3342</v>
      </c>
      <c r="F18" s="511"/>
      <c r="G18" s="517" t="s">
        <v>3342</v>
      </c>
      <c r="H18" s="503"/>
      <c r="I18" s="517" t="s">
        <v>3342</v>
      </c>
      <c r="J18" s="503"/>
      <c r="K18" s="798"/>
      <c r="L18" s="1746"/>
      <c r="M18" s="1739"/>
      <c r="N18" s="1739"/>
      <c r="O18" s="1745"/>
      <c r="P18" s="3677"/>
      <c r="Q18" s="1303"/>
      <c r="R18" s="1304"/>
      <c r="S18" s="1305"/>
      <c r="T18" s="1304"/>
      <c r="U18" s="1305"/>
      <c r="V18" s="1304"/>
      <c r="W18" s="1305"/>
      <c r="X18" s="1299"/>
      <c r="Y18" s="3677"/>
      <c r="Z18" s="1306"/>
      <c r="AA18" s="1306">
        <v>1</v>
      </c>
      <c r="AB18" s="1306">
        <v>1</v>
      </c>
      <c r="AC18" s="1306">
        <v>1</v>
      </c>
    </row>
    <row r="19" spans="1:29" ht="15">
      <c r="A19" s="480"/>
      <c r="B19" s="2056" t="s">
        <v>1827</v>
      </c>
      <c r="C19" s="799">
        <f>估价对象房地状况!C7</f>
        <v>0</v>
      </c>
      <c r="D19" s="513">
        <v>100</v>
      </c>
      <c r="E19" s="3402" t="s">
        <v>4060</v>
      </c>
      <c r="F19" s="519">
        <f>SUMIF(80:80,E20,81:81)-SUMIF(80:80,C20,81:81)+100</f>
        <v>100</v>
      </c>
      <c r="G19" s="520" t="s">
        <v>3342</v>
      </c>
      <c r="H19" s="507">
        <f>SUMIF(80:80,G20,81:81)-SUMIF(80:80,C20,81:81)+100</f>
        <v>100</v>
      </c>
      <c r="I19" s="520" t="s">
        <v>3342</v>
      </c>
      <c r="J19" s="507">
        <f>SUMIF(80:80,I20,81:81)-SUMIF(80:80,C20,81:81)+100</f>
        <v>100</v>
      </c>
      <c r="K19" s="796">
        <v>1</v>
      </c>
      <c r="L19" s="1746"/>
      <c r="M19" s="1739"/>
      <c r="N19" s="1739"/>
      <c r="O19" s="1745"/>
      <c r="P19" s="3677"/>
      <c r="Q19" s="1303" t="str">
        <f>B19</f>
        <v>公共配套设施</v>
      </c>
      <c r="R19" s="1304" t="s">
        <v>8</v>
      </c>
      <c r="S19" s="1305">
        <f>F19</f>
        <v>100</v>
      </c>
      <c r="T19" s="1304" t="s">
        <v>8</v>
      </c>
      <c r="U19" s="1305">
        <f>H19</f>
        <v>100</v>
      </c>
      <c r="V19" s="1304" t="s">
        <v>8</v>
      </c>
      <c r="W19" s="1305">
        <f>J19</f>
        <v>100</v>
      </c>
      <c r="X19" s="1299"/>
      <c r="Y19" s="3677"/>
      <c r="Z19" s="1306" t="str">
        <f>Q19</f>
        <v>公共配套设施</v>
      </c>
      <c r="AA19" s="1306">
        <f t="shared" si="3"/>
        <v>1</v>
      </c>
      <c r="AB19" s="1306">
        <f t="shared" si="4"/>
        <v>1</v>
      </c>
      <c r="AC19" s="1306">
        <f t="shared" si="5"/>
        <v>1</v>
      </c>
    </row>
    <row r="20" spans="1:29" ht="15">
      <c r="A20" s="480"/>
      <c r="B20" s="542"/>
      <c r="C20" s="3460" t="s">
        <v>3342</v>
      </c>
      <c r="D20" s="503"/>
      <c r="E20" s="504" t="s">
        <v>3342</v>
      </c>
      <c r="F20" s="505"/>
      <c r="G20" s="506" t="s">
        <v>3342</v>
      </c>
      <c r="H20" s="503"/>
      <c r="I20" s="506" t="s">
        <v>3342</v>
      </c>
      <c r="J20" s="503"/>
      <c r="K20" s="798"/>
      <c r="L20" s="1746"/>
      <c r="M20" s="1739"/>
      <c r="N20" s="1739"/>
      <c r="O20" s="1745"/>
      <c r="P20" s="3677"/>
      <c r="Q20" s="1303"/>
      <c r="R20" s="1304"/>
      <c r="S20" s="1305"/>
      <c r="T20" s="1304"/>
      <c r="U20" s="1305"/>
      <c r="V20" s="1304"/>
      <c r="W20" s="1305"/>
      <c r="X20" s="1299"/>
      <c r="Y20" s="3677"/>
      <c r="Z20" s="1306"/>
      <c r="AA20" s="1306">
        <v>1</v>
      </c>
      <c r="AB20" s="1306">
        <v>1</v>
      </c>
      <c r="AC20" s="1306">
        <v>1</v>
      </c>
    </row>
    <row r="21" spans="1:29" ht="15">
      <c r="A21" s="480"/>
      <c r="B21" s="2049" t="s">
        <v>1839</v>
      </c>
      <c r="C21" s="799" t="str">
        <f>估价对象房地状况!C8</f>
        <v>七通</v>
      </c>
      <c r="D21" s="513">
        <v>100</v>
      </c>
      <c r="E21" s="520" t="s">
        <v>3344</v>
      </c>
      <c r="F21" s="519">
        <f>SUMIF(82:82,E22,83:83)-SUMIF(82:82,C22,83:83)+100</f>
        <v>100</v>
      </c>
      <c r="G21" s="520" t="s">
        <v>3344</v>
      </c>
      <c r="H21" s="513">
        <f>SUMIF(82:82,G22,83:83)-SUMIF(82:82,C22,83:83)+100</f>
        <v>100</v>
      </c>
      <c r="I21" s="520" t="s">
        <v>3344</v>
      </c>
      <c r="J21" s="513">
        <f>SUMIF(82:82,I22,83:83)-SUMIF(82:82,C22,83:83)+100</f>
        <v>100</v>
      </c>
      <c r="K21" s="796">
        <v>1</v>
      </c>
      <c r="L21" s="1746"/>
      <c r="M21" s="1739"/>
      <c r="N21" s="1739"/>
      <c r="O21" s="1745"/>
      <c r="P21" s="3677"/>
      <c r="Q21" s="1303" t="str">
        <f>B21</f>
        <v>基础设施水平</v>
      </c>
      <c r="R21" s="1304" t="s">
        <v>8</v>
      </c>
      <c r="S21" s="1305">
        <f>F21</f>
        <v>100</v>
      </c>
      <c r="T21" s="1304" t="s">
        <v>8</v>
      </c>
      <c r="U21" s="1305">
        <f>H21</f>
        <v>100</v>
      </c>
      <c r="V21" s="1304" t="s">
        <v>8</v>
      </c>
      <c r="W21" s="1305">
        <f>J21</f>
        <v>100</v>
      </c>
      <c r="X21" s="1299"/>
      <c r="Y21" s="3677"/>
      <c r="Z21" s="1306" t="str">
        <f>Q21</f>
        <v>基础设施水平</v>
      </c>
      <c r="AA21" s="1306">
        <f>D21/F21</f>
        <v>1</v>
      </c>
      <c r="AB21" s="1306">
        <f>D21/H21</f>
        <v>1</v>
      </c>
      <c r="AC21" s="1306">
        <f>D21/J21</f>
        <v>1</v>
      </c>
    </row>
    <row r="22" spans="1:29" ht="15.75" thickBot="1">
      <c r="A22" s="480"/>
      <c r="B22" s="841"/>
      <c r="C22" s="800" t="s">
        <v>3344</v>
      </c>
      <c r="D22" s="503"/>
      <c r="E22" s="524" t="s">
        <v>3344</v>
      </c>
      <c r="F22" s="505"/>
      <c r="G22" s="524" t="s">
        <v>3344</v>
      </c>
      <c r="H22" s="503"/>
      <c r="I22" s="524" t="s">
        <v>3344</v>
      </c>
      <c r="J22" s="503"/>
      <c r="K22" s="2055"/>
      <c r="L22" s="1746"/>
      <c r="M22" s="1739"/>
      <c r="N22" s="1739"/>
      <c r="O22" s="1745"/>
      <c r="P22" s="3677"/>
      <c r="Q22" s="1303"/>
      <c r="R22" s="1304"/>
      <c r="S22" s="1305"/>
      <c r="T22" s="1304"/>
      <c r="U22" s="1305"/>
      <c r="V22" s="1304"/>
      <c r="W22" s="1305"/>
      <c r="X22" s="1299"/>
      <c r="Y22" s="3677"/>
      <c r="Z22" s="1306"/>
      <c r="AA22" s="1306">
        <v>1</v>
      </c>
      <c r="AB22" s="1306">
        <v>1</v>
      </c>
      <c r="AC22" s="1306">
        <v>1</v>
      </c>
    </row>
    <row r="23" spans="1:29" ht="15">
      <c r="A23" s="480"/>
      <c r="B23" s="675" t="s">
        <v>263</v>
      </c>
      <c r="C23" s="799">
        <f>估价对象房地状况!C9</f>
        <v>0</v>
      </c>
      <c r="D23" s="507">
        <v>100</v>
      </c>
      <c r="E23" s="3402" t="s">
        <v>4060</v>
      </c>
      <c r="F23" s="511">
        <f>SUMIF(84:84,E24,85:85)-SUMIF(84:84,C24,85:85)+100</f>
        <v>101</v>
      </c>
      <c r="G23" s="512" t="s">
        <v>3342</v>
      </c>
      <c r="H23" s="507">
        <f>SUMIF(84:84,G24,85:85)-SUMIF(84:84,C24,85:85)+100</f>
        <v>101</v>
      </c>
      <c r="I23" s="512" t="s">
        <v>3342</v>
      </c>
      <c r="J23" s="507">
        <f>SUMIF(84:84,I24,85:85)-SUMIF(84:84,C24,85:85)+100</f>
        <v>101</v>
      </c>
      <c r="K23" s="796">
        <v>1</v>
      </c>
      <c r="L23" s="1746"/>
      <c r="M23" s="1739"/>
      <c r="N23" s="1739"/>
      <c r="O23" s="1745"/>
      <c r="P23" s="3677"/>
      <c r="Q23" s="1303" t="str">
        <f>B23</f>
        <v>自然及人文环境</v>
      </c>
      <c r="R23" s="1304" t="s">
        <v>8</v>
      </c>
      <c r="S23" s="1305">
        <f>F23</f>
        <v>101</v>
      </c>
      <c r="T23" s="1304" t="s">
        <v>8</v>
      </c>
      <c r="U23" s="1305">
        <f>H23</f>
        <v>101</v>
      </c>
      <c r="V23" s="1304" t="s">
        <v>8</v>
      </c>
      <c r="W23" s="1305">
        <f>J23</f>
        <v>101</v>
      </c>
      <c r="X23" s="1299"/>
      <c r="Y23" s="3677"/>
      <c r="Z23" s="1306" t="str">
        <f>Q23</f>
        <v>自然及人文环境</v>
      </c>
      <c r="AA23" s="1306">
        <f t="shared" si="3"/>
        <v>0.99009900990099009</v>
      </c>
      <c r="AB23" s="1306">
        <f t="shared" si="4"/>
        <v>0.99009900990099009</v>
      </c>
      <c r="AC23" s="1306">
        <f t="shared" si="5"/>
        <v>0.99009900990099009</v>
      </c>
    </row>
    <row r="24" spans="1:29" ht="15.75" thickBot="1">
      <c r="A24" s="480"/>
      <c r="B24" s="542"/>
      <c r="C24" s="524" t="s">
        <v>3343</v>
      </c>
      <c r="D24" s="503"/>
      <c r="E24" s="504" t="s">
        <v>3342</v>
      </c>
      <c r="F24" s="505"/>
      <c r="G24" s="506" t="s">
        <v>3342</v>
      </c>
      <c r="H24" s="503"/>
      <c r="I24" s="506" t="s">
        <v>3342</v>
      </c>
      <c r="J24" s="503"/>
      <c r="K24" s="798"/>
      <c r="L24" s="1746"/>
      <c r="M24" s="1739"/>
      <c r="N24" s="1739"/>
      <c r="O24" s="1745"/>
      <c r="P24" s="3677"/>
      <c r="Q24" s="1303"/>
      <c r="R24" s="1304"/>
      <c r="S24" s="1305"/>
      <c r="T24" s="1304"/>
      <c r="U24" s="1305"/>
      <c r="V24" s="1304"/>
      <c r="W24" s="1305"/>
      <c r="X24" s="1299"/>
      <c r="Y24" s="3677"/>
      <c r="Z24" s="1306"/>
      <c r="AA24" s="1306">
        <v>1</v>
      </c>
      <c r="AB24" s="1306">
        <v>1</v>
      </c>
      <c r="AC24" s="1306">
        <v>1</v>
      </c>
    </row>
    <row r="25" spans="1:29" ht="15" hidden="1">
      <c r="A25" s="480"/>
      <c r="B25" s="1551" t="s">
        <v>1613</v>
      </c>
      <c r="C25" s="522"/>
      <c r="D25" s="488">
        <v>100</v>
      </c>
      <c r="E25" s="801"/>
      <c r="F25" s="523">
        <f>SUMIF(86:86,E25,87:87)-SUMIF(86:86,C25,87:87)+100</f>
        <v>100</v>
      </c>
      <c r="G25" s="546"/>
      <c r="H25" s="488">
        <f>SUMIF(86:86,G25,87:87)-SUMIF(86:86,C25,87:87)+100</f>
        <v>100</v>
      </c>
      <c r="I25" s="801"/>
      <c r="J25" s="488">
        <f>SUMIF(86:86,I25,87:87)-SUMIF(86:86,C25,87:87)+100</f>
        <v>100</v>
      </c>
      <c r="K25" s="792"/>
      <c r="L25" s="1746"/>
      <c r="M25" s="1739"/>
      <c r="N25" s="1739"/>
      <c r="O25" s="1745"/>
      <c r="P25" s="3677"/>
      <c r="Q25" s="1303" t="str">
        <f t="shared" ref="Q25:Q46" si="8">B25</f>
        <v>楼层-1</v>
      </c>
      <c r="R25" s="1304" t="s">
        <v>8</v>
      </c>
      <c r="S25" s="1305">
        <f>F25</f>
        <v>100</v>
      </c>
      <c r="T25" s="1304" t="s">
        <v>8</v>
      </c>
      <c r="U25" s="1305">
        <f>H25</f>
        <v>100</v>
      </c>
      <c r="V25" s="1304" t="s">
        <v>8</v>
      </c>
      <c r="W25" s="1305">
        <f>J25</f>
        <v>100</v>
      </c>
      <c r="X25" s="1299"/>
      <c r="Y25" s="3677"/>
      <c r="Z25" s="1306" t="str">
        <f>Q25</f>
        <v>楼层-1</v>
      </c>
      <c r="AA25" s="1306">
        <f t="shared" si="3"/>
        <v>1</v>
      </c>
      <c r="AB25" s="1306">
        <f t="shared" si="4"/>
        <v>1</v>
      </c>
      <c r="AC25" s="1306">
        <f t="shared" si="5"/>
        <v>1</v>
      </c>
    </row>
    <row r="26" spans="1:29" ht="15" hidden="1">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6"/>
      <c r="M26" s="1739"/>
      <c r="N26" s="1739"/>
      <c r="O26" s="1745"/>
      <c r="P26" s="3677"/>
      <c r="Q26" s="1303" t="str">
        <f t="shared" si="8"/>
        <v>朝向</v>
      </c>
      <c r="R26" s="1304" t="s">
        <v>8</v>
      </c>
      <c r="S26" s="1305">
        <f>F26</f>
        <v>100</v>
      </c>
      <c r="T26" s="1304" t="s">
        <v>8</v>
      </c>
      <c r="U26" s="1305">
        <f>H26</f>
        <v>100</v>
      </c>
      <c r="V26" s="1304" t="s">
        <v>8</v>
      </c>
      <c r="W26" s="1305">
        <f>J26</f>
        <v>100</v>
      </c>
      <c r="X26" s="1299"/>
      <c r="Y26" s="3677"/>
      <c r="Z26" s="1306" t="str">
        <f>Q26</f>
        <v>朝向</v>
      </c>
      <c r="AA26" s="1306">
        <f t="shared" si="3"/>
        <v>1</v>
      </c>
      <c r="AB26" s="1306">
        <f t="shared" si="4"/>
        <v>1</v>
      </c>
      <c r="AC26" s="1306">
        <f t="shared" si="5"/>
        <v>1</v>
      </c>
    </row>
    <row r="27" spans="1:29" s="1057" customFormat="1" ht="15" hidden="1">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40"/>
      <c r="M27" s="1637"/>
      <c r="N27" s="1637"/>
      <c r="O27" s="1741"/>
      <c r="P27" s="3677"/>
      <c r="Q27" s="815" t="str">
        <f t="shared" si="8"/>
        <v>道路级别</v>
      </c>
      <c r="R27" s="1300" t="s">
        <v>8</v>
      </c>
      <c r="S27" s="1301">
        <f>F27</f>
        <v>100</v>
      </c>
      <c r="T27" s="1300" t="s">
        <v>8</v>
      </c>
      <c r="U27" s="1301">
        <f>H27</f>
        <v>100</v>
      </c>
      <c r="V27" s="1300" t="s">
        <v>8</v>
      </c>
      <c r="W27" s="1301">
        <f>J27</f>
        <v>100</v>
      </c>
      <c r="X27" s="1302"/>
      <c r="Y27" s="3677"/>
      <c r="Z27" s="994" t="str">
        <f>Q27</f>
        <v>道路级别</v>
      </c>
      <c r="AA27" s="1306">
        <f>D27/F27</f>
        <v>1</v>
      </c>
      <c r="AB27" s="1306">
        <f>D27/H27</f>
        <v>1</v>
      </c>
      <c r="AC27" s="1306">
        <f>D27/J27</f>
        <v>1</v>
      </c>
    </row>
    <row r="28" spans="1:29" ht="15" hidden="1">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3"/>
      <c r="L28" s="1746"/>
      <c r="M28" s="1739"/>
      <c r="N28" s="1739"/>
      <c r="O28" s="1745"/>
      <c r="P28" s="3677"/>
      <c r="Q28" s="1303">
        <f t="shared" si="8"/>
        <v>111</v>
      </c>
      <c r="R28" s="1304" t="s">
        <v>8</v>
      </c>
      <c r="S28" s="1305">
        <f t="shared" ref="S28:S46" si="9">F28</f>
        <v>100</v>
      </c>
      <c r="T28" s="1304" t="s">
        <v>8</v>
      </c>
      <c r="U28" s="1305">
        <f t="shared" ref="U28:U46" si="10">H28</f>
        <v>100</v>
      </c>
      <c r="V28" s="1304" t="s">
        <v>8</v>
      </c>
      <c r="W28" s="1305">
        <f t="shared" ref="W28:W46" si="11">J28</f>
        <v>100</v>
      </c>
      <c r="X28" s="1299"/>
      <c r="Y28" s="3677"/>
      <c r="Z28" s="1306">
        <f t="shared" ref="Z28:Z46" si="12">Q28</f>
        <v>111</v>
      </c>
      <c r="AA28" s="1306">
        <f t="shared" si="3"/>
        <v>1</v>
      </c>
      <c r="AB28" s="1306">
        <f t="shared" si="4"/>
        <v>1</v>
      </c>
      <c r="AC28" s="1306">
        <f t="shared" si="5"/>
        <v>1</v>
      </c>
    </row>
    <row r="29" spans="1:29" ht="15" hidden="1">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3"/>
      <c r="L29" s="1746"/>
      <c r="M29" s="1739"/>
      <c r="N29" s="1739"/>
      <c r="O29" s="1745"/>
      <c r="P29" s="3677"/>
      <c r="Q29" s="1303">
        <f t="shared" si="8"/>
        <v>111</v>
      </c>
      <c r="R29" s="1304" t="s">
        <v>8</v>
      </c>
      <c r="S29" s="1305">
        <f t="shared" si="9"/>
        <v>100</v>
      </c>
      <c r="T29" s="1304" t="s">
        <v>8</v>
      </c>
      <c r="U29" s="1305">
        <f t="shared" si="10"/>
        <v>100</v>
      </c>
      <c r="V29" s="1304" t="s">
        <v>8</v>
      </c>
      <c r="W29" s="1305">
        <f t="shared" si="11"/>
        <v>100</v>
      </c>
      <c r="X29" s="1299"/>
      <c r="Y29" s="3677"/>
      <c r="Z29" s="1306">
        <f t="shared" si="12"/>
        <v>111</v>
      </c>
      <c r="AA29" s="1306">
        <f t="shared" si="3"/>
        <v>1</v>
      </c>
      <c r="AB29" s="1306">
        <f t="shared" si="4"/>
        <v>1</v>
      </c>
      <c r="AC29" s="1306">
        <f t="shared" si="5"/>
        <v>1</v>
      </c>
    </row>
    <row r="30" spans="1:29" ht="15" hidden="1">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3"/>
      <c r="L30" s="1746"/>
      <c r="M30" s="1739"/>
      <c r="N30" s="1739"/>
      <c r="O30" s="1745"/>
      <c r="P30" s="3677"/>
      <c r="Q30" s="1303">
        <f t="shared" si="8"/>
        <v>111</v>
      </c>
      <c r="R30" s="1304" t="s">
        <v>8</v>
      </c>
      <c r="S30" s="1305">
        <f t="shared" si="9"/>
        <v>100</v>
      </c>
      <c r="T30" s="1304" t="s">
        <v>8</v>
      </c>
      <c r="U30" s="1305">
        <f t="shared" si="10"/>
        <v>100</v>
      </c>
      <c r="V30" s="1304" t="s">
        <v>8</v>
      </c>
      <c r="W30" s="1305">
        <f t="shared" si="11"/>
        <v>100</v>
      </c>
      <c r="X30" s="1299"/>
      <c r="Y30" s="3677"/>
      <c r="Z30" s="1306">
        <f t="shared" si="12"/>
        <v>111</v>
      </c>
      <c r="AA30" s="1306">
        <f t="shared" si="3"/>
        <v>1</v>
      </c>
      <c r="AB30" s="1306">
        <f t="shared" si="4"/>
        <v>1</v>
      </c>
      <c r="AC30" s="1306">
        <f t="shared" si="5"/>
        <v>1</v>
      </c>
    </row>
    <row r="31" spans="1:29" ht="15.75" hidden="1" thickBot="1">
      <c r="A31" s="491"/>
      <c r="B31" s="91">
        <v>111</v>
      </c>
      <c r="C31" s="493"/>
      <c r="D31" s="494">
        <v>100</v>
      </c>
      <c r="E31" s="493"/>
      <c r="F31" s="794">
        <f>SUMIF(98:98,E31,99:99)-SUMIF(98:98,C31,99:99)+100</f>
        <v>100</v>
      </c>
      <c r="G31" s="493"/>
      <c r="H31" s="494">
        <f>SUMIF(98:98,G31,99:99)-SUMIF(98:98,C31,99:99)+100</f>
        <v>100</v>
      </c>
      <c r="I31" s="493"/>
      <c r="J31" s="494">
        <f>SUMIF(98:98,I31,99:99)-SUMIF(98:98,C31,99:99)+100</f>
        <v>100</v>
      </c>
      <c r="K31" s="793"/>
      <c r="L31" s="1746"/>
      <c r="M31" s="1739"/>
      <c r="N31" s="1739"/>
      <c r="O31" s="1745"/>
      <c r="P31" s="3677"/>
      <c r="Q31" s="1303">
        <f t="shared" si="8"/>
        <v>111</v>
      </c>
      <c r="R31" s="1304" t="s">
        <v>8</v>
      </c>
      <c r="S31" s="1305">
        <f t="shared" si="9"/>
        <v>100</v>
      </c>
      <c r="T31" s="1304" t="s">
        <v>8</v>
      </c>
      <c r="U31" s="1305">
        <f t="shared" si="10"/>
        <v>100</v>
      </c>
      <c r="V31" s="1304" t="s">
        <v>8</v>
      </c>
      <c r="W31" s="1305">
        <f t="shared" si="11"/>
        <v>100</v>
      </c>
      <c r="X31" s="1299"/>
      <c r="Y31" s="3677"/>
      <c r="Z31" s="1306">
        <f t="shared" si="12"/>
        <v>111</v>
      </c>
      <c r="AA31" s="1306">
        <f t="shared" si="3"/>
        <v>1</v>
      </c>
      <c r="AB31" s="1306">
        <f t="shared" si="4"/>
        <v>1</v>
      </c>
      <c r="AC31" s="1306">
        <f t="shared" si="5"/>
        <v>1</v>
      </c>
    </row>
    <row r="32" spans="1:29" ht="15">
      <c r="A32" s="2201" t="s">
        <v>2035</v>
      </c>
      <c r="B32" s="156" t="s">
        <v>672</v>
      </c>
      <c r="C32" s="802" t="s">
        <v>4056</v>
      </c>
      <c r="D32" s="544">
        <v>100</v>
      </c>
      <c r="E32" s="802" t="s">
        <v>4056</v>
      </c>
      <c r="F32" s="523">
        <f>SUMIF(100:100,E32,101:101)-SUMIF(100:100,C32,101:101)+100</f>
        <v>100</v>
      </c>
      <c r="G32" s="802" t="s">
        <v>4056</v>
      </c>
      <c r="H32" s="544">
        <f>SUMIF(100:100,G32,101:101)-SUMIF(100:100,C32,101:101)+100</f>
        <v>100</v>
      </c>
      <c r="I32" s="802" t="s">
        <v>4056</v>
      </c>
      <c r="J32" s="488">
        <f>SUMIF(100:100,I32,101:101)-SUMIF(100:100,C32,101:101)+100</f>
        <v>100</v>
      </c>
      <c r="K32" s="792">
        <v>0</v>
      </c>
      <c r="L32" s="1746"/>
      <c r="M32" s="1739"/>
      <c r="N32" s="1739"/>
      <c r="O32" s="1745"/>
      <c r="P32" s="3678" t="s">
        <v>499</v>
      </c>
      <c r="Q32" s="1303" t="str">
        <f t="shared" si="8"/>
        <v>建筑类型</v>
      </c>
      <c r="R32" s="1304" t="s">
        <v>8</v>
      </c>
      <c r="S32" s="1305">
        <f t="shared" si="9"/>
        <v>100</v>
      </c>
      <c r="T32" s="1304" t="s">
        <v>8</v>
      </c>
      <c r="U32" s="1305">
        <f t="shared" si="10"/>
        <v>100</v>
      </c>
      <c r="V32" s="1304" t="s">
        <v>8</v>
      </c>
      <c r="W32" s="1305">
        <f t="shared" si="11"/>
        <v>100</v>
      </c>
      <c r="X32" s="1299"/>
      <c r="Y32" s="3679" t="s">
        <v>499</v>
      </c>
      <c r="Z32" s="1306" t="str">
        <f t="shared" si="12"/>
        <v>建筑类型</v>
      </c>
      <c r="AA32" s="1306">
        <f t="shared" si="3"/>
        <v>1</v>
      </c>
      <c r="AB32" s="1306">
        <f t="shared" si="4"/>
        <v>1</v>
      </c>
      <c r="AC32" s="1306">
        <f t="shared" si="5"/>
        <v>1</v>
      </c>
    </row>
    <row r="33" spans="1:29" s="1131" customFormat="1" ht="15" hidden="1">
      <c r="A33" s="550"/>
      <c r="B33" s="475" t="s">
        <v>673</v>
      </c>
      <c r="C33" s="803"/>
      <c r="D33" s="233">
        <v>100</v>
      </c>
      <c r="E33" s="803"/>
      <c r="F33" s="475">
        <f>LOOKUP(E33,103:103,104:104)-LOOKUP(C33,103:103,104:104)+100</f>
        <v>100</v>
      </c>
      <c r="G33" s="803"/>
      <c r="H33" s="233">
        <f>LOOKUP(G33,103:103,104:104)-LOOKUP(C33,103:103,104:104)+100</f>
        <v>100</v>
      </c>
      <c r="I33" s="803"/>
      <c r="J33" s="233">
        <f>LOOKUP(I33,103:103,104:104)-LOOKUP(C33,103:103,104:104)+100</f>
        <v>100</v>
      </c>
      <c r="K33" s="793"/>
      <c r="L33" s="1744"/>
      <c r="M33" s="1768"/>
      <c r="N33" s="1768"/>
      <c r="O33" s="1747"/>
      <c r="P33" s="3679"/>
      <c r="Q33" s="816" t="str">
        <f t="shared" si="8"/>
        <v>项目建筑规模</v>
      </c>
      <c r="R33" s="1307" t="s">
        <v>8</v>
      </c>
      <c r="S33" s="1308">
        <f t="shared" si="9"/>
        <v>100</v>
      </c>
      <c r="T33" s="1307" t="s">
        <v>8</v>
      </c>
      <c r="U33" s="1308">
        <f t="shared" si="10"/>
        <v>100</v>
      </c>
      <c r="V33" s="1307" t="s">
        <v>8</v>
      </c>
      <c r="W33" s="1308">
        <f t="shared" si="11"/>
        <v>100</v>
      </c>
      <c r="X33" s="1309"/>
      <c r="Y33" s="3679"/>
      <c r="Z33" s="1310" t="str">
        <f t="shared" si="12"/>
        <v>项目建筑规模</v>
      </c>
      <c r="AA33" s="1306">
        <f t="shared" si="3"/>
        <v>1</v>
      </c>
      <c r="AB33" s="1306">
        <f t="shared" si="4"/>
        <v>1</v>
      </c>
      <c r="AC33" s="1306">
        <f t="shared" si="5"/>
        <v>1</v>
      </c>
    </row>
    <row r="34" spans="1:29" ht="15">
      <c r="A34" s="541"/>
      <c r="B34" s="475" t="s">
        <v>674</v>
      </c>
      <c r="C34" s="522" t="s">
        <v>4062</v>
      </c>
      <c r="D34" s="488">
        <v>100</v>
      </c>
      <c r="E34" s="522" t="s">
        <v>4062</v>
      </c>
      <c r="F34" s="523">
        <f>SUMIF(105:105,E34,106:106)-SUMIF(105:105,C34,106:106)+100</f>
        <v>100</v>
      </c>
      <c r="G34" s="522" t="s">
        <v>4062</v>
      </c>
      <c r="H34" s="488">
        <f>SUMIF(105:105,G34,106:106)-SUMIF(105:105,C34,106:106)+100</f>
        <v>100</v>
      </c>
      <c r="I34" s="522" t="s">
        <v>4062</v>
      </c>
      <c r="J34" s="488">
        <f>SUMIF(105:105,I34,106:106)-SUMIF(105:105,C34,106:106)+100</f>
        <v>100</v>
      </c>
      <c r="K34" s="792">
        <v>1</v>
      </c>
      <c r="L34" s="1746"/>
      <c r="M34" s="1739"/>
      <c r="N34" s="1739"/>
      <c r="O34" s="1745"/>
      <c r="P34" s="3679"/>
      <c r="Q34" s="1303" t="str">
        <f t="shared" si="8"/>
        <v>建筑结构</v>
      </c>
      <c r="R34" s="1304" t="s">
        <v>8</v>
      </c>
      <c r="S34" s="1305">
        <f t="shared" si="9"/>
        <v>100</v>
      </c>
      <c r="T34" s="1304" t="s">
        <v>8</v>
      </c>
      <c r="U34" s="1305">
        <f t="shared" si="10"/>
        <v>100</v>
      </c>
      <c r="V34" s="1304" t="s">
        <v>8</v>
      </c>
      <c r="W34" s="1305">
        <f t="shared" si="11"/>
        <v>100</v>
      </c>
      <c r="X34" s="1299"/>
      <c r="Y34" s="3679"/>
      <c r="Z34" s="1306" t="str">
        <f t="shared" si="12"/>
        <v>建筑结构</v>
      </c>
      <c r="AA34" s="1306">
        <f t="shared" si="3"/>
        <v>1</v>
      </c>
      <c r="AB34" s="1306">
        <f t="shared" si="4"/>
        <v>1</v>
      </c>
      <c r="AC34" s="1306">
        <f t="shared" si="5"/>
        <v>1</v>
      </c>
    </row>
    <row r="35" spans="1:29" ht="15" hidden="1">
      <c r="A35" s="541"/>
      <c r="B35" s="475" t="s">
        <v>675</v>
      </c>
      <c r="C35" s="546"/>
      <c r="D35" s="488">
        <v>100</v>
      </c>
      <c r="E35" s="546"/>
      <c r="F35" s="523">
        <f>SUMIF(107:107,E35,108:108)-SUMIF(107:107,C35,108:108)+100</f>
        <v>100</v>
      </c>
      <c r="G35" s="546"/>
      <c r="H35" s="488">
        <f>SUMIF(107:107,G35,108:108)-SUMIF(107:107,C35,108:108)+100</f>
        <v>100</v>
      </c>
      <c r="I35" s="546"/>
      <c r="J35" s="488">
        <f>SUMIF(107:107,I35,108:108)-SUMIF(107:107,C35,108:108)+100</f>
        <v>100</v>
      </c>
      <c r="K35" s="792"/>
      <c r="L35" s="1746"/>
      <c r="M35" s="1739"/>
      <c r="N35" s="1739"/>
      <c r="O35" s="1745"/>
      <c r="P35" s="3679"/>
      <c r="Q35" s="1303" t="str">
        <f t="shared" si="8"/>
        <v>建筑品质</v>
      </c>
      <c r="R35" s="1304" t="s">
        <v>8</v>
      </c>
      <c r="S35" s="1305">
        <f t="shared" si="9"/>
        <v>100</v>
      </c>
      <c r="T35" s="1304" t="s">
        <v>8</v>
      </c>
      <c r="U35" s="1305">
        <f t="shared" si="10"/>
        <v>100</v>
      </c>
      <c r="V35" s="1304" t="s">
        <v>8</v>
      </c>
      <c r="W35" s="1305">
        <f t="shared" si="11"/>
        <v>100</v>
      </c>
      <c r="X35" s="1299"/>
      <c r="Y35" s="3679"/>
      <c r="Z35" s="1306" t="str">
        <f t="shared" si="12"/>
        <v>建筑品质</v>
      </c>
      <c r="AA35" s="1306">
        <f t="shared" si="3"/>
        <v>1</v>
      </c>
      <c r="AB35" s="1306">
        <f t="shared" si="4"/>
        <v>1</v>
      </c>
      <c r="AC35" s="1306">
        <f t="shared" si="5"/>
        <v>1</v>
      </c>
    </row>
    <row r="36" spans="1:29" ht="15">
      <c r="A36" s="541"/>
      <c r="B36" s="475" t="s">
        <v>676</v>
      </c>
      <c r="C36" s="546" t="s">
        <v>4064</v>
      </c>
      <c r="D36" s="488">
        <v>100</v>
      </c>
      <c r="E36" s="546" t="s">
        <v>4064</v>
      </c>
      <c r="F36" s="523">
        <f>SUMIF(109:109,E36,110:110)-SUMIF(109:109,C36,110:110)+100</f>
        <v>100</v>
      </c>
      <c r="G36" s="546" t="s">
        <v>4064</v>
      </c>
      <c r="H36" s="488">
        <f>SUMIF(109:109,G36,110:110)-SUMIF(109:109,C36,110:110)+100</f>
        <v>100</v>
      </c>
      <c r="I36" s="546" t="s">
        <v>4064</v>
      </c>
      <c r="J36" s="488">
        <f>SUMIF(109:109,I36,110:110)-SUMIF(109:109,C36,110:110)+100</f>
        <v>100</v>
      </c>
      <c r="K36" s="792">
        <v>3</v>
      </c>
      <c r="L36" s="1746"/>
      <c r="M36" s="1739"/>
      <c r="N36" s="1739"/>
      <c r="O36" s="1745"/>
      <c r="P36" s="3679"/>
      <c r="Q36" s="1303" t="str">
        <f t="shared" si="8"/>
        <v>公共部分装修</v>
      </c>
      <c r="R36" s="1304" t="s">
        <v>8</v>
      </c>
      <c r="S36" s="1305">
        <f t="shared" si="9"/>
        <v>100</v>
      </c>
      <c r="T36" s="1304" t="s">
        <v>8</v>
      </c>
      <c r="U36" s="1305">
        <f t="shared" si="10"/>
        <v>100</v>
      </c>
      <c r="V36" s="1304" t="s">
        <v>8</v>
      </c>
      <c r="W36" s="1305">
        <f t="shared" si="11"/>
        <v>100</v>
      </c>
      <c r="X36" s="1299"/>
      <c r="Y36" s="3679"/>
      <c r="Z36" s="1306" t="str">
        <f t="shared" si="12"/>
        <v>公共部分装修</v>
      </c>
      <c r="AA36" s="1306">
        <f t="shared" si="3"/>
        <v>1</v>
      </c>
      <c r="AB36" s="1306">
        <f t="shared" si="4"/>
        <v>1</v>
      </c>
      <c r="AC36" s="1306">
        <f t="shared" si="5"/>
        <v>1</v>
      </c>
    </row>
    <row r="37" spans="1:29" s="1057" customFormat="1" ht="15" hidden="1">
      <c r="A37" s="547"/>
      <c r="B37" s="475" t="s">
        <v>677</v>
      </c>
      <c r="C37" s="805">
        <v>1</v>
      </c>
      <c r="D37" s="233">
        <v>100</v>
      </c>
      <c r="E37" s="805">
        <v>1</v>
      </c>
      <c r="F37" s="475">
        <f>LOOKUP(E37,112:112,113:113)-LOOKUP(C37,112:112,113:113)+100</f>
        <v>100</v>
      </c>
      <c r="G37" s="805">
        <v>1</v>
      </c>
      <c r="H37" s="233">
        <f>LOOKUP(G37,112:112,113:113)-LOOKUP(C37,112:112,113:113)+100</f>
        <v>100</v>
      </c>
      <c r="I37" s="805">
        <v>1</v>
      </c>
      <c r="J37" s="233">
        <f>LOOKUP(I37,112:112,113:113)-LOOKUP(C37,112:112,113:113)+100</f>
        <v>100</v>
      </c>
      <c r="K37" s="792">
        <v>0</v>
      </c>
      <c r="L37" s="1740"/>
      <c r="M37" s="1637"/>
      <c r="N37" s="1637"/>
      <c r="O37" s="1741"/>
      <c r="P37" s="3679"/>
      <c r="Q37" s="815" t="str">
        <f t="shared" si="8"/>
        <v>成新度</v>
      </c>
      <c r="R37" s="1300" t="s">
        <v>8</v>
      </c>
      <c r="S37" s="1301">
        <f t="shared" si="9"/>
        <v>100</v>
      </c>
      <c r="T37" s="1300" t="s">
        <v>8</v>
      </c>
      <c r="U37" s="1301">
        <f t="shared" si="10"/>
        <v>100</v>
      </c>
      <c r="V37" s="1300" t="s">
        <v>8</v>
      </c>
      <c r="W37" s="1301">
        <f t="shared" si="11"/>
        <v>100</v>
      </c>
      <c r="X37" s="1302"/>
      <c r="Y37" s="3679"/>
      <c r="Z37" s="994" t="str">
        <f t="shared" si="12"/>
        <v>成新度</v>
      </c>
      <c r="AA37" s="994">
        <f t="shared" si="3"/>
        <v>1</v>
      </c>
      <c r="AB37" s="994">
        <f t="shared" si="4"/>
        <v>1</v>
      </c>
      <c r="AC37" s="994">
        <f t="shared" si="5"/>
        <v>1</v>
      </c>
    </row>
    <row r="38" spans="1:29" ht="15">
      <c r="A38" s="541"/>
      <c r="B38" s="475" t="s">
        <v>678</v>
      </c>
      <c r="C38" s="546" t="s">
        <v>4066</v>
      </c>
      <c r="D38" s="488">
        <v>100</v>
      </c>
      <c r="E38" s="546" t="s">
        <v>4066</v>
      </c>
      <c r="F38" s="523">
        <f>SUMIF(114:114,E38,115:115)-SUMIF(114:114,C38,115:115)+100</f>
        <v>100</v>
      </c>
      <c r="G38" s="546" t="s">
        <v>4066</v>
      </c>
      <c r="H38" s="488">
        <f>SUMIF(114:114,G38,115:115)-SUMIF(114:114,C38,115:115)+100</f>
        <v>100</v>
      </c>
      <c r="I38" s="546" t="s">
        <v>4066</v>
      </c>
      <c r="J38" s="488">
        <f>SUMIF(114:114,I38,115:115)-SUMIF(114:114,C38,115:115)+100</f>
        <v>100</v>
      </c>
      <c r="K38" s="792">
        <v>1</v>
      </c>
      <c r="L38" s="1746"/>
      <c r="M38" s="1739"/>
      <c r="N38" s="1739"/>
      <c r="O38" s="1745"/>
      <c r="P38" s="3679" t="s">
        <v>499</v>
      </c>
      <c r="Q38" s="1303" t="str">
        <f t="shared" si="8"/>
        <v>物业管理</v>
      </c>
      <c r="R38" s="1304" t="s">
        <v>8</v>
      </c>
      <c r="S38" s="1305">
        <f t="shared" si="9"/>
        <v>100</v>
      </c>
      <c r="T38" s="1304" t="s">
        <v>8</v>
      </c>
      <c r="U38" s="1305">
        <f t="shared" si="10"/>
        <v>100</v>
      </c>
      <c r="V38" s="1304" t="s">
        <v>8</v>
      </c>
      <c r="W38" s="1305">
        <f t="shared" si="11"/>
        <v>100</v>
      </c>
      <c r="X38" s="1299"/>
      <c r="Y38" s="3679" t="s">
        <v>499</v>
      </c>
      <c r="Z38" s="1306" t="str">
        <f t="shared" si="12"/>
        <v>物业管理</v>
      </c>
      <c r="AA38" s="1306">
        <f t="shared" si="3"/>
        <v>1</v>
      </c>
      <c r="AB38" s="1306">
        <f t="shared" si="4"/>
        <v>1</v>
      </c>
      <c r="AC38" s="1306">
        <f t="shared" si="5"/>
        <v>1</v>
      </c>
    </row>
    <row r="39" spans="1:29" ht="15">
      <c r="A39" s="541"/>
      <c r="B39" s="1551" t="s">
        <v>1845</v>
      </c>
      <c r="C39" s="546" t="s">
        <v>3344</v>
      </c>
      <c r="D39" s="488">
        <v>100</v>
      </c>
      <c r="E39" s="546" t="s">
        <v>3344</v>
      </c>
      <c r="F39" s="523">
        <f>SUMIF(116:116,E39,117:117)-SUMIF(116:116,C39,117:117)+100</f>
        <v>100</v>
      </c>
      <c r="G39" s="546" t="s">
        <v>3344</v>
      </c>
      <c r="H39" s="488">
        <f>SUMIF(116:116,G39,117:117)-SUMIF(116:116,C39,117:117)+100</f>
        <v>100</v>
      </c>
      <c r="I39" s="546" t="s">
        <v>3344</v>
      </c>
      <c r="J39" s="488">
        <f>SUMIF(116:116,I39,117:117)-SUMIF(116:116,C39,117:117)+100</f>
        <v>100</v>
      </c>
      <c r="K39" s="792">
        <v>1</v>
      </c>
      <c r="L39" s="1746"/>
      <c r="M39" s="1739"/>
      <c r="N39" s="1739"/>
      <c r="O39" s="1745"/>
      <c r="P39" s="3679"/>
      <c r="Q39" s="1303" t="str">
        <f t="shared" si="8"/>
        <v>市政基础设施</v>
      </c>
      <c r="R39" s="1304" t="s">
        <v>8</v>
      </c>
      <c r="S39" s="1305">
        <f t="shared" si="9"/>
        <v>100</v>
      </c>
      <c r="T39" s="1304" t="s">
        <v>8</v>
      </c>
      <c r="U39" s="1305">
        <f t="shared" si="10"/>
        <v>100</v>
      </c>
      <c r="V39" s="1304" t="s">
        <v>8</v>
      </c>
      <c r="W39" s="1305">
        <f t="shared" si="11"/>
        <v>100</v>
      </c>
      <c r="X39" s="1299"/>
      <c r="Y39" s="3679"/>
      <c r="Z39" s="1306" t="str">
        <f t="shared" si="12"/>
        <v>市政基础设施</v>
      </c>
      <c r="AA39" s="1306">
        <f t="shared" si="3"/>
        <v>1</v>
      </c>
      <c r="AB39" s="1306">
        <f t="shared" si="4"/>
        <v>1</v>
      </c>
      <c r="AC39" s="1306">
        <f t="shared" si="5"/>
        <v>1</v>
      </c>
    </row>
    <row r="40" spans="1:29" ht="15" hidden="1">
      <c r="A40" s="541"/>
      <c r="B40" s="475" t="s">
        <v>679</v>
      </c>
      <c r="C40" s="546"/>
      <c r="D40" s="488">
        <v>100</v>
      </c>
      <c r="E40" s="801"/>
      <c r="F40" s="523">
        <f>SUMIF(118:118,E40,119:119)-SUMIF(118:118,C40,119:119)+100</f>
        <v>100</v>
      </c>
      <c r="G40" s="546"/>
      <c r="H40" s="488">
        <f>SUMIF(118:118,G40,119:119)-SUMIF(118:118,C40,119:119)+100</f>
        <v>100</v>
      </c>
      <c r="I40" s="801"/>
      <c r="J40" s="488">
        <f>SUMIF(118:118,I40,119:119)-SUMIF(118:118,C40,119:119)+100</f>
        <v>100</v>
      </c>
      <c r="K40" s="792"/>
      <c r="L40" s="1746"/>
      <c r="M40" s="1739"/>
      <c r="N40" s="1739"/>
      <c r="O40" s="1745"/>
      <c r="P40" s="3679"/>
      <c r="Q40" s="1303" t="str">
        <f t="shared" si="8"/>
        <v>房型</v>
      </c>
      <c r="R40" s="1304" t="s">
        <v>8</v>
      </c>
      <c r="S40" s="1305">
        <f t="shared" si="9"/>
        <v>100</v>
      </c>
      <c r="T40" s="1304" t="s">
        <v>8</v>
      </c>
      <c r="U40" s="1305">
        <f t="shared" si="10"/>
        <v>100</v>
      </c>
      <c r="V40" s="1304" t="s">
        <v>8</v>
      </c>
      <c r="W40" s="1305">
        <f t="shared" si="11"/>
        <v>100</v>
      </c>
      <c r="X40" s="1299"/>
      <c r="Y40" s="3679"/>
      <c r="Z40" s="1306" t="str">
        <f t="shared" si="12"/>
        <v>房型</v>
      </c>
      <c r="AA40" s="1306">
        <f t="shared" si="3"/>
        <v>1</v>
      </c>
      <c r="AB40" s="1306">
        <f t="shared" si="4"/>
        <v>1</v>
      </c>
      <c r="AC40" s="1306">
        <f t="shared" si="5"/>
        <v>1</v>
      </c>
    </row>
    <row r="41" spans="1:29" s="1131" customFormat="1" ht="28.5">
      <c r="A41" s="550"/>
      <c r="B41" s="475" t="s">
        <v>680</v>
      </c>
      <c r="C41" s="3408" t="s">
        <v>4108</v>
      </c>
      <c r="D41" s="233">
        <v>100</v>
      </c>
      <c r="E41" s="3409" t="s">
        <v>4109</v>
      </c>
      <c r="F41" s="475">
        <f>SUMIF(120:120,E41,121:121)-SUMIF(120:120,C41,121:121)+100</f>
        <v>100</v>
      </c>
      <c r="G41" s="3410" t="s">
        <v>4110</v>
      </c>
      <c r="H41" s="233">
        <f>SUMIF(120:120,G41,121:121)-SUMIF(120:120,C41,121:121)+100</f>
        <v>95</v>
      </c>
      <c r="I41" s="3409" t="s">
        <v>4109</v>
      </c>
      <c r="J41" s="488">
        <f>SUMIF(120:120,I41,121:121)-SUMIF(120:120,C41,121:121)+100</f>
        <v>100</v>
      </c>
      <c r="K41" s="793"/>
      <c r="L41" s="1744"/>
      <c r="M41" s="1768"/>
      <c r="N41" s="1768"/>
      <c r="O41" s="1747"/>
      <c r="P41" s="3679"/>
      <c r="Q41" s="816" t="str">
        <f t="shared" si="8"/>
        <v>单套/主力户型建筑面积</v>
      </c>
      <c r="R41" s="1307" t="s">
        <v>8</v>
      </c>
      <c r="S41" s="1308">
        <f t="shared" si="9"/>
        <v>100</v>
      </c>
      <c r="T41" s="1307" t="s">
        <v>8</v>
      </c>
      <c r="U41" s="1308">
        <f t="shared" si="10"/>
        <v>95</v>
      </c>
      <c r="V41" s="1307" t="s">
        <v>8</v>
      </c>
      <c r="W41" s="1308">
        <f t="shared" si="11"/>
        <v>100</v>
      </c>
      <c r="X41" s="1309"/>
      <c r="Y41" s="3679"/>
      <c r="Z41" s="1310" t="str">
        <f t="shared" si="12"/>
        <v>单套/主力户型建筑面积</v>
      </c>
      <c r="AA41" s="1306">
        <f t="shared" si="3"/>
        <v>1</v>
      </c>
      <c r="AB41" s="1306">
        <f t="shared" si="4"/>
        <v>1.0526315789473684</v>
      </c>
      <c r="AC41" s="1306">
        <f t="shared" si="5"/>
        <v>1</v>
      </c>
    </row>
    <row r="42" spans="1:29" ht="15.75" thickBot="1">
      <c r="A42" s="541"/>
      <c r="B42" s="475" t="s">
        <v>681</v>
      </c>
      <c r="C42" s="546" t="s">
        <v>4064</v>
      </c>
      <c r="D42" s="488">
        <v>100</v>
      </c>
      <c r="E42" s="801" t="s">
        <v>4054</v>
      </c>
      <c r="F42" s="523">
        <f>SUMIF(122:122,E42,123:123)-SUMIF(122:122,C42,123:123)+100</f>
        <v>91</v>
      </c>
      <c r="G42" s="546" t="s">
        <v>4064</v>
      </c>
      <c r="H42" s="488">
        <f>SUMIF(122:122,G42,123:123)-SUMIF(122:122,C42,123:123)+100</f>
        <v>100</v>
      </c>
      <c r="I42" s="801" t="s">
        <v>4054</v>
      </c>
      <c r="J42" s="488">
        <f>SUMIF(122:122,I42,123:123)-SUMIF(122:122,C42,123:123)+100</f>
        <v>91</v>
      </c>
      <c r="K42" s="3464">
        <v>3</v>
      </c>
      <c r="L42" s="1746"/>
      <c r="M42" s="1739"/>
      <c r="N42" s="1739"/>
      <c r="O42" s="1745"/>
      <c r="P42" s="3679"/>
      <c r="Q42" s="1303" t="str">
        <f t="shared" si="8"/>
        <v>内部装修</v>
      </c>
      <c r="R42" s="1304" t="s">
        <v>8</v>
      </c>
      <c r="S42" s="1305">
        <f t="shared" si="9"/>
        <v>91</v>
      </c>
      <c r="T42" s="1304" t="s">
        <v>8</v>
      </c>
      <c r="U42" s="1305">
        <f t="shared" si="10"/>
        <v>100</v>
      </c>
      <c r="V42" s="1304" t="s">
        <v>8</v>
      </c>
      <c r="W42" s="1305">
        <f t="shared" si="11"/>
        <v>91</v>
      </c>
      <c r="X42" s="1299"/>
      <c r="Y42" s="3679"/>
      <c r="Z42" s="1306" t="str">
        <f t="shared" si="12"/>
        <v>内部装修</v>
      </c>
      <c r="AA42" s="1306">
        <f t="shared" si="3"/>
        <v>1.098901098901099</v>
      </c>
      <c r="AB42" s="1306">
        <f t="shared" si="4"/>
        <v>1</v>
      </c>
      <c r="AC42" s="1306">
        <f t="shared" si="5"/>
        <v>1.098901098901099</v>
      </c>
    </row>
    <row r="43" spans="1:29" ht="27.75" hidden="1" thickBot="1">
      <c r="A43" s="541"/>
      <c r="B43" s="475" t="s">
        <v>682</v>
      </c>
      <c r="C43" s="546" t="s">
        <v>3346</v>
      </c>
      <c r="D43" s="488">
        <v>100</v>
      </c>
      <c r="E43" s="546" t="s">
        <v>3346</v>
      </c>
      <c r="F43" s="523">
        <f>SUMIF(124:124,E43,125:125)-SUMIF(124:124,C43,125:125)+100</f>
        <v>100</v>
      </c>
      <c r="G43" s="546" t="s">
        <v>3346</v>
      </c>
      <c r="H43" s="488">
        <f>SUMIF(124:124,G43,125:125)-SUMIF(124:124,C43,125:125)+100</f>
        <v>100</v>
      </c>
      <c r="I43" s="546" t="s">
        <v>3346</v>
      </c>
      <c r="J43" s="488">
        <f>SUMIF(124:124,I43,125:125)-SUMIF(124:124,C43,125:125)+100</f>
        <v>100</v>
      </c>
      <c r="K43" s="792">
        <v>0</v>
      </c>
      <c r="L43" s="1746"/>
      <c r="M43" s="1739"/>
      <c r="N43" s="1739"/>
      <c r="O43" s="1745"/>
      <c r="P43" s="3679"/>
      <c r="Q43" s="1303" t="str">
        <f t="shared" si="8"/>
        <v>内部装修维护情况</v>
      </c>
      <c r="R43" s="1304" t="s">
        <v>8</v>
      </c>
      <c r="S43" s="1305">
        <f t="shared" si="9"/>
        <v>100</v>
      </c>
      <c r="T43" s="1304" t="s">
        <v>8</v>
      </c>
      <c r="U43" s="1305">
        <f t="shared" si="10"/>
        <v>100</v>
      </c>
      <c r="V43" s="1304" t="s">
        <v>8</v>
      </c>
      <c r="W43" s="1305">
        <f t="shared" si="11"/>
        <v>100</v>
      </c>
      <c r="X43" s="1299"/>
      <c r="Y43" s="3679"/>
      <c r="Z43" s="1306" t="str">
        <f t="shared" si="12"/>
        <v>内部装修维护情况</v>
      </c>
      <c r="AA43" s="1306">
        <f t="shared" si="3"/>
        <v>1</v>
      </c>
      <c r="AB43" s="1306">
        <f t="shared" si="4"/>
        <v>1</v>
      </c>
      <c r="AC43" s="1306">
        <f t="shared" si="5"/>
        <v>1</v>
      </c>
    </row>
    <row r="44" spans="1:29" s="1057" customFormat="1" ht="15" hidden="1">
      <c r="A44" s="547"/>
      <c r="B44" s="91">
        <v>111</v>
      </c>
      <c r="C44" s="803"/>
      <c r="D44" s="233">
        <v>100</v>
      </c>
      <c r="E44" s="803"/>
      <c r="F44" s="475">
        <f>SUMIF(126:126,E44,127:127)-SUMIF(126:126,C44,127:127)+100</f>
        <v>100</v>
      </c>
      <c r="G44" s="803"/>
      <c r="H44" s="233">
        <f>SUMIF(126:126,G44,127:127)-SUMIF(126:126,C44,127:127)+100</f>
        <v>100</v>
      </c>
      <c r="I44" s="803"/>
      <c r="J44" s="233">
        <f>SUMIF(126:126,I44,127:127)-SUMIF(126:126,C44,127:127)+100</f>
        <v>100</v>
      </c>
      <c r="K44" s="793"/>
      <c r="L44" s="1740"/>
      <c r="M44" s="1637"/>
      <c r="N44" s="1637"/>
      <c r="O44" s="1741"/>
      <c r="P44" s="3679"/>
      <c r="Q44" s="815">
        <f t="shared" si="8"/>
        <v>111</v>
      </c>
      <c r="R44" s="1300" t="s">
        <v>8</v>
      </c>
      <c r="S44" s="1301">
        <f t="shared" si="9"/>
        <v>100</v>
      </c>
      <c r="T44" s="1300" t="s">
        <v>8</v>
      </c>
      <c r="U44" s="1301">
        <f t="shared" si="10"/>
        <v>100</v>
      </c>
      <c r="V44" s="1300" t="s">
        <v>8</v>
      </c>
      <c r="W44" s="1301">
        <f t="shared" si="11"/>
        <v>100</v>
      </c>
      <c r="X44" s="1302"/>
      <c r="Y44" s="3679"/>
      <c r="Z44" s="994">
        <f t="shared" si="12"/>
        <v>111</v>
      </c>
      <c r="AA44" s="994">
        <f t="shared" si="3"/>
        <v>1</v>
      </c>
      <c r="AB44" s="994">
        <f t="shared" si="4"/>
        <v>1</v>
      </c>
      <c r="AC44" s="994">
        <f t="shared" si="5"/>
        <v>1</v>
      </c>
    </row>
    <row r="45" spans="1:29" ht="15" hidden="1">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6"/>
      <c r="M45" s="1739"/>
      <c r="N45" s="1739"/>
      <c r="O45" s="1745"/>
      <c r="P45" s="3679"/>
      <c r="Q45" s="1303">
        <f t="shared" si="8"/>
        <v>111</v>
      </c>
      <c r="R45" s="1304" t="s">
        <v>8</v>
      </c>
      <c r="S45" s="1305">
        <f t="shared" si="9"/>
        <v>100</v>
      </c>
      <c r="T45" s="1304" t="s">
        <v>8</v>
      </c>
      <c r="U45" s="1305">
        <f t="shared" si="10"/>
        <v>100</v>
      </c>
      <c r="V45" s="1304" t="s">
        <v>8</v>
      </c>
      <c r="W45" s="1305">
        <f t="shared" si="11"/>
        <v>100</v>
      </c>
      <c r="X45" s="1299"/>
      <c r="Y45" s="3679"/>
      <c r="Z45" s="1306">
        <f t="shared" si="12"/>
        <v>111</v>
      </c>
      <c r="AA45" s="1306">
        <f t="shared" si="3"/>
        <v>1</v>
      </c>
      <c r="AB45" s="1306">
        <f t="shared" si="4"/>
        <v>1</v>
      </c>
      <c r="AC45" s="1306">
        <f t="shared" si="5"/>
        <v>1</v>
      </c>
    </row>
    <row r="46" spans="1:29" ht="15.75" hidden="1" thickBot="1">
      <c r="A46" s="808"/>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6"/>
      <c r="M46" s="1739"/>
      <c r="N46" s="1739"/>
      <c r="O46" s="1745"/>
      <c r="P46" s="3698"/>
      <c r="Q46" s="1303">
        <f t="shared" si="8"/>
        <v>111</v>
      </c>
      <c r="R46" s="1304" t="s">
        <v>7</v>
      </c>
      <c r="S46" s="1305">
        <f t="shared" si="9"/>
        <v>100</v>
      </c>
      <c r="T46" s="1304" t="s">
        <v>7</v>
      </c>
      <c r="U46" s="1305">
        <f t="shared" si="10"/>
        <v>100</v>
      </c>
      <c r="V46" s="1304" t="s">
        <v>7</v>
      </c>
      <c r="W46" s="1305">
        <f t="shared" si="11"/>
        <v>100</v>
      </c>
      <c r="X46" s="1299"/>
      <c r="Y46" s="3698"/>
      <c r="Z46" s="1306">
        <f t="shared" si="12"/>
        <v>111</v>
      </c>
      <c r="AA46" s="1306">
        <f t="shared" si="3"/>
        <v>1</v>
      </c>
      <c r="AB46" s="1306">
        <f t="shared" si="4"/>
        <v>1</v>
      </c>
      <c r="AC46" s="1306">
        <f t="shared" si="5"/>
        <v>1</v>
      </c>
    </row>
    <row r="47" spans="1:29" ht="15">
      <c r="A47" s="554" t="s">
        <v>683</v>
      </c>
      <c r="B47" s="809"/>
      <c r="C47" s="2078" t="s">
        <v>6</v>
      </c>
      <c r="D47" s="557"/>
      <c r="E47" s="558">
        <f>选取案例住宅!F24</f>
        <v>27288</v>
      </c>
      <c r="F47" s="559"/>
      <c r="G47" s="560">
        <f>选取案例住宅!F18</f>
        <v>26980</v>
      </c>
      <c r="H47" s="561"/>
      <c r="I47" s="558">
        <f>选取案例住宅!F17</f>
        <v>26755</v>
      </c>
      <c r="J47" s="561"/>
      <c r="K47" s="1328"/>
      <c r="L47" s="1748"/>
      <c r="M47" s="1739"/>
      <c r="N47" s="1739"/>
      <c r="O47" s="1739"/>
      <c r="P47" s="3642" t="str">
        <f>A47</f>
        <v>成交单价（元/平方米）</v>
      </c>
      <c r="Q47" s="3642"/>
      <c r="R47" s="3643">
        <f>E47</f>
        <v>27288</v>
      </c>
      <c r="S47" s="3643"/>
      <c r="T47" s="3643">
        <f>G47</f>
        <v>26980</v>
      </c>
      <c r="U47" s="3643"/>
      <c r="V47" s="3643">
        <f>I47</f>
        <v>26755</v>
      </c>
      <c r="W47" s="3643"/>
      <c r="X47" s="797"/>
      <c r="Y47" s="1311"/>
      <c r="Z47" s="797"/>
      <c r="AA47" s="797"/>
      <c r="AB47" s="797"/>
      <c r="AC47" s="797"/>
    </row>
    <row r="48" spans="1:29" ht="15.75" thickBot="1">
      <c r="A48" s="562" t="s">
        <v>2040</v>
      </c>
      <c r="B48" s="810"/>
      <c r="C48" s="2079">
        <f>R49</f>
        <v>28973</v>
      </c>
      <c r="D48" s="2546" t="s">
        <v>2254</v>
      </c>
      <c r="E48" s="2080">
        <f>R48</f>
        <v>29690</v>
      </c>
      <c r="F48" s="2547"/>
      <c r="G48" s="2079">
        <f>T48</f>
        <v>28119</v>
      </c>
      <c r="H48" s="2547"/>
      <c r="I48" s="2080">
        <f>V48</f>
        <v>29110</v>
      </c>
      <c r="J48" s="2547"/>
      <c r="K48" s="2554">
        <f>F48+H48+J48</f>
        <v>0</v>
      </c>
      <c r="L48" s="1748"/>
      <c r="M48" s="1739"/>
      <c r="N48" s="1739"/>
      <c r="O48" s="1739"/>
      <c r="P48" s="3642" t="str">
        <f>A48</f>
        <v>比较价格（元/平方米）</v>
      </c>
      <c r="Q48" s="3642"/>
      <c r="R48" s="3643">
        <f>IF(F1="售价",ROUND(PRODUCT(R47,AA7:AA46),0),ROUND(PRODUCT(R47,AA7:AA46),1))</f>
        <v>29690</v>
      </c>
      <c r="S48" s="3643"/>
      <c r="T48" s="3643">
        <f>IF(F1="售价",ROUND(PRODUCT(T47,AB7:AB46),0),ROUND(PRODUCT(T47,AB7:AB46),1))</f>
        <v>28119</v>
      </c>
      <c r="U48" s="3643"/>
      <c r="V48" s="3643">
        <f>IF(F1="售价",ROUND(PRODUCT(V47,AC7:AC46),0),ROUND(PRODUCT(V47,AC7:AC46),1))</f>
        <v>29110</v>
      </c>
      <c r="W48" s="3643"/>
      <c r="X48" s="797"/>
      <c r="Y48" s="797"/>
      <c r="Z48" s="797"/>
      <c r="AA48" s="797"/>
      <c r="AB48" s="797"/>
      <c r="AC48" s="797"/>
    </row>
    <row r="49" spans="1:29" ht="15.75" thickBot="1">
      <c r="A49" s="566" t="s">
        <v>2191</v>
      </c>
      <c r="B49" s="567"/>
      <c r="C49" s="467">
        <f>R49</f>
        <v>28973</v>
      </c>
      <c r="D49" s="467"/>
      <c r="E49" s="467"/>
      <c r="F49" s="467"/>
      <c r="G49" s="467"/>
      <c r="H49" s="467"/>
      <c r="I49" s="467"/>
      <c r="J49" s="467"/>
      <c r="K49" s="1329"/>
      <c r="L49" s="1748"/>
      <c r="M49" s="1739"/>
      <c r="N49" s="1739"/>
      <c r="O49" s="1739"/>
      <c r="P49" s="3680" t="str">
        <f>A49</f>
        <v>估价对象XX用房的比较价格（楼面单价，元/平方米）</v>
      </c>
      <c r="Q49" s="3681"/>
      <c r="R49" s="3697">
        <f>IF(F1="售价",ROUND(IF(D48="简单平均",AVERAGE(R48:V48),R48*F48+T48*H48+V48*J48),0),ROUND(IF(D48="简单平均",AVERAGE(R48:V48),R48*F48+T48*H48+V48*J48),1))</f>
        <v>28973</v>
      </c>
      <c r="S49" s="3697"/>
      <c r="T49" s="3697"/>
      <c r="U49" s="3697"/>
      <c r="V49" s="3697"/>
      <c r="W49" s="3697"/>
      <c r="X49" s="797"/>
      <c r="Y49" s="797"/>
      <c r="Z49" s="797"/>
      <c r="AA49" s="797"/>
      <c r="AB49" s="797"/>
      <c r="AC49" s="797"/>
    </row>
    <row r="50" spans="1:29">
      <c r="A50" s="2715"/>
      <c r="B50" s="3787" t="s">
        <v>4328</v>
      </c>
      <c r="C50" s="2715">
        <v>27633</v>
      </c>
      <c r="D50" s="2715"/>
      <c r="E50" s="2715"/>
      <c r="F50" s="2715"/>
      <c r="G50" s="2715"/>
      <c r="H50" s="2715"/>
      <c r="I50" s="2715"/>
      <c r="J50" s="2715"/>
      <c r="K50" s="2718"/>
      <c r="L50" s="1752"/>
      <c r="M50" s="1739"/>
      <c r="N50" s="1739"/>
      <c r="O50" s="1739"/>
      <c r="P50" s="1739"/>
      <c r="Q50" s="1739"/>
      <c r="R50" s="1739"/>
      <c r="S50" s="1739"/>
      <c r="T50" s="1739"/>
      <c r="U50" s="1739"/>
      <c r="V50" s="1739"/>
      <c r="W50" s="1739"/>
      <c r="X50" s="1739"/>
      <c r="Y50" s="1739"/>
      <c r="Z50" s="1739"/>
      <c r="AA50" s="1739"/>
      <c r="AB50" s="1739"/>
      <c r="AC50" s="1739"/>
    </row>
    <row r="51" spans="1:29">
      <c r="A51" s="2715"/>
      <c r="B51" s="2715"/>
      <c r="C51" s="2715"/>
      <c r="D51" s="2715"/>
      <c r="E51" s="2715"/>
      <c r="F51" s="2715"/>
      <c r="G51" s="2715"/>
      <c r="H51" s="2715"/>
      <c r="I51" s="2715"/>
      <c r="J51" s="2715"/>
      <c r="K51" s="2718"/>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5"/>
      <c r="B52" s="2715"/>
      <c r="C52" s="569" t="s">
        <v>506</v>
      </c>
      <c r="D52" s="570"/>
      <c r="E52" s="571">
        <f>IF(E47&lt;E48,E48/E47-1,E47/E48-1)</f>
        <v>8.8024039871005488E-2</v>
      </c>
      <c r="F52" s="572" t="str">
        <f>IF(OR(E52&gt;=0.3,E52&lt;=-0.3),"超过30%","")</f>
        <v/>
      </c>
      <c r="G52" s="571">
        <f>IF(G47&lt;G48,G48/G47-1,G47/G48-1)</f>
        <v>4.2216456634544208E-2</v>
      </c>
      <c r="H52" s="572" t="str">
        <f>IF(OR(G52&gt;=0.3,G52&lt;=-0.3),"超过30%","")</f>
        <v/>
      </c>
      <c r="I52" s="571">
        <f>IF(I47&lt;I48,I48/I47-1,I47/I48-1)</f>
        <v>8.8020930667165098E-2</v>
      </c>
      <c r="J52" s="572" t="str">
        <f>IF(OR(I52&gt;=0.3,I52&lt;=-0.3),"超过30%","")</f>
        <v/>
      </c>
      <c r="K52" s="2718"/>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5"/>
      <c r="B53" s="2715"/>
      <c r="C53" s="569" t="s">
        <v>507</v>
      </c>
      <c r="D53" s="573"/>
      <c r="E53" s="571">
        <f>IF(E48&lt;G48,G48/E48-1,E48/G48-1)</f>
        <v>5.5869696646395628E-2</v>
      </c>
      <c r="F53" s="572" t="str">
        <f>IF(OR(E53&gt;=0.2,E53&lt;=-0.2),"超过20%","")</f>
        <v/>
      </c>
      <c r="G53" s="571">
        <f>IF(G48&lt;I48,I48/G48-1,G48/I48-1)</f>
        <v>3.5243074078025627E-2</v>
      </c>
      <c r="H53" s="572" t="str">
        <f>IF(OR(G53&gt;=0.2,G53&lt;=-0.2),"超过20%","")</f>
        <v/>
      </c>
      <c r="I53" s="571">
        <f>IF(I48&lt;E48,E48/I48-1,I48/E48-1)</f>
        <v>1.992442459635857E-2</v>
      </c>
      <c r="J53" s="572" t="str">
        <f>IF(OR(I53&gt;=0.2,I53&lt;=-0.2),"超过20%","")</f>
        <v/>
      </c>
      <c r="K53" s="2718"/>
      <c r="L53" s="1752"/>
      <c r="M53" s="1739"/>
      <c r="N53" s="1739"/>
      <c r="O53" s="1739"/>
      <c r="P53" s="1739"/>
      <c r="Q53" s="1739"/>
      <c r="R53" s="1739"/>
      <c r="S53" s="1739"/>
      <c r="T53" s="1739"/>
      <c r="U53" s="1739"/>
      <c r="V53" s="1739"/>
      <c r="W53" s="1739"/>
      <c r="X53" s="1739"/>
      <c r="Y53" s="1739"/>
      <c r="Z53" s="1739"/>
      <c r="AA53" s="1739"/>
      <c r="AB53" s="1739"/>
      <c r="AC53" s="1739"/>
    </row>
    <row r="54" spans="1:29" s="1136" customFormat="1" ht="13.5" customHeight="1">
      <c r="A54" s="2716"/>
      <c r="B54" s="2716"/>
      <c r="C54" s="569" t="s">
        <v>508</v>
      </c>
      <c r="D54" s="573"/>
      <c r="E54" s="571">
        <f>IF(E47&lt;G47,G47/E47-1,E47/G47-1)</f>
        <v>1.1415863602668663E-2</v>
      </c>
      <c r="F54" s="572" t="str">
        <f>IF(OR(E54&gt;=0.3,E54&lt;=-0.3),"超过30%","")</f>
        <v/>
      </c>
      <c r="G54" s="571">
        <f>IF(G47&lt;I47,I47/G47-1,G47/I47-1)</f>
        <v>8.4096430573723513E-3</v>
      </c>
      <c r="H54" s="572" t="str">
        <f>IF(OR(G54&gt;=0.3,G54&lt;=-0.3),"超过30%","")</f>
        <v/>
      </c>
      <c r="I54" s="571">
        <f>IF(I47&lt;E47,E47/I47-1,I47/E47-1)</f>
        <v>1.9921509998131137E-2</v>
      </c>
      <c r="J54" s="572" t="str">
        <f>IF(OR(I54&gt;=0.3,I54&lt;=-0.3),"超过30%","")</f>
        <v/>
      </c>
      <c r="K54" s="2719"/>
      <c r="L54" s="1755"/>
      <c r="M54" s="1749"/>
      <c r="N54" s="1749"/>
      <c r="O54" s="1749"/>
      <c r="P54" s="1749"/>
      <c r="Q54" s="1749"/>
      <c r="R54" s="1749"/>
      <c r="S54" s="1749"/>
      <c r="T54" s="1749"/>
      <c r="U54" s="1749"/>
      <c r="V54" s="1749"/>
      <c r="W54" s="1749"/>
      <c r="X54" s="1749"/>
      <c r="Y54" s="1749"/>
      <c r="Z54" s="1749"/>
      <c r="AA54" s="1749"/>
      <c r="AB54" s="1749"/>
      <c r="AC54" s="1749"/>
    </row>
    <row r="55" spans="1:29" s="1136"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1.75" thickBot="1">
      <c r="A57" s="1314" t="s">
        <v>522</v>
      </c>
      <c r="B57" s="797"/>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8" customFormat="1" ht="15">
      <c r="A58" s="590" t="s">
        <v>478</v>
      </c>
      <c r="B58" s="591"/>
      <c r="C58" s="2112" t="str">
        <f>YEAR(C7)&amp;"-"&amp;MONTH(C7)</f>
        <v>2024-11</v>
      </c>
      <c r="D58" s="2112">
        <f>EDATE(C58,-1)</f>
        <v>45566</v>
      </c>
      <c r="E58" s="2112">
        <f t="shared" ref="E58:O58" si="13">EDATE(D58,-1)</f>
        <v>45536</v>
      </c>
      <c r="F58" s="2112">
        <f t="shared" si="13"/>
        <v>45505</v>
      </c>
      <c r="G58" s="2112">
        <f t="shared" si="13"/>
        <v>45474</v>
      </c>
      <c r="H58" s="2112">
        <f t="shared" si="13"/>
        <v>45444</v>
      </c>
      <c r="I58" s="2112">
        <f t="shared" si="13"/>
        <v>45413</v>
      </c>
      <c r="J58" s="2112">
        <f t="shared" si="13"/>
        <v>45383</v>
      </c>
      <c r="K58" s="2112">
        <f t="shared" si="13"/>
        <v>45352</v>
      </c>
      <c r="L58" s="2112">
        <f t="shared" si="13"/>
        <v>45323</v>
      </c>
      <c r="M58" s="2112">
        <f t="shared" si="13"/>
        <v>45292</v>
      </c>
      <c r="N58" s="2112">
        <f t="shared" si="13"/>
        <v>45261</v>
      </c>
      <c r="O58" s="2112">
        <f t="shared" si="13"/>
        <v>45231</v>
      </c>
      <c r="P58" s="1762"/>
      <c r="Q58" s="1762"/>
      <c r="R58" s="1762"/>
      <c r="S58" s="1762"/>
      <c r="T58" s="1762"/>
      <c r="U58" s="1762"/>
      <c r="V58" s="1762"/>
      <c r="W58" s="1762"/>
      <c r="X58" s="1762"/>
      <c r="Y58" s="1762"/>
      <c r="Z58" s="1762"/>
      <c r="AA58" s="1762"/>
      <c r="AB58" s="1762"/>
      <c r="AC58" s="1762"/>
    </row>
    <row r="59" spans="1:29" s="1057" customFormat="1" ht="15">
      <c r="A59" s="525"/>
      <c r="B59" s="592"/>
      <c r="C59" s="593">
        <v>100</v>
      </c>
      <c r="D59" s="594"/>
      <c r="E59" s="594"/>
      <c r="F59" s="594"/>
      <c r="G59" s="594"/>
      <c r="H59" s="594"/>
      <c r="I59" s="594"/>
      <c r="J59" s="594"/>
      <c r="K59" s="594"/>
      <c r="L59" s="594"/>
      <c r="M59" s="594"/>
      <c r="N59" s="594"/>
      <c r="O59" s="594"/>
      <c r="P59" s="1760"/>
      <c r="Q59" s="1637"/>
      <c r="R59" s="1637"/>
      <c r="S59" s="1637"/>
      <c r="T59" s="1637"/>
      <c r="U59" s="1637"/>
      <c r="V59" s="1637"/>
      <c r="W59" s="1637"/>
      <c r="X59" s="1637"/>
      <c r="Y59" s="1637"/>
      <c r="Z59" s="1637"/>
      <c r="AA59" s="1637"/>
      <c r="AB59" s="1637"/>
      <c r="AC59" s="1637"/>
    </row>
    <row r="60" spans="1:29" s="1057" customFormat="1" ht="15.75" thickBot="1">
      <c r="A60" s="260"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7" customFormat="1" ht="15">
      <c r="A61" s="601" t="s">
        <v>480</v>
      </c>
      <c r="B61" s="592"/>
      <c r="C61" s="602" t="s">
        <v>524</v>
      </c>
      <c r="D61" s="80"/>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7" customFormat="1" ht="15.75" thickBot="1">
      <c r="A62" s="601"/>
      <c r="B62" s="592"/>
      <c r="C62" s="811">
        <v>100</v>
      </c>
      <c r="D62" s="594"/>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637"/>
    </row>
    <row r="63" spans="1:29">
      <c r="A63" s="605" t="s">
        <v>525</v>
      </c>
      <c r="B63" s="606" t="s">
        <v>483</v>
      </c>
      <c r="C63" s="643" t="str">
        <f>C9</f>
        <v>住宅</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5.75" thickBot="1">
      <c r="A64" s="480"/>
      <c r="B64" s="610"/>
      <c r="C64" s="611">
        <v>100</v>
      </c>
      <c r="D64" s="611"/>
      <c r="E64" s="1330"/>
      <c r="F64" s="1330"/>
      <c r="G64" s="1330"/>
      <c r="H64" s="1330"/>
      <c r="I64" s="1330"/>
      <c r="J64" s="1330"/>
      <c r="K64" s="1330"/>
      <c r="L64" s="1330"/>
      <c r="M64" s="1331"/>
      <c r="N64" s="1765"/>
      <c r="O64" s="1765"/>
      <c r="P64" s="1763"/>
      <c r="Q64" s="1760"/>
      <c r="R64" s="1739"/>
      <c r="S64" s="1739"/>
      <c r="T64" s="1739"/>
      <c r="U64" s="1739"/>
      <c r="V64" s="1739"/>
      <c r="W64" s="1739"/>
      <c r="X64" s="1739"/>
      <c r="Y64" s="1739"/>
      <c r="Z64" s="1739"/>
      <c r="AA64" s="1739"/>
      <c r="AB64" s="1739"/>
      <c r="AC64" s="1739"/>
    </row>
    <row r="65" spans="1:29" ht="27.75" thickTop="1">
      <c r="A65" s="480"/>
      <c r="B65" s="613" t="s">
        <v>486</v>
      </c>
      <c r="C65" s="656" t="s">
        <v>4293</v>
      </c>
      <c r="D65" s="656" t="s">
        <v>4294</v>
      </c>
      <c r="E65" s="656" t="s">
        <v>4295</v>
      </c>
      <c r="F65" s="656" t="s">
        <v>4296</v>
      </c>
      <c r="G65" s="656" t="s">
        <v>4297</v>
      </c>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1">
        <v>100</v>
      </c>
      <c r="D66" s="611">
        <f>C66-2</f>
        <v>98</v>
      </c>
      <c r="E66" s="611">
        <f t="shared" ref="E66:G66" si="14">D66-2</f>
        <v>96</v>
      </c>
      <c r="F66" s="611">
        <f t="shared" si="14"/>
        <v>94</v>
      </c>
      <c r="G66" s="611">
        <f t="shared" si="14"/>
        <v>92</v>
      </c>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5.75" thickTop="1">
      <c r="A67" s="480"/>
      <c r="B67" s="621" t="s">
        <v>487</v>
      </c>
      <c r="C67" s="622" t="str">
        <f>C68&amp;"（含）"&amp;"-"&amp;D68</f>
        <v>0（含）-1</v>
      </c>
      <c r="D67" s="622" t="str">
        <f t="shared" ref="D67:L67" si="15">D68&amp;"（含）"&amp;"-"&amp;E68</f>
        <v>1（含）-2</v>
      </c>
      <c r="E67" s="622" t="str">
        <f t="shared" si="15"/>
        <v>2（含）-3</v>
      </c>
      <c r="F67" s="622" t="str">
        <f t="shared" si="15"/>
        <v>3（含）-4</v>
      </c>
      <c r="G67" s="622" t="str">
        <f t="shared" si="15"/>
        <v>4（含）-5</v>
      </c>
      <c r="H67" s="622" t="str">
        <f t="shared" si="15"/>
        <v>5（含）-</v>
      </c>
      <c r="I67" s="622" t="str">
        <f t="shared" si="15"/>
        <v>（含）-</v>
      </c>
      <c r="J67" s="622" t="str">
        <f t="shared" si="15"/>
        <v>（含）-</v>
      </c>
      <c r="K67" s="622" t="str">
        <f t="shared" si="15"/>
        <v>（含）-</v>
      </c>
      <c r="L67" s="622" t="str">
        <f t="shared" si="15"/>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0"/>
      <c r="B68" s="623"/>
      <c r="C68" s="489">
        <v>0</v>
      </c>
      <c r="D68" s="489">
        <v>1</v>
      </c>
      <c r="E68" s="489">
        <v>2</v>
      </c>
      <c r="F68" s="489">
        <v>3</v>
      </c>
      <c r="G68" s="489">
        <v>4</v>
      </c>
      <c r="H68" s="489">
        <v>5</v>
      </c>
      <c r="I68" s="489"/>
      <c r="J68" s="489"/>
      <c r="K68" s="624"/>
      <c r="L68" s="625"/>
      <c r="M68" s="626"/>
      <c r="N68" s="1764"/>
      <c r="O68" s="1764"/>
      <c r="P68" s="1763"/>
      <c r="Q68" s="1760"/>
      <c r="R68" s="1739"/>
      <c r="S68" s="1739"/>
      <c r="T68" s="1739"/>
      <c r="U68" s="1739"/>
      <c r="V68" s="1739"/>
      <c r="W68" s="1739"/>
      <c r="X68" s="1739"/>
      <c r="Y68" s="1739"/>
      <c r="Z68" s="1739"/>
      <c r="AA68" s="1739"/>
      <c r="AB68" s="1739"/>
      <c r="AC68" s="1739"/>
    </row>
    <row r="69" spans="1:29" ht="15.75" thickBot="1">
      <c r="A69" s="480"/>
      <c r="B69" s="610"/>
      <c r="C69" s="619">
        <v>100</v>
      </c>
      <c r="D69" s="619">
        <f t="shared" ref="D69:M69" si="16">C69-$K11</f>
        <v>100</v>
      </c>
      <c r="E69" s="619">
        <f t="shared" si="16"/>
        <v>100</v>
      </c>
      <c r="F69" s="619">
        <f t="shared" si="16"/>
        <v>100</v>
      </c>
      <c r="G69" s="619">
        <f t="shared" si="16"/>
        <v>100</v>
      </c>
      <c r="H69" s="619">
        <f t="shared" si="16"/>
        <v>100</v>
      </c>
      <c r="I69" s="619">
        <f t="shared" si="16"/>
        <v>100</v>
      </c>
      <c r="J69" s="619">
        <f t="shared" si="16"/>
        <v>100</v>
      </c>
      <c r="K69" s="619">
        <f t="shared" si="16"/>
        <v>100</v>
      </c>
      <c r="L69" s="619">
        <f t="shared" si="16"/>
        <v>100</v>
      </c>
      <c r="M69" s="620">
        <f t="shared" si="16"/>
        <v>100</v>
      </c>
      <c r="N69" s="1765"/>
      <c r="O69" s="1765"/>
      <c r="P69" s="1763"/>
      <c r="Q69" s="1760"/>
      <c r="R69" s="1739"/>
      <c r="S69" s="1739"/>
      <c r="T69" s="1739"/>
      <c r="U69" s="1739"/>
      <c r="V69" s="1739"/>
      <c r="W69" s="1739"/>
      <c r="X69" s="1739"/>
      <c r="Y69" s="1739"/>
      <c r="Z69" s="1739"/>
      <c r="AA69" s="1739"/>
      <c r="AB69" s="1739"/>
      <c r="AC69" s="1739"/>
    </row>
    <row r="70" spans="1:29" s="1131" customFormat="1" ht="15.75" thickTop="1">
      <c r="A70" s="627"/>
      <c r="B70" s="613" t="str">
        <f>B12</f>
        <v>限价</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1" customFormat="1" ht="15.7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1" customFormat="1" ht="15.7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1" customFormat="1" ht="15.75" thickBot="1">
      <c r="A73" s="627"/>
      <c r="B73" s="618"/>
      <c r="C73" s="632"/>
      <c r="D73" s="632"/>
      <c r="E73" s="632"/>
      <c r="F73" s="632"/>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1" customFormat="1" ht="15.7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1" customFormat="1" ht="15.7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5.75" thickBot="1">
      <c r="A77" s="480"/>
      <c r="B77" s="618"/>
      <c r="C77" s="619">
        <v>100</v>
      </c>
      <c r="D77" s="619">
        <f>C77-$K15</f>
        <v>99</v>
      </c>
      <c r="E77" s="619">
        <f>D77-$K15</f>
        <v>98</v>
      </c>
      <c r="F77" s="619">
        <f>E77-$K15</f>
        <v>97</v>
      </c>
      <c r="G77" s="619">
        <f>F77-$K15</f>
        <v>96</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C79-$K17</f>
        <v>99</v>
      </c>
      <c r="E79" s="619">
        <f>D79-$K17</f>
        <v>98</v>
      </c>
      <c r="F79" s="619">
        <f>E79-$K17</f>
        <v>97</v>
      </c>
      <c r="G79" s="619">
        <f>F79-$K17</f>
        <v>96</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1552" t="s">
        <v>1838</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5.75" thickBot="1">
      <c r="A81" s="480"/>
      <c r="B81" s="618"/>
      <c r="C81" s="619">
        <v>100</v>
      </c>
      <c r="D81" s="619">
        <f>C81-$K19</f>
        <v>99</v>
      </c>
      <c r="E81" s="619">
        <f>D81-$K19</f>
        <v>98</v>
      </c>
      <c r="F81" s="619">
        <f>E81-$K19</f>
        <v>97</v>
      </c>
      <c r="G81" s="619">
        <f>F81-$K19</f>
        <v>96</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5.75" thickTop="1">
      <c r="A82" s="480"/>
      <c r="B82" s="2053" t="s">
        <v>1839</v>
      </c>
      <c r="C82" s="2054" t="s">
        <v>1840</v>
      </c>
      <c r="D82" s="2054" t="s">
        <v>1841</v>
      </c>
      <c r="E82" s="2054" t="s">
        <v>1842</v>
      </c>
      <c r="F82" s="2054" t="s">
        <v>1843</v>
      </c>
      <c r="G82" s="2054" t="s">
        <v>1844</v>
      </c>
      <c r="H82" s="614"/>
      <c r="I82" s="614"/>
      <c r="J82" s="614"/>
      <c r="K82" s="614"/>
      <c r="L82" s="614"/>
      <c r="M82" s="2057"/>
      <c r="N82" s="1765"/>
      <c r="O82" s="1765"/>
      <c r="P82" s="1763"/>
      <c r="Q82" s="1760"/>
      <c r="R82" s="1739"/>
      <c r="S82" s="1739"/>
      <c r="T82" s="1739"/>
      <c r="U82" s="1739"/>
      <c r="V82" s="1739"/>
      <c r="W82" s="1739"/>
      <c r="X82" s="1739"/>
      <c r="Y82" s="1739"/>
      <c r="Z82" s="1739"/>
      <c r="AA82" s="1739"/>
      <c r="AB82" s="1739"/>
      <c r="AC82" s="1739"/>
    </row>
    <row r="83" spans="1:29" ht="15.75" thickBot="1">
      <c r="A83" s="480"/>
      <c r="B83" s="621"/>
      <c r="C83" s="619">
        <v>100</v>
      </c>
      <c r="D83" s="619">
        <f>C83-$K21</f>
        <v>99</v>
      </c>
      <c r="E83" s="619">
        <f>D83-$K21</f>
        <v>98</v>
      </c>
      <c r="F83" s="619">
        <f>E83-$K21</f>
        <v>97</v>
      </c>
      <c r="G83" s="619">
        <f>F83-$K21</f>
        <v>96</v>
      </c>
      <c r="H83" s="853"/>
      <c r="I83" s="853"/>
      <c r="J83" s="853"/>
      <c r="K83" s="853"/>
      <c r="L83" s="853"/>
      <c r="M83" s="507"/>
      <c r="N83" s="1765"/>
      <c r="O83" s="1765"/>
      <c r="P83" s="1763"/>
      <c r="Q83" s="1760"/>
      <c r="R83" s="1739"/>
      <c r="S83" s="1739"/>
      <c r="T83" s="1739"/>
      <c r="U83" s="1739"/>
      <c r="V83" s="1739"/>
      <c r="W83" s="1739"/>
      <c r="X83" s="1739"/>
      <c r="Y83" s="1739"/>
      <c r="Z83" s="1739"/>
      <c r="AA83" s="1739"/>
      <c r="AB83" s="1739"/>
      <c r="AC83" s="1739"/>
    </row>
    <row r="84" spans="1:29" ht="15.7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19">
        <v>100</v>
      </c>
      <c r="D85" s="619">
        <f>C85-$K23</f>
        <v>99</v>
      </c>
      <c r="E85" s="619">
        <f>D85-$K23</f>
        <v>98</v>
      </c>
      <c r="F85" s="619">
        <f>E85-$K23</f>
        <v>97</v>
      </c>
      <c r="G85" s="619">
        <f>F85-$K23</f>
        <v>96</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7" customFormat="1" ht="15.75" thickTop="1">
      <c r="A86" s="484"/>
      <c r="B86" s="1552" t="s">
        <v>1614</v>
      </c>
      <c r="C86" s="628"/>
      <c r="D86" s="628"/>
      <c r="E86" s="628"/>
      <c r="F86" s="628"/>
      <c r="G86" s="628"/>
      <c r="H86" s="628"/>
      <c r="I86" s="628"/>
      <c r="J86" s="628"/>
      <c r="K86" s="628"/>
      <c r="L86" s="812"/>
      <c r="M86" s="813"/>
      <c r="N86" s="1763"/>
      <c r="O86" s="1763"/>
      <c r="P86" s="1763"/>
      <c r="Q86" s="1760"/>
      <c r="R86" s="1637"/>
      <c r="S86" s="1637"/>
      <c r="T86" s="1637"/>
      <c r="U86" s="1637"/>
      <c r="V86" s="1637"/>
      <c r="W86" s="1637"/>
      <c r="X86" s="1637"/>
      <c r="Y86" s="1637"/>
      <c r="Z86" s="1637"/>
      <c r="AA86" s="1637"/>
      <c r="AB86" s="1637"/>
      <c r="AC86" s="1637"/>
    </row>
    <row r="87" spans="1:29" s="1057" customFormat="1" ht="15.75" thickBot="1">
      <c r="A87" s="484"/>
      <c r="B87" s="618"/>
      <c r="C87" s="650">
        <v>100</v>
      </c>
      <c r="D87" s="619">
        <f>$C$87-($C$86-D86)*$K$25</f>
        <v>100</v>
      </c>
      <c r="E87" s="619">
        <f t="shared" ref="E87:M87" si="17">$C$87-($C$86-E86)*$K$25</f>
        <v>100</v>
      </c>
      <c r="F87" s="619">
        <f t="shared" si="17"/>
        <v>100</v>
      </c>
      <c r="G87" s="619">
        <f t="shared" si="17"/>
        <v>100</v>
      </c>
      <c r="H87" s="619">
        <f t="shared" si="17"/>
        <v>100</v>
      </c>
      <c r="I87" s="619">
        <f t="shared" si="17"/>
        <v>100</v>
      </c>
      <c r="J87" s="619">
        <f t="shared" si="17"/>
        <v>100</v>
      </c>
      <c r="K87" s="619">
        <f t="shared" si="17"/>
        <v>100</v>
      </c>
      <c r="L87" s="619">
        <f t="shared" si="17"/>
        <v>100</v>
      </c>
      <c r="M87" s="619">
        <f t="shared" si="17"/>
        <v>100</v>
      </c>
      <c r="N87" s="1765"/>
      <c r="O87" s="1765"/>
      <c r="P87" s="1763"/>
      <c r="Q87" s="1760"/>
      <c r="R87" s="1637"/>
      <c r="S87" s="1637"/>
      <c r="T87" s="1637"/>
      <c r="U87" s="1637"/>
      <c r="V87" s="1637"/>
      <c r="W87" s="1637"/>
      <c r="X87" s="1637"/>
      <c r="Y87" s="1637"/>
      <c r="Z87" s="1637"/>
      <c r="AA87" s="1637"/>
      <c r="AB87" s="1637"/>
      <c r="AC87" s="1637"/>
    </row>
    <row r="88" spans="1:29" s="1057" customFormat="1" ht="15.75" thickTop="1">
      <c r="A88" s="484"/>
      <c r="B88" s="613" t="s">
        <v>686</v>
      </c>
      <c r="C88" s="628"/>
      <c r="D88" s="628"/>
      <c r="E88" s="628"/>
      <c r="F88" s="814"/>
      <c r="G88" s="628"/>
      <c r="H88" s="628"/>
      <c r="I88" s="628"/>
      <c r="J88" s="628"/>
      <c r="K88" s="628"/>
      <c r="L88" s="628"/>
      <c r="M88" s="813"/>
      <c r="N88" s="1763"/>
      <c r="O88" s="1763"/>
      <c r="P88" s="1763"/>
      <c r="Q88" s="1760"/>
      <c r="R88" s="1637"/>
      <c r="S88" s="1637"/>
      <c r="T88" s="1637"/>
      <c r="U88" s="1637"/>
      <c r="V88" s="1637"/>
      <c r="W88" s="1637"/>
      <c r="X88" s="1637"/>
      <c r="Y88" s="1637"/>
      <c r="Z88" s="1637"/>
      <c r="AA88" s="1637"/>
      <c r="AB88" s="1637"/>
      <c r="AC88" s="1637"/>
    </row>
    <row r="89" spans="1:29" s="1057" customFormat="1" ht="15.75" thickBot="1">
      <c r="A89" s="484"/>
      <c r="B89" s="618"/>
      <c r="C89" s="650">
        <v>100</v>
      </c>
      <c r="D89" s="619">
        <f t="shared" ref="D89:M89" si="18">C89-$K26</f>
        <v>100</v>
      </c>
      <c r="E89" s="619">
        <f t="shared" si="18"/>
        <v>100</v>
      </c>
      <c r="F89" s="619">
        <f t="shared" si="18"/>
        <v>100</v>
      </c>
      <c r="G89" s="619">
        <f t="shared" si="18"/>
        <v>100</v>
      </c>
      <c r="H89" s="619">
        <f t="shared" si="18"/>
        <v>100</v>
      </c>
      <c r="I89" s="619">
        <f t="shared" si="18"/>
        <v>100</v>
      </c>
      <c r="J89" s="619">
        <f t="shared" si="18"/>
        <v>100</v>
      </c>
      <c r="K89" s="619">
        <f t="shared" si="18"/>
        <v>100</v>
      </c>
      <c r="L89" s="619">
        <f t="shared" si="18"/>
        <v>100</v>
      </c>
      <c r="M89" s="619">
        <f t="shared" si="18"/>
        <v>100</v>
      </c>
      <c r="N89" s="1765"/>
      <c r="O89" s="1765"/>
      <c r="P89" s="1763"/>
      <c r="Q89" s="1760"/>
      <c r="R89" s="1637"/>
      <c r="S89" s="1637"/>
      <c r="T89" s="1637"/>
      <c r="U89" s="1637"/>
      <c r="V89" s="1637"/>
      <c r="W89" s="1637"/>
      <c r="X89" s="1637"/>
      <c r="Y89" s="1637"/>
      <c r="Z89" s="1637"/>
      <c r="AA89" s="1637"/>
      <c r="AB89" s="1637"/>
      <c r="AC89" s="1637"/>
    </row>
    <row r="90" spans="1:29" s="1131" customFormat="1" ht="15.75" thickTop="1">
      <c r="A90" s="627"/>
      <c r="B90" s="613" t="str">
        <f>B27</f>
        <v>道路级别</v>
      </c>
      <c r="C90" s="628"/>
      <c r="D90" s="628"/>
      <c r="E90" s="628"/>
      <c r="F90" s="628"/>
      <c r="G90" s="628"/>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1" customFormat="1" ht="15.75" thickBot="1">
      <c r="A91" s="627"/>
      <c r="B91" s="618"/>
      <c r="C91" s="632"/>
      <c r="D91" s="632"/>
      <c r="E91" s="632"/>
      <c r="F91" s="632"/>
      <c r="G91" s="632"/>
      <c r="H91" s="633"/>
      <c r="I91" s="633"/>
      <c r="J91" s="633"/>
      <c r="K91" s="633"/>
      <c r="L91" s="633"/>
      <c r="M91" s="634"/>
      <c r="N91" s="1766"/>
      <c r="O91" s="1766"/>
      <c r="P91" s="1766"/>
      <c r="Q91" s="1767"/>
      <c r="R91" s="1768"/>
      <c r="S91" s="1768"/>
      <c r="T91" s="1768"/>
      <c r="U91" s="1768"/>
      <c r="V91" s="1768"/>
      <c r="W91" s="1768"/>
      <c r="X91" s="1768"/>
      <c r="Y91" s="1768"/>
      <c r="Z91" s="1768"/>
      <c r="AA91" s="1768"/>
      <c r="AB91" s="1768"/>
      <c r="AC91" s="1768"/>
    </row>
    <row r="92" spans="1:29" ht="15.75" thickTop="1">
      <c r="A92" s="480"/>
      <c r="B92" s="613">
        <f>B28</f>
        <v>111</v>
      </c>
      <c r="C92" s="628"/>
      <c r="D92" s="628"/>
      <c r="E92" s="628"/>
      <c r="F92" s="628"/>
      <c r="G92" s="656"/>
      <c r="H92" s="656"/>
      <c r="I92" s="656"/>
      <c r="J92" s="656"/>
      <c r="K92" s="657"/>
      <c r="L92" s="658"/>
      <c r="M92" s="659"/>
      <c r="N92" s="1764"/>
      <c r="O92" s="1764"/>
      <c r="P92" s="1763"/>
      <c r="Q92" s="1760"/>
      <c r="R92" s="1739"/>
      <c r="S92" s="1739"/>
      <c r="T92" s="1739"/>
      <c r="U92" s="1739"/>
      <c r="V92" s="1739"/>
      <c r="W92" s="1739"/>
      <c r="X92" s="1739"/>
      <c r="Y92" s="1739"/>
      <c r="Z92" s="1739"/>
      <c r="AA92" s="1739"/>
      <c r="AB92" s="1739"/>
      <c r="AC92" s="1739"/>
    </row>
    <row r="93" spans="1:29" ht="15.75" thickBot="1">
      <c r="A93" s="480"/>
      <c r="B93" s="618"/>
      <c r="C93" s="632"/>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5.7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5.75" thickBot="1">
      <c r="A95" s="480"/>
      <c r="B95" s="618"/>
      <c r="C95" s="632"/>
      <c r="D95" s="632"/>
      <c r="E95" s="632"/>
      <c r="F95" s="632"/>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5.7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5.75" thickBot="1">
      <c r="A97" s="480"/>
      <c r="B97" s="618"/>
      <c r="C97" s="640"/>
      <c r="D97" s="640"/>
      <c r="E97" s="640"/>
      <c r="F97" s="640"/>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5.75" thickTop="1">
      <c r="A98" s="480"/>
      <c r="B98" s="621">
        <f>B31</f>
        <v>111</v>
      </c>
      <c r="C98" s="660"/>
      <c r="D98" s="660"/>
      <c r="E98" s="660"/>
      <c r="F98" s="660"/>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5.75" thickBot="1">
      <c r="A99" s="491"/>
      <c r="B99" s="639"/>
      <c r="C99" s="664"/>
      <c r="D99" s="664"/>
      <c r="E99" s="664"/>
      <c r="F99" s="664"/>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687</v>
      </c>
      <c r="C100" s="3391" t="s">
        <v>4061</v>
      </c>
      <c r="D100" s="545"/>
      <c r="E100" s="545"/>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19">C101-$K32</f>
        <v>100</v>
      </c>
      <c r="E101" s="619">
        <f t="shared" si="19"/>
        <v>100</v>
      </c>
      <c r="F101" s="619">
        <f t="shared" si="19"/>
        <v>100</v>
      </c>
      <c r="G101" s="619">
        <f t="shared" si="19"/>
        <v>100</v>
      </c>
      <c r="H101" s="619">
        <f t="shared" si="19"/>
        <v>100</v>
      </c>
      <c r="I101" s="619">
        <f t="shared" si="19"/>
        <v>100</v>
      </c>
      <c r="J101" s="619">
        <f t="shared" si="19"/>
        <v>100</v>
      </c>
      <c r="K101" s="619">
        <f t="shared" si="19"/>
        <v>100</v>
      </c>
      <c r="L101" s="619">
        <f t="shared" si="19"/>
        <v>100</v>
      </c>
      <c r="M101" s="619">
        <f t="shared" si="19"/>
        <v>100</v>
      </c>
      <c r="N101" s="1765"/>
      <c r="O101" s="1765"/>
      <c r="P101" s="1763"/>
      <c r="Q101" s="1760"/>
      <c r="R101" s="1739"/>
      <c r="S101" s="1739"/>
      <c r="T101" s="1739"/>
      <c r="U101" s="1739"/>
      <c r="V101" s="1739"/>
      <c r="W101" s="1739"/>
      <c r="X101" s="1739"/>
      <c r="Y101" s="1739"/>
      <c r="Z101" s="1739"/>
      <c r="AA101" s="1739"/>
      <c r="AB101" s="1739"/>
      <c r="AC101" s="1739"/>
    </row>
    <row r="102" spans="1:29" ht="29.25" thickTop="1">
      <c r="A102" s="480"/>
      <c r="B102" s="613" t="s">
        <v>688</v>
      </c>
      <c r="C102" s="647" t="str">
        <f>C103&amp;"(含)"&amp;"-"&amp;D103</f>
        <v>0(含)-50000</v>
      </c>
      <c r="D102" s="647" t="str">
        <f t="shared" ref="D102:L102" si="20">D103&amp;"(含)"&amp;"-"&amp;E103</f>
        <v>50000(含)-100000</v>
      </c>
      <c r="E102" s="647" t="str">
        <f t="shared" si="20"/>
        <v>100000(含)-500000</v>
      </c>
      <c r="F102" s="647" t="str">
        <f t="shared" si="20"/>
        <v>500000(含)-</v>
      </c>
      <c r="G102" s="647" t="str">
        <f t="shared" si="20"/>
        <v>(含)-</v>
      </c>
      <c r="H102" s="647" t="str">
        <f t="shared" si="20"/>
        <v>(含)-</v>
      </c>
      <c r="I102" s="647" t="str">
        <f t="shared" si="20"/>
        <v>(含)-</v>
      </c>
      <c r="J102" s="647" t="str">
        <f t="shared" si="20"/>
        <v>(含)-</v>
      </c>
      <c r="K102" s="647" t="str">
        <f t="shared" si="20"/>
        <v>(含)-</v>
      </c>
      <c r="L102" s="647" t="str">
        <f t="shared" si="20"/>
        <v>(含)-</v>
      </c>
      <c r="M102" s="647"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1" customFormat="1">
      <c r="A103" s="550"/>
      <c r="B103" s="666"/>
      <c r="C103" s="79">
        <v>0</v>
      </c>
      <c r="D103" s="79">
        <v>50000</v>
      </c>
      <c r="E103" s="79">
        <v>100000</v>
      </c>
      <c r="F103" s="79">
        <v>500000</v>
      </c>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1" customFormat="1" ht="15.75" thickBot="1">
      <c r="A104" s="627"/>
      <c r="B104" s="618"/>
      <c r="C104" s="632">
        <v>100</v>
      </c>
      <c r="D104" s="611">
        <f>C104+2</f>
        <v>102</v>
      </c>
      <c r="E104" s="611">
        <f>D104+2</f>
        <v>104</v>
      </c>
      <c r="F104" s="611"/>
      <c r="G104" s="611"/>
      <c r="H104" s="611"/>
      <c r="I104" s="611"/>
      <c r="J104" s="611"/>
      <c r="K104" s="611"/>
      <c r="L104" s="611"/>
      <c r="M104" s="611"/>
      <c r="N104" s="1765"/>
      <c r="O104" s="1765"/>
      <c r="P104" s="1766"/>
      <c r="Q104" s="1767"/>
      <c r="R104" s="1768"/>
      <c r="S104" s="1768"/>
      <c r="T104" s="1768"/>
      <c r="U104" s="1768"/>
      <c r="V104" s="1768"/>
      <c r="W104" s="1768"/>
      <c r="X104" s="1768"/>
      <c r="Y104" s="1768"/>
      <c r="Z104" s="1768"/>
      <c r="AA104" s="1768"/>
      <c r="AB104" s="1768"/>
      <c r="AC104" s="1768"/>
    </row>
    <row r="105" spans="1:29" ht="15" thickTop="1">
      <c r="A105" s="541"/>
      <c r="B105" s="613" t="s">
        <v>689</v>
      </c>
      <c r="C105" s="3393" t="s">
        <v>4063</v>
      </c>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1">C106-$K34</f>
        <v>99</v>
      </c>
      <c r="E106" s="619">
        <f t="shared" si="21"/>
        <v>98</v>
      </c>
      <c r="F106" s="619">
        <f t="shared" si="21"/>
        <v>97</v>
      </c>
      <c r="G106" s="619">
        <f t="shared" si="21"/>
        <v>96</v>
      </c>
      <c r="H106" s="619">
        <f t="shared" si="21"/>
        <v>95</v>
      </c>
      <c r="I106" s="619">
        <f t="shared" si="21"/>
        <v>94</v>
      </c>
      <c r="J106" s="619">
        <f t="shared" si="21"/>
        <v>93</v>
      </c>
      <c r="K106" s="619">
        <f t="shared" si="21"/>
        <v>92</v>
      </c>
      <c r="L106" s="619">
        <f t="shared" si="21"/>
        <v>91</v>
      </c>
      <c r="M106" s="619">
        <f t="shared" si="21"/>
        <v>90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1"/>
      <c r="B107" s="613" t="s">
        <v>690</v>
      </c>
      <c r="C107" s="656"/>
      <c r="D107" s="656"/>
      <c r="E107" s="656"/>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2">C108-$K35</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1"/>
      <c r="B109" s="613" t="s">
        <v>691</v>
      </c>
      <c r="C109" s="3393" t="s">
        <v>4065</v>
      </c>
      <c r="D109" s="628"/>
      <c r="E109" s="628"/>
      <c r="F109" s="656"/>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19">
        <v>100</v>
      </c>
      <c r="D110" s="619">
        <f t="shared" ref="D110:M110" si="23">C110-$K36</f>
        <v>97</v>
      </c>
      <c r="E110" s="619">
        <f t="shared" si="23"/>
        <v>94</v>
      </c>
      <c r="F110" s="619">
        <f t="shared" si="23"/>
        <v>91</v>
      </c>
      <c r="G110" s="619">
        <f t="shared" si="23"/>
        <v>88</v>
      </c>
      <c r="H110" s="619">
        <f t="shared" si="23"/>
        <v>85</v>
      </c>
      <c r="I110" s="619">
        <f t="shared" si="23"/>
        <v>82</v>
      </c>
      <c r="J110" s="619">
        <f t="shared" si="23"/>
        <v>79</v>
      </c>
      <c r="K110" s="619">
        <f t="shared" si="23"/>
        <v>76</v>
      </c>
      <c r="L110" s="619">
        <f t="shared" si="23"/>
        <v>73</v>
      </c>
      <c r="M110" s="619">
        <f t="shared" si="23"/>
        <v>70</v>
      </c>
      <c r="N110" s="1765"/>
      <c r="O110" s="1765"/>
      <c r="P110" s="1763"/>
      <c r="Q110" s="1760"/>
      <c r="R110" s="1739"/>
      <c r="S110" s="1739"/>
      <c r="T110" s="1739"/>
      <c r="U110" s="1739"/>
      <c r="V110" s="1739"/>
      <c r="W110" s="1739"/>
      <c r="X110" s="1739"/>
      <c r="Y110" s="1739"/>
      <c r="Z110" s="1739"/>
      <c r="AA110" s="1739"/>
      <c r="AB110" s="1739"/>
      <c r="AC110" s="1739"/>
    </row>
    <row r="111" spans="1:29" s="1131"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6"/>
      <c r="O111" s="1766"/>
      <c r="P111" s="1766"/>
      <c r="Q111" s="1767"/>
      <c r="R111" s="1768"/>
      <c r="S111" s="1768"/>
      <c r="T111" s="1768"/>
      <c r="U111" s="1768"/>
      <c r="V111" s="1768"/>
      <c r="W111" s="1768"/>
      <c r="X111" s="1768"/>
      <c r="Y111" s="1768"/>
      <c r="Z111" s="1768"/>
      <c r="AA111" s="1768"/>
      <c r="AB111" s="1768"/>
      <c r="AC111" s="1768"/>
    </row>
    <row r="112" spans="1:29" s="1131" customFormat="1">
      <c r="A112" s="550"/>
      <c r="B112" s="621"/>
      <c r="C112" s="815">
        <v>0.5</v>
      </c>
      <c r="D112" s="815">
        <v>0.6</v>
      </c>
      <c r="E112" s="815">
        <v>0.7</v>
      </c>
      <c r="F112" s="815">
        <v>0.8</v>
      </c>
      <c r="G112" s="815">
        <v>0.9</v>
      </c>
      <c r="H112" s="815">
        <v>1.0001</v>
      </c>
      <c r="I112" s="815"/>
      <c r="J112" s="816"/>
      <c r="K112" s="816"/>
      <c r="L112" s="817"/>
      <c r="M112" s="818"/>
      <c r="N112" s="1766"/>
      <c r="O112" s="1766"/>
      <c r="P112" s="1766"/>
      <c r="Q112" s="1767"/>
      <c r="R112" s="1768"/>
      <c r="S112" s="1768"/>
      <c r="T112" s="1768"/>
      <c r="U112" s="1768"/>
      <c r="V112" s="1768"/>
      <c r="W112" s="1768"/>
      <c r="X112" s="1768"/>
      <c r="Y112" s="1768"/>
      <c r="Z112" s="1768"/>
      <c r="AA112" s="1768"/>
      <c r="AB112" s="1768"/>
      <c r="AC112" s="1768"/>
    </row>
    <row r="113" spans="1:29" s="1131"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6"/>
      <c r="O113" s="1766"/>
      <c r="P113" s="1766"/>
      <c r="Q113" s="1767"/>
      <c r="R113" s="1768"/>
      <c r="S113" s="1768"/>
      <c r="T113" s="1768"/>
      <c r="U113" s="1768"/>
      <c r="V113" s="1768"/>
      <c r="W113" s="1768"/>
      <c r="X113" s="1768"/>
      <c r="Y113" s="1768"/>
      <c r="Z113" s="1768"/>
      <c r="AA113" s="1768"/>
      <c r="AB113" s="1768"/>
      <c r="AC113" s="1768"/>
    </row>
    <row r="114" spans="1:29" ht="15" thickTop="1">
      <c r="A114" s="541"/>
      <c r="B114" s="613" t="s">
        <v>693</v>
      </c>
      <c r="C114" s="3393" t="s">
        <v>4067</v>
      </c>
      <c r="D114" s="3393" t="s">
        <v>4298</v>
      </c>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5.75" thickBot="1">
      <c r="A115" s="480"/>
      <c r="B115" s="618"/>
      <c r="C115" s="619">
        <v>100</v>
      </c>
      <c r="D115" s="619">
        <f t="shared" ref="D115:M115" si="24">C115-$K38</f>
        <v>99</v>
      </c>
      <c r="E115" s="619">
        <f t="shared" si="24"/>
        <v>98</v>
      </c>
      <c r="F115" s="619">
        <f t="shared" si="24"/>
        <v>97</v>
      </c>
      <c r="G115" s="619">
        <f t="shared" si="24"/>
        <v>96</v>
      </c>
      <c r="H115" s="619">
        <f t="shared" si="24"/>
        <v>95</v>
      </c>
      <c r="I115" s="619">
        <f t="shared" si="24"/>
        <v>94</v>
      </c>
      <c r="J115" s="619">
        <f t="shared" si="24"/>
        <v>93</v>
      </c>
      <c r="K115" s="619">
        <f t="shared" si="24"/>
        <v>92</v>
      </c>
      <c r="L115" s="619">
        <f t="shared" si="24"/>
        <v>91</v>
      </c>
      <c r="M115" s="619">
        <f t="shared" si="24"/>
        <v>90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1"/>
      <c r="B116" s="1552" t="s">
        <v>1837</v>
      </c>
      <c r="C116" s="3393" t="s">
        <v>4068</v>
      </c>
      <c r="D116" s="628"/>
      <c r="E116" s="628"/>
      <c r="F116" s="628"/>
      <c r="G116" s="628"/>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5.75" thickBot="1">
      <c r="A117" s="480"/>
      <c r="B117" s="618"/>
      <c r="C117" s="619">
        <v>100</v>
      </c>
      <c r="D117" s="619">
        <f>C117-$K39</f>
        <v>99</v>
      </c>
      <c r="E117" s="619">
        <f>D117-$K39</f>
        <v>98</v>
      </c>
      <c r="F117" s="619">
        <f>E117-$K39</f>
        <v>97</v>
      </c>
      <c r="G117" s="619">
        <f>F117-$K39</f>
        <v>96</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5" thickTop="1">
      <c r="A118" s="541"/>
      <c r="B118" s="613" t="s">
        <v>694</v>
      </c>
      <c r="C118" s="656"/>
      <c r="D118" s="656"/>
      <c r="E118" s="656"/>
      <c r="F118" s="656"/>
      <c r="G118" s="656"/>
      <c r="H118" s="656"/>
      <c r="I118" s="656"/>
      <c r="J118" s="656"/>
      <c r="K118" s="657"/>
      <c r="L118" s="658"/>
      <c r="M118" s="659"/>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619">
        <v>100</v>
      </c>
      <c r="D119" s="619">
        <f t="shared" ref="D119:M119" si="25">C119-$K40</f>
        <v>100</v>
      </c>
      <c r="E119" s="619">
        <f t="shared" si="25"/>
        <v>100</v>
      </c>
      <c r="F119" s="619">
        <f t="shared" si="25"/>
        <v>100</v>
      </c>
      <c r="G119" s="619">
        <f t="shared" si="25"/>
        <v>100</v>
      </c>
      <c r="H119" s="619">
        <f t="shared" si="25"/>
        <v>100</v>
      </c>
      <c r="I119" s="619">
        <f t="shared" si="25"/>
        <v>100</v>
      </c>
      <c r="J119" s="619">
        <f t="shared" si="25"/>
        <v>100</v>
      </c>
      <c r="K119" s="619">
        <f t="shared" si="25"/>
        <v>100</v>
      </c>
      <c r="L119" s="619">
        <f t="shared" si="25"/>
        <v>100</v>
      </c>
      <c r="M119" s="619">
        <f t="shared" si="25"/>
        <v>100</v>
      </c>
      <c r="N119" s="1765"/>
      <c r="O119" s="1765"/>
      <c r="P119" s="1763"/>
      <c r="Q119" s="1760"/>
      <c r="R119" s="1739"/>
      <c r="S119" s="1739"/>
      <c r="T119" s="1739"/>
      <c r="U119" s="1739"/>
      <c r="V119" s="1739"/>
      <c r="W119" s="1739"/>
      <c r="X119" s="1739"/>
      <c r="Y119" s="1739"/>
      <c r="Z119" s="1739"/>
      <c r="AA119" s="1739"/>
      <c r="AB119" s="1739"/>
      <c r="AC119" s="1739"/>
    </row>
    <row r="120" spans="1:29" s="1131" customFormat="1" ht="28.5" thickTop="1">
      <c r="A120" s="550"/>
      <c r="B120" s="613" t="s">
        <v>680</v>
      </c>
      <c r="C120" s="3393" t="s">
        <v>4109</v>
      </c>
      <c r="D120" s="3393" t="s">
        <v>4111</v>
      </c>
      <c r="E120" s="628"/>
      <c r="F120" s="628"/>
      <c r="G120" s="628"/>
      <c r="H120" s="628"/>
      <c r="I120" s="628"/>
      <c r="J120" s="628"/>
      <c r="K120" s="628"/>
      <c r="L120" s="812"/>
      <c r="M120" s="813"/>
      <c r="N120" s="1766"/>
      <c r="O120" s="1766"/>
      <c r="P120" s="1766"/>
      <c r="Q120" s="1767"/>
      <c r="R120" s="1768"/>
      <c r="S120" s="1768"/>
      <c r="T120" s="1768"/>
      <c r="U120" s="1768"/>
      <c r="V120" s="1768"/>
      <c r="W120" s="1768"/>
      <c r="X120" s="1768"/>
      <c r="Y120" s="1768"/>
      <c r="Z120" s="1768"/>
      <c r="AA120" s="1768"/>
      <c r="AB120" s="1768"/>
      <c r="AC120" s="1768"/>
    </row>
    <row r="121" spans="1:29" s="1131" customFormat="1" ht="15.75" thickBot="1">
      <c r="A121" s="627"/>
      <c r="B121" s="610"/>
      <c r="C121" s="632">
        <v>100</v>
      </c>
      <c r="D121" s="611">
        <v>95</v>
      </c>
      <c r="E121" s="611"/>
      <c r="F121" s="611"/>
      <c r="G121" s="611"/>
      <c r="H121" s="611"/>
      <c r="I121" s="611"/>
      <c r="J121" s="611"/>
      <c r="K121" s="611"/>
      <c r="L121" s="611"/>
      <c r="M121" s="611"/>
      <c r="N121" s="1766"/>
      <c r="O121" s="1766"/>
      <c r="P121" s="1766"/>
      <c r="Q121" s="1767"/>
      <c r="R121" s="1768"/>
      <c r="S121" s="1768"/>
      <c r="T121" s="1768"/>
      <c r="U121" s="1768"/>
      <c r="V121" s="1768"/>
      <c r="W121" s="1768"/>
      <c r="X121" s="1768"/>
      <c r="Y121" s="1768"/>
      <c r="Z121" s="1768"/>
      <c r="AA121" s="1768"/>
      <c r="AB121" s="1768"/>
      <c r="AC121" s="1768"/>
    </row>
    <row r="122" spans="1:29" ht="15" thickTop="1">
      <c r="A122" s="541"/>
      <c r="B122" s="613" t="s">
        <v>695</v>
      </c>
      <c r="C122" s="3393" t="s">
        <v>4065</v>
      </c>
      <c r="D122" s="3393" t="s">
        <v>4069</v>
      </c>
      <c r="E122" s="3393" t="s">
        <v>4070</v>
      </c>
      <c r="F122" s="3392" t="s">
        <v>4071</v>
      </c>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6">C123-$K42</f>
        <v>97</v>
      </c>
      <c r="E123" s="619">
        <f t="shared" si="26"/>
        <v>94</v>
      </c>
      <c r="F123" s="619">
        <f t="shared" si="26"/>
        <v>91</v>
      </c>
      <c r="G123" s="619">
        <f t="shared" si="26"/>
        <v>88</v>
      </c>
      <c r="H123" s="619">
        <f t="shared" si="26"/>
        <v>85</v>
      </c>
      <c r="I123" s="619">
        <f t="shared" si="26"/>
        <v>82</v>
      </c>
      <c r="J123" s="619">
        <f t="shared" si="26"/>
        <v>79</v>
      </c>
      <c r="K123" s="619">
        <f t="shared" si="26"/>
        <v>76</v>
      </c>
      <c r="L123" s="619">
        <f t="shared" si="26"/>
        <v>73</v>
      </c>
      <c r="M123" s="619">
        <f t="shared" si="26"/>
        <v>70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1" customFormat="1" ht="15" thickTop="1">
      <c r="A126" s="550"/>
      <c r="B126" s="613">
        <f>B44</f>
        <v>111</v>
      </c>
      <c r="C126" s="628"/>
      <c r="D126" s="628"/>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1" customFormat="1" ht="15.75" thickBot="1">
      <c r="A127" s="627"/>
      <c r="B127" s="618"/>
      <c r="C127" s="632"/>
      <c r="D127" s="611"/>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5.7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1615</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574" t="s">
        <v>1616</v>
      </c>
      <c r="C137" s="1575"/>
      <c r="D137" s="1575"/>
      <c r="E137" s="1575"/>
      <c r="F137" s="1575"/>
      <c r="G137" s="1576"/>
      <c r="H137" s="1577"/>
      <c r="I137" s="1578" t="s">
        <v>1617</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580"/>
      <c r="C138" s="1581" t="s">
        <v>1618</v>
      </c>
      <c r="D138" s="1581" t="s">
        <v>1619</v>
      </c>
      <c r="E138" s="1582" t="s">
        <v>1620</v>
      </c>
      <c r="F138" s="1583" t="s">
        <v>1621</v>
      </c>
      <c r="G138" s="1581" t="s">
        <v>1622</v>
      </c>
      <c r="H138" s="1584" t="s">
        <v>1623</v>
      </c>
      <c r="I138" s="1585"/>
      <c r="J138" s="1581" t="s">
        <v>1624</v>
      </c>
      <c r="K138" s="1584" t="s">
        <v>1625</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1626</v>
      </c>
      <c r="E139" s="1555">
        <v>100</v>
      </c>
      <c r="F139" s="1556">
        <v>102.5</v>
      </c>
      <c r="G139" s="1586" t="s">
        <v>1627</v>
      </c>
      <c r="H139" s="1557">
        <v>105</v>
      </c>
      <c r="I139" s="1587" t="s">
        <v>1628</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
      <c r="A140" s="1776"/>
      <c r="B140" s="1559">
        <v>5</v>
      </c>
      <c r="C140" s="1560">
        <v>100</v>
      </c>
      <c r="D140" s="1588"/>
      <c r="E140" s="1561"/>
      <c r="F140" s="1562">
        <v>102</v>
      </c>
      <c r="G140" s="1588"/>
      <c r="H140" s="1563"/>
      <c r="I140" s="1589" t="s">
        <v>1629</v>
      </c>
      <c r="J140" s="778">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
      <c r="A141" s="1776"/>
      <c r="B141" s="1559">
        <v>4</v>
      </c>
      <c r="C141" s="1560">
        <v>102</v>
      </c>
      <c r="D141" s="1588"/>
      <c r="E141" s="1561"/>
      <c r="F141" s="1562">
        <v>101.5</v>
      </c>
      <c r="G141" s="1588"/>
      <c r="H141" s="1563"/>
      <c r="I141" s="1589" t="s">
        <v>1630</v>
      </c>
      <c r="J141" s="778">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
      <c r="A142" s="1776"/>
      <c r="B142" s="1559">
        <v>3</v>
      </c>
      <c r="C142" s="1560">
        <v>103</v>
      </c>
      <c r="D142" s="1588"/>
      <c r="E142" s="1561"/>
      <c r="F142" s="1562">
        <v>101</v>
      </c>
      <c r="G142" s="1588"/>
      <c r="H142" s="1563"/>
      <c r="I142" s="1589" t="s">
        <v>1631</v>
      </c>
      <c r="J142" s="778">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
      <c r="A143" s="1776"/>
      <c r="B143" s="1559">
        <v>2</v>
      </c>
      <c r="C143" s="1560">
        <v>100</v>
      </c>
      <c r="D143" s="1588"/>
      <c r="E143" s="1561"/>
      <c r="F143" s="1562">
        <v>100.5</v>
      </c>
      <c r="G143" s="1588"/>
      <c r="H143" s="1563"/>
      <c r="I143" s="1589" t="s">
        <v>1632</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1633</v>
      </c>
      <c r="E144" s="1561">
        <v>102</v>
      </c>
      <c r="F144" s="1567">
        <v>100</v>
      </c>
      <c r="G144" s="1590" t="s">
        <v>1633</v>
      </c>
      <c r="H144" s="1563">
        <v>105</v>
      </c>
      <c r="I144" s="1589" t="s">
        <v>1632</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5.75" thickBot="1">
      <c r="A145" s="1776"/>
      <c r="B145" s="1591" t="s">
        <v>1634</v>
      </c>
      <c r="C145" s="1568">
        <f>ROUND(MAX(C139:C144)/MIN(C139:C144)-1,3)</f>
        <v>7.2999999999999995E-2</v>
      </c>
      <c r="D145" s="1592"/>
      <c r="E145" s="1592"/>
      <c r="F145" s="1593" t="s">
        <v>1635</v>
      </c>
      <c r="G145" s="1594"/>
      <c r="H145" s="1595"/>
      <c r="I145" s="1596" t="s">
        <v>1632</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615" t="s">
        <v>1643</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615" t="s">
        <v>1644</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90" zoomScaleNormal="60" zoomScaleSheetLayoutView="90" workbookViewId="0">
      <selection activeCell="B2" sqref="B2"/>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842" t="s">
        <v>851</v>
      </c>
      <c r="C1" s="453" t="s">
        <v>732</v>
      </c>
      <c r="D1" s="781" t="s">
        <v>4080</v>
      </c>
      <c r="E1" s="455"/>
      <c r="F1" s="2115" t="s">
        <v>4072</v>
      </c>
      <c r="G1" s="1325" t="s">
        <v>733</v>
      </c>
      <c r="H1" s="455"/>
      <c r="I1" s="455"/>
      <c r="J1" s="455"/>
      <c r="K1" s="456"/>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734</v>
      </c>
      <c r="B2" s="782">
        <f>IF(B37="元/平方米",ROUND(B3*D3/10000,0),ROUND(F3*C39/10000,0))</f>
        <v>2344</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735</v>
      </c>
      <c r="B3" s="459">
        <f>IF(B37="元/平方米",C39,ROUND(B2*10000/D3,0))</f>
        <v>2751</v>
      </c>
      <c r="C3" s="784" t="s">
        <v>736</v>
      </c>
      <c r="D3" s="783">
        <f>SUMIF('数据-汇总表'!$C19:$C33,D1,'数据-汇总表'!$E19:$E33)</f>
        <v>8520.4</v>
      </c>
      <c r="E3" s="1534" t="s">
        <v>1592</v>
      </c>
      <c r="F3" s="783">
        <f>SUMIF('数据-取费表'!A5:A15,D1,'数据-取费表'!AH5:AH15)</f>
        <v>179</v>
      </c>
      <c r="G3" s="1733"/>
      <c r="H3" s="1733"/>
      <c r="I3" s="1733"/>
      <c r="J3" s="1733"/>
      <c r="K3" s="1735"/>
      <c r="L3" s="1736"/>
      <c r="M3" s="1737"/>
      <c r="N3" s="1737"/>
      <c r="O3" s="1737"/>
      <c r="P3" s="1737"/>
      <c r="Q3" s="1737"/>
      <c r="R3" s="1737"/>
      <c r="S3" s="1737"/>
      <c r="T3" s="1737"/>
      <c r="U3" s="1737"/>
      <c r="V3" s="1737"/>
      <c r="W3" s="1737"/>
      <c r="X3" s="1737"/>
      <c r="Y3" s="1737"/>
      <c r="Z3" s="1737"/>
      <c r="AA3" s="1737"/>
      <c r="AB3" s="2714"/>
      <c r="AC3" s="1671"/>
    </row>
    <row r="4" spans="1:29" ht="15">
      <c r="A4" s="461" t="s">
        <v>737</v>
      </c>
      <c r="B4" s="462"/>
      <c r="C4" s="3648" t="s">
        <v>738</v>
      </c>
      <c r="D4" s="3649"/>
      <c r="E4" s="3648" t="s">
        <v>739</v>
      </c>
      <c r="F4" s="3649"/>
      <c r="G4" s="3648" t="s">
        <v>740</v>
      </c>
      <c r="H4" s="3649"/>
      <c r="I4" s="3648" t="s">
        <v>741</v>
      </c>
      <c r="J4" s="3649"/>
      <c r="K4" s="463" t="s">
        <v>742</v>
      </c>
      <c r="L4" s="1738"/>
      <c r="M4" s="1739"/>
      <c r="N4" s="1739"/>
      <c r="O4" s="1739"/>
      <c r="P4" s="3650" t="s">
        <v>743</v>
      </c>
      <c r="Q4" s="3651"/>
      <c r="R4" s="3656" t="s">
        <v>739</v>
      </c>
      <c r="S4" s="3657"/>
      <c r="T4" s="3656" t="s">
        <v>740</v>
      </c>
      <c r="U4" s="3657"/>
      <c r="V4" s="3643" t="s">
        <v>741</v>
      </c>
      <c r="W4" s="3643"/>
      <c r="X4" s="1299"/>
      <c r="Y4" s="3656" t="s">
        <v>743</v>
      </c>
      <c r="Z4" s="3657"/>
      <c r="AA4" s="3645" t="s">
        <v>739</v>
      </c>
      <c r="AB4" s="3646" t="s">
        <v>740</v>
      </c>
      <c r="AC4" s="3645" t="s">
        <v>741</v>
      </c>
    </row>
    <row r="5" spans="1:29" ht="15">
      <c r="A5" s="464"/>
      <c r="B5" s="465"/>
      <c r="C5" s="3664" t="s">
        <v>2185</v>
      </c>
      <c r="D5" s="3665"/>
      <c r="E5" s="3664" t="str">
        <f>旧案例!B6</f>
        <v>中海云筑</v>
      </c>
      <c r="F5" s="3665"/>
      <c r="G5" s="3664" t="str">
        <f>旧案例!B7</f>
        <v>和悦璞云</v>
      </c>
      <c r="H5" s="3665"/>
      <c r="I5" s="3699" t="s">
        <v>4281</v>
      </c>
      <c r="J5" s="3665"/>
      <c r="K5" s="463"/>
      <c r="L5" s="1738"/>
      <c r="M5" s="1739"/>
      <c r="N5" s="1739"/>
      <c r="O5" s="1739"/>
      <c r="P5" s="3652"/>
      <c r="Q5" s="3653"/>
      <c r="R5" s="3658"/>
      <c r="S5" s="3659"/>
      <c r="T5" s="3658"/>
      <c r="U5" s="3659"/>
      <c r="V5" s="3643"/>
      <c r="W5" s="3643"/>
      <c r="X5" s="1299"/>
      <c r="Y5" s="3658"/>
      <c r="Z5" s="3659"/>
      <c r="AA5" s="3646"/>
      <c r="AB5" s="3646"/>
      <c r="AC5" s="3646"/>
    </row>
    <row r="6" spans="1:29" ht="15.75" thickBot="1">
      <c r="A6" s="466"/>
      <c r="B6" s="467"/>
      <c r="C6" s="3662" t="s">
        <v>2189</v>
      </c>
      <c r="D6" s="3663"/>
      <c r="E6" s="3667" t="s">
        <v>2189</v>
      </c>
      <c r="F6" s="3668"/>
      <c r="G6" s="3662" t="s">
        <v>2189</v>
      </c>
      <c r="H6" s="3663"/>
      <c r="I6" s="3662" t="s">
        <v>2189</v>
      </c>
      <c r="J6" s="3663"/>
      <c r="K6" s="463" t="s">
        <v>477</v>
      </c>
      <c r="L6" s="1738"/>
      <c r="M6" s="1739"/>
      <c r="N6" s="1739"/>
      <c r="O6" s="1739"/>
      <c r="P6" s="3654"/>
      <c r="Q6" s="3655"/>
      <c r="R6" s="3658"/>
      <c r="S6" s="3659"/>
      <c r="T6" s="3660"/>
      <c r="U6" s="3661"/>
      <c r="V6" s="3643"/>
      <c r="W6" s="3643"/>
      <c r="X6" s="1299"/>
      <c r="Y6" s="3660"/>
      <c r="Z6" s="3661"/>
      <c r="AA6" s="3647"/>
      <c r="AB6" s="3647"/>
      <c r="AC6" s="3647"/>
    </row>
    <row r="7" spans="1:29" s="1057" customFormat="1" ht="15.75" thickBot="1">
      <c r="A7" s="2205"/>
      <c r="B7" s="2212" t="s">
        <v>478</v>
      </c>
      <c r="C7" s="468">
        <f>'数据-取费表'!B2</f>
        <v>45617</v>
      </c>
      <c r="D7" s="469">
        <v>100</v>
      </c>
      <c r="E7" s="470">
        <f>C7</f>
        <v>45617</v>
      </c>
      <c r="F7" s="471">
        <f>SUMIF(48:48,YEAR(E7)&amp;"-"&amp;MONTH(E7),49:49)</f>
        <v>100</v>
      </c>
      <c r="G7" s="472">
        <f>C7</f>
        <v>45617</v>
      </c>
      <c r="H7" s="469">
        <f>SUMIF(48:48,YEAR(G7)&amp;"-"&amp;MONTH(G7),49:49)</f>
        <v>100</v>
      </c>
      <c r="I7" s="472">
        <f>C7</f>
        <v>45617</v>
      </c>
      <c r="J7" s="469">
        <f>SUMIF(48:48,YEAR(I7)&amp;"-"&amp;MONTH(I7),49:49)</f>
        <v>100</v>
      </c>
      <c r="K7" s="88"/>
      <c r="L7" s="1740"/>
      <c r="M7" s="1637"/>
      <c r="N7" s="1637"/>
      <c r="O7" s="1637"/>
      <c r="P7" s="3673" t="s">
        <v>479</v>
      </c>
      <c r="Q7" s="3675"/>
      <c r="R7" s="1300" t="s">
        <v>5</v>
      </c>
      <c r="S7" s="1301">
        <f t="shared" ref="S7:S14" si="0">F7</f>
        <v>100</v>
      </c>
      <c r="T7" s="1300" t="s">
        <v>5</v>
      </c>
      <c r="U7" s="1301">
        <f t="shared" ref="U7:U14" si="1">H7</f>
        <v>100</v>
      </c>
      <c r="V7" s="1300" t="s">
        <v>5</v>
      </c>
      <c r="W7" s="1301">
        <f t="shared" ref="W7:W14" si="2">J7</f>
        <v>100</v>
      </c>
      <c r="X7" s="1302"/>
      <c r="Y7" s="3673" t="s">
        <v>479</v>
      </c>
      <c r="Z7" s="3674"/>
      <c r="AA7" s="994">
        <f>D7/F7</f>
        <v>1</v>
      </c>
      <c r="AB7" s="994">
        <f>D7/H7</f>
        <v>1</v>
      </c>
      <c r="AC7" s="994">
        <f>D7/J7</f>
        <v>1</v>
      </c>
    </row>
    <row r="8" spans="1:29" s="1057" customFormat="1" ht="15.75" thickBot="1">
      <c r="A8" s="2206"/>
      <c r="B8" s="2213" t="s">
        <v>480</v>
      </c>
      <c r="C8" s="473" t="s">
        <v>524</v>
      </c>
      <c r="D8" s="469">
        <v>100</v>
      </c>
      <c r="E8" s="473" t="s">
        <v>4089</v>
      </c>
      <c r="F8" s="471">
        <f>SUMIF(51:51,E8,52:52)-SUMIF(51:51,C8,52:52)+100</f>
        <v>100</v>
      </c>
      <c r="G8" s="473" t="s">
        <v>4089</v>
      </c>
      <c r="H8" s="469">
        <f>SUMIF(51:51,G8,52:52)-SUMIF(51:51,C8,52:52)+100</f>
        <v>100</v>
      </c>
      <c r="I8" s="473" t="s">
        <v>4089</v>
      </c>
      <c r="J8" s="469">
        <f>SUMIF(51:51,I8,52:52)-SUMIF(51:51,C8,52:52)+100</f>
        <v>100</v>
      </c>
      <c r="K8" s="88"/>
      <c r="L8" s="1740"/>
      <c r="M8" s="1637"/>
      <c r="N8" s="1637"/>
      <c r="O8" s="1637"/>
      <c r="P8" s="3673" t="s">
        <v>482</v>
      </c>
      <c r="Q8" s="3674"/>
      <c r="R8" s="1300" t="s">
        <v>5</v>
      </c>
      <c r="S8" s="1301">
        <f t="shared" si="0"/>
        <v>100</v>
      </c>
      <c r="T8" s="1300" t="s">
        <v>5</v>
      </c>
      <c r="U8" s="1301">
        <f t="shared" si="1"/>
        <v>100</v>
      </c>
      <c r="V8" s="1300" t="s">
        <v>5</v>
      </c>
      <c r="W8" s="1301">
        <f t="shared" si="2"/>
        <v>100</v>
      </c>
      <c r="X8" s="1302"/>
      <c r="Y8" s="3673" t="s">
        <v>482</v>
      </c>
      <c r="Z8" s="3674"/>
      <c r="AA8" s="994">
        <f t="shared" ref="AA8:AA36" si="3">D8/F8</f>
        <v>1</v>
      </c>
      <c r="AB8" s="994">
        <f t="shared" ref="AB8:AB36" si="4">D8/H8</f>
        <v>1</v>
      </c>
      <c r="AC8" s="994">
        <f t="shared" ref="AC8:AC36" si="5">D8/J8</f>
        <v>1</v>
      </c>
    </row>
    <row r="9" spans="1:29" s="1057" customFormat="1" ht="15">
      <c r="A9" s="2207"/>
      <c r="B9" s="2214" t="s">
        <v>2036</v>
      </c>
      <c r="C9" s="3401" t="s">
        <v>4090</v>
      </c>
      <c r="D9" s="154">
        <v>100</v>
      </c>
      <c r="E9" s="791" t="s">
        <v>3315</v>
      </c>
      <c r="F9" s="154">
        <f>SUMIF(53:53,E9,54:54)-SUMIF(53:53,C9,54:54)+100</f>
        <v>100</v>
      </c>
      <c r="G9" s="791" t="s">
        <v>3315</v>
      </c>
      <c r="H9" s="154">
        <f>SUMIF(53:53,G9,54:54)-SUMIF(53:53,C9,54:54)+100</f>
        <v>100</v>
      </c>
      <c r="I9" s="791" t="s">
        <v>3315</v>
      </c>
      <c r="J9" s="154">
        <f>SUMIF(53:53,I9,54:54)-SUMIF(53:53,C9,54:54)+100</f>
        <v>100</v>
      </c>
      <c r="K9" s="88"/>
      <c r="L9" s="1740"/>
      <c r="M9" s="1637"/>
      <c r="N9" s="1637"/>
      <c r="O9" s="1741"/>
      <c r="P9" s="3642" t="s">
        <v>484</v>
      </c>
      <c r="Q9" s="815" t="str">
        <f t="shared" ref="Q9:Q14" si="6">B9</f>
        <v>用途</v>
      </c>
      <c r="R9" s="1300" t="s">
        <v>5</v>
      </c>
      <c r="S9" s="1301">
        <f t="shared" si="0"/>
        <v>100</v>
      </c>
      <c r="T9" s="1300" t="s">
        <v>5</v>
      </c>
      <c r="U9" s="1301">
        <f t="shared" si="1"/>
        <v>100</v>
      </c>
      <c r="V9" s="1300" t="s">
        <v>5</v>
      </c>
      <c r="W9" s="1301">
        <f t="shared" si="2"/>
        <v>100</v>
      </c>
      <c r="X9" s="1302"/>
      <c r="Y9" s="3590" t="s">
        <v>485</v>
      </c>
      <c r="Z9" s="994" t="str">
        <f t="shared" ref="Z9:Z14" si="7">Q9</f>
        <v>用途</v>
      </c>
      <c r="AA9" s="994">
        <f t="shared" si="3"/>
        <v>1</v>
      </c>
      <c r="AB9" s="994">
        <f t="shared" si="4"/>
        <v>1</v>
      </c>
      <c r="AC9" s="994">
        <f t="shared" si="5"/>
        <v>1</v>
      </c>
    </row>
    <row r="10" spans="1:29" s="1130" customFormat="1" ht="27.75" thickBot="1">
      <c r="A10" s="2208"/>
      <c r="B10" s="2213" t="s">
        <v>2037</v>
      </c>
      <c r="C10" s="3380"/>
      <c r="D10" s="233">
        <v>100</v>
      </c>
      <c r="E10" s="3380"/>
      <c r="F10" s="233">
        <f>SUMIF(55:55,E10,56:56)-SUMIF(55:55,C10,56:56)+100</f>
        <v>100</v>
      </c>
      <c r="G10" s="3381"/>
      <c r="H10" s="233">
        <f>SUMIF(55:55,G10,56:56)-SUMIF(55:55,C10,56:56)+100</f>
        <v>100</v>
      </c>
      <c r="I10" s="3380"/>
      <c r="J10" s="233">
        <f>SUMIF(55:55,I10,56:56)-SUMIF(55:55,C10,56:56)+100</f>
        <v>100</v>
      </c>
      <c r="K10" s="88"/>
      <c r="L10" s="1742"/>
      <c r="M10" s="1775"/>
      <c r="N10" s="1775"/>
      <c r="O10" s="1743"/>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 hidden="1">
      <c r="A11" s="2210"/>
      <c r="B11" s="2216">
        <v>111</v>
      </c>
      <c r="C11" s="476"/>
      <c r="D11" s="233">
        <v>100</v>
      </c>
      <c r="E11" s="476"/>
      <c r="F11" s="233">
        <f>SUMIF(57:57,E11,58:58)-SUMIF(57:57,C11,58:58)+100</f>
        <v>100</v>
      </c>
      <c r="G11" s="476"/>
      <c r="H11" s="233">
        <f>SUMIF(57:57,G11,58:58)-SUMIF(57:57,C11,58:58)+100</f>
        <v>100</v>
      </c>
      <c r="I11" s="476"/>
      <c r="J11" s="233">
        <f>SUMIF(57:57,I11,58:58)-SUMIF(57:57,C11,58:58)+100</f>
        <v>100</v>
      </c>
      <c r="K11" s="529"/>
      <c r="L11" s="1744"/>
      <c r="M11" s="1739"/>
      <c r="N11" s="1739"/>
      <c r="O11" s="1745"/>
      <c r="P11" s="3642"/>
      <c r="Q11" s="815">
        <f t="shared" si="6"/>
        <v>111</v>
      </c>
      <c r="R11" s="1300" t="s">
        <v>5</v>
      </c>
      <c r="S11" s="1301">
        <f t="shared" si="0"/>
        <v>100</v>
      </c>
      <c r="T11" s="1300" t="s">
        <v>5</v>
      </c>
      <c r="U11" s="1301">
        <f t="shared" si="1"/>
        <v>100</v>
      </c>
      <c r="V11" s="1300" t="s">
        <v>5</v>
      </c>
      <c r="W11" s="1301">
        <f t="shared" si="2"/>
        <v>100</v>
      </c>
      <c r="X11" s="1302"/>
      <c r="Y11" s="3590"/>
      <c r="Z11" s="994">
        <f t="shared" si="7"/>
        <v>111</v>
      </c>
      <c r="AA11" s="994">
        <f t="shared" si="3"/>
        <v>1</v>
      </c>
      <c r="AB11" s="994">
        <f t="shared" si="4"/>
        <v>1</v>
      </c>
      <c r="AC11" s="994">
        <f t="shared" si="5"/>
        <v>1</v>
      </c>
    </row>
    <row r="12" spans="1:29" s="1057" customFormat="1" ht="15" hidden="1">
      <c r="A12" s="2210"/>
      <c r="B12" s="2216">
        <v>111</v>
      </c>
      <c r="C12" s="476"/>
      <c r="D12" s="486">
        <v>100</v>
      </c>
      <c r="E12" s="476"/>
      <c r="F12" s="233">
        <f>SUMIF(59:59,E12,60:60)-SUMIF(59:59,C12,60:60)+100</f>
        <v>100</v>
      </c>
      <c r="G12" s="476"/>
      <c r="H12" s="233">
        <f>SUMIF(59:59,G12,60:60)-SUMIF(59:59,C12,60:60)+100</f>
        <v>100</v>
      </c>
      <c r="I12" s="476"/>
      <c r="J12" s="233">
        <f>SUMIF(59:59,I12,60:60)-SUMIF(59:59,C12,60:60)+100</f>
        <v>100</v>
      </c>
      <c r="K12" s="529"/>
      <c r="L12" s="1740"/>
      <c r="M12" s="1637"/>
      <c r="N12" s="1637"/>
      <c r="O12" s="1741"/>
      <c r="P12" s="3642"/>
      <c r="Q12" s="815">
        <f t="shared" si="6"/>
        <v>111</v>
      </c>
      <c r="R12" s="1300" t="s">
        <v>5</v>
      </c>
      <c r="S12" s="1301">
        <f t="shared" si="0"/>
        <v>100</v>
      </c>
      <c r="T12" s="1300" t="s">
        <v>5</v>
      </c>
      <c r="U12" s="1301">
        <f t="shared" si="1"/>
        <v>100</v>
      </c>
      <c r="V12" s="1300" t="s">
        <v>5</v>
      </c>
      <c r="W12" s="1301">
        <f t="shared" si="2"/>
        <v>100</v>
      </c>
      <c r="X12" s="1302"/>
      <c r="Y12" s="3590"/>
      <c r="Z12" s="994">
        <f t="shared" si="7"/>
        <v>111</v>
      </c>
      <c r="AA12" s="994">
        <f>D12/F12</f>
        <v>1</v>
      </c>
      <c r="AB12" s="994">
        <f>D12/H12</f>
        <v>1</v>
      </c>
      <c r="AC12" s="994">
        <f>D12/J12</f>
        <v>1</v>
      </c>
    </row>
    <row r="13" spans="1:29" ht="15.75" hidden="1" thickBot="1">
      <c r="A13" s="2211"/>
      <c r="B13" s="2217">
        <v>111</v>
      </c>
      <c r="C13" s="487"/>
      <c r="D13" s="488">
        <v>100</v>
      </c>
      <c r="E13" s="476"/>
      <c r="F13" s="233">
        <f>SUMIF(61:61,E13,62:62)-SUMIF(61:61,C13,62:62)+100</f>
        <v>100</v>
      </c>
      <c r="G13" s="476"/>
      <c r="H13" s="488">
        <f>SUMIF(61:61,G13,62:62)-SUMIF(61:61,C13,62:62)+100</f>
        <v>100</v>
      </c>
      <c r="I13" s="476"/>
      <c r="J13" s="488">
        <f>SUMIF(61:61,I13,62:62)-SUMIF(61:61,C13,62:62)+100</f>
        <v>100</v>
      </c>
      <c r="K13" s="529"/>
      <c r="L13" s="1746"/>
      <c r="M13" s="1739"/>
      <c r="N13" s="1739"/>
      <c r="O13" s="1745"/>
      <c r="P13" s="3642"/>
      <c r="Q13" s="815">
        <f t="shared" si="6"/>
        <v>111</v>
      </c>
      <c r="R13" s="1300" t="s">
        <v>5</v>
      </c>
      <c r="S13" s="1301">
        <f t="shared" si="0"/>
        <v>100</v>
      </c>
      <c r="T13" s="1300" t="s">
        <v>5</v>
      </c>
      <c r="U13" s="1301">
        <f t="shared" si="1"/>
        <v>100</v>
      </c>
      <c r="V13" s="1300" t="s">
        <v>5</v>
      </c>
      <c r="W13" s="1301">
        <f t="shared" si="2"/>
        <v>100</v>
      </c>
      <c r="X13" s="1302"/>
      <c r="Y13" s="3590"/>
      <c r="Z13" s="994">
        <f t="shared" si="7"/>
        <v>111</v>
      </c>
      <c r="AA13" s="994">
        <f t="shared" si="3"/>
        <v>1</v>
      </c>
      <c r="AB13" s="994">
        <f t="shared" si="4"/>
        <v>1</v>
      </c>
      <c r="AC13" s="994">
        <f t="shared" si="5"/>
        <v>1</v>
      </c>
    </row>
    <row r="14" spans="1:29" ht="15">
      <c r="A14" s="2203" t="s">
        <v>2034</v>
      </c>
      <c r="B14" s="495" t="s">
        <v>492</v>
      </c>
      <c r="C14" s="840">
        <f>IF(B1="工业",估价对象房地状况!G4,估价对象房地状况!C6)</f>
        <v>0</v>
      </c>
      <c r="D14" s="497">
        <v>100</v>
      </c>
      <c r="E14" s="3402"/>
      <c r="F14" s="499">
        <f>SUMIF(63:63,E15,64:64)-SUMIF(63:63,C15,64:64)+100</f>
        <v>100</v>
      </c>
      <c r="G14" s="3402"/>
      <c r="H14" s="497">
        <f>SUMIF(63:63,G15,64:64)-SUMIF(63:63,C15,64:64)+100</f>
        <v>100</v>
      </c>
      <c r="I14" s="3402"/>
      <c r="J14" s="497">
        <f>SUMIF(63:63,I15,64:64)-SUMIF(63:63,C15,64:64)+100</f>
        <v>101</v>
      </c>
      <c r="K14" s="819">
        <v>1</v>
      </c>
      <c r="L14" s="1746"/>
      <c r="M14" s="1739"/>
      <c r="N14" s="1739"/>
      <c r="O14" s="1745"/>
      <c r="P14" s="3676" t="s">
        <v>489</v>
      </c>
      <c r="Q14" s="1303" t="str">
        <f t="shared" si="6"/>
        <v>交通便捷度</v>
      </c>
      <c r="R14" s="1304" t="s">
        <v>5</v>
      </c>
      <c r="S14" s="1305">
        <f t="shared" si="0"/>
        <v>100</v>
      </c>
      <c r="T14" s="1304" t="s">
        <v>5</v>
      </c>
      <c r="U14" s="1305">
        <f t="shared" si="1"/>
        <v>100</v>
      </c>
      <c r="V14" s="1304" t="s">
        <v>5</v>
      </c>
      <c r="W14" s="1305">
        <f t="shared" si="2"/>
        <v>101</v>
      </c>
      <c r="X14" s="1299"/>
      <c r="Y14" s="3676" t="s">
        <v>489</v>
      </c>
      <c r="Z14" s="1306" t="str">
        <f t="shared" si="7"/>
        <v>交通便捷度</v>
      </c>
      <c r="AA14" s="1306">
        <f t="shared" si="3"/>
        <v>1</v>
      </c>
      <c r="AB14" s="1306">
        <f t="shared" si="4"/>
        <v>1</v>
      </c>
      <c r="AC14" s="1306">
        <f t="shared" si="5"/>
        <v>0.99009900990099009</v>
      </c>
    </row>
    <row r="15" spans="1:29" ht="15">
      <c r="A15" s="464"/>
      <c r="B15" s="843"/>
      <c r="C15" s="3460" t="s">
        <v>3342</v>
      </c>
      <c r="D15" s="503"/>
      <c r="E15" s="524" t="s">
        <v>3342</v>
      </c>
      <c r="F15" s="505"/>
      <c r="G15" s="524" t="s">
        <v>3342</v>
      </c>
      <c r="H15" s="507"/>
      <c r="I15" s="3432" t="s">
        <v>3346</v>
      </c>
      <c r="J15" s="503"/>
      <c r="K15" s="820"/>
      <c r="L15" s="1746"/>
      <c r="M15" s="1739"/>
      <c r="N15" s="1739"/>
      <c r="O15" s="1745"/>
      <c r="P15" s="3677"/>
      <c r="Q15" s="1303"/>
      <c r="R15" s="1304"/>
      <c r="S15" s="1305"/>
      <c r="T15" s="1304"/>
      <c r="U15" s="1305"/>
      <c r="V15" s="1304"/>
      <c r="W15" s="1305"/>
      <c r="X15" s="1299"/>
      <c r="Y15" s="3677"/>
      <c r="Z15" s="1306"/>
      <c r="AA15" s="1306">
        <v>1</v>
      </c>
      <c r="AB15" s="1306">
        <v>1</v>
      </c>
      <c r="AC15" s="1306">
        <v>1</v>
      </c>
    </row>
    <row r="16" spans="1:29" ht="15">
      <c r="A16" s="464"/>
      <c r="B16" s="2059" t="s">
        <v>1827</v>
      </c>
      <c r="C16" s="799">
        <f>IF(B1="工业",估价对象房地状况!G5,估价对象房地状况!C7)</f>
        <v>0</v>
      </c>
      <c r="D16" s="513">
        <v>100</v>
      </c>
      <c r="E16" s="520"/>
      <c r="F16" s="519">
        <f>SUMIF(65:65,E17,66:66)-SUMIF(65:65,C17,66:66)+100</f>
        <v>100</v>
      </c>
      <c r="G16" s="520"/>
      <c r="H16" s="513">
        <f>SUMIF(65:65,G17,66:66)-SUMIF(65:65,C17,66:66)+100</f>
        <v>100</v>
      </c>
      <c r="I16" s="520"/>
      <c r="J16" s="513">
        <f>SUMIF(65:65,I17,66:66)-SUMIF(65:65,C17,66:66)+100</f>
        <v>101</v>
      </c>
      <c r="K16" s="819">
        <v>1</v>
      </c>
      <c r="L16" s="1746"/>
      <c r="M16" s="1739"/>
      <c r="N16" s="1739"/>
      <c r="O16" s="1745"/>
      <c r="P16" s="3677"/>
      <c r="Q16" s="1303" t="str">
        <f>B16</f>
        <v>公共配套设施</v>
      </c>
      <c r="R16" s="1304" t="s">
        <v>5</v>
      </c>
      <c r="S16" s="1305">
        <f>F16</f>
        <v>100</v>
      </c>
      <c r="T16" s="1304" t="s">
        <v>5</v>
      </c>
      <c r="U16" s="1305">
        <f>H16</f>
        <v>100</v>
      </c>
      <c r="V16" s="1304" t="s">
        <v>5</v>
      </c>
      <c r="W16" s="1305">
        <f>J16</f>
        <v>101</v>
      </c>
      <c r="X16" s="1299"/>
      <c r="Y16" s="3677"/>
      <c r="Z16" s="1306" t="str">
        <f>Q16</f>
        <v>公共配套设施</v>
      </c>
      <c r="AA16" s="1306">
        <f t="shared" si="3"/>
        <v>1</v>
      </c>
      <c r="AB16" s="1306">
        <f t="shared" si="4"/>
        <v>1</v>
      </c>
      <c r="AC16" s="1306">
        <f t="shared" si="5"/>
        <v>0.99009900990099009</v>
      </c>
    </row>
    <row r="17" spans="1:29" ht="15">
      <c r="A17" s="464"/>
      <c r="B17" s="514"/>
      <c r="C17" s="3461" t="s">
        <v>3342</v>
      </c>
      <c r="D17" s="503"/>
      <c r="E17" s="524" t="s">
        <v>3342</v>
      </c>
      <c r="F17" s="505"/>
      <c r="G17" s="524" t="s">
        <v>3342</v>
      </c>
      <c r="H17" s="503"/>
      <c r="I17" s="3432" t="s">
        <v>3346</v>
      </c>
      <c r="J17" s="503"/>
      <c r="K17" s="820"/>
      <c r="L17" s="1746"/>
      <c r="M17" s="1739"/>
      <c r="N17" s="1739"/>
      <c r="O17" s="1745"/>
      <c r="P17" s="3677"/>
      <c r="Q17" s="1303"/>
      <c r="R17" s="1304"/>
      <c r="S17" s="1305"/>
      <c r="T17" s="1304"/>
      <c r="U17" s="1305"/>
      <c r="V17" s="1304"/>
      <c r="W17" s="1305"/>
      <c r="X17" s="1299"/>
      <c r="Y17" s="3677"/>
      <c r="Z17" s="1306"/>
      <c r="AA17" s="1306">
        <v>1</v>
      </c>
      <c r="AB17" s="1306">
        <v>1</v>
      </c>
      <c r="AC17" s="1306">
        <v>1</v>
      </c>
    </row>
    <row r="18" spans="1:29" ht="15">
      <c r="A18" s="464"/>
      <c r="B18" s="2047" t="s">
        <v>1839</v>
      </c>
      <c r="C18" s="799" t="str">
        <f>IF(B1="工业",估价对象房地状况!G6,估价对象房地状况!C8)</f>
        <v>七通</v>
      </c>
      <c r="D18" s="507">
        <v>100</v>
      </c>
      <c r="E18" s="520"/>
      <c r="F18" s="519">
        <f>SUMIF(67:67,E19,68:68)-SUMIF(67:67,C19,68:68)+100</f>
        <v>100</v>
      </c>
      <c r="G18" s="520"/>
      <c r="H18" s="513">
        <f>SUMIF(67:67,G19,68:68)-SUMIF(67:67,C19,68:68)+100</f>
        <v>100</v>
      </c>
      <c r="I18" s="520"/>
      <c r="J18" s="513">
        <f>SUMIF(67:67,I19,68:68)-SUMIF(67:67,C19,68:68)+100</f>
        <v>100</v>
      </c>
      <c r="K18" s="819">
        <v>1</v>
      </c>
      <c r="L18" s="1746"/>
      <c r="M18" s="1739"/>
      <c r="N18" s="1739"/>
      <c r="O18" s="1745"/>
      <c r="P18" s="3677"/>
      <c r="Q18" s="1303" t="str">
        <f>B18</f>
        <v>基础设施水平</v>
      </c>
      <c r="R18" s="1304" t="s">
        <v>5</v>
      </c>
      <c r="S18" s="1305">
        <f>F18</f>
        <v>100</v>
      </c>
      <c r="T18" s="1304" t="s">
        <v>5</v>
      </c>
      <c r="U18" s="1305">
        <f>H18</f>
        <v>100</v>
      </c>
      <c r="V18" s="1304" t="s">
        <v>5</v>
      </c>
      <c r="W18" s="1305">
        <f>J18</f>
        <v>100</v>
      </c>
      <c r="X18" s="1299"/>
      <c r="Y18" s="3677"/>
      <c r="Z18" s="1306" t="str">
        <f>Q18</f>
        <v>基础设施水平</v>
      </c>
      <c r="AA18" s="1306">
        <f>D18/F18</f>
        <v>1</v>
      </c>
      <c r="AB18" s="1306">
        <f>D18/H18</f>
        <v>1</v>
      </c>
      <c r="AC18" s="1306">
        <f>D18/J18</f>
        <v>1</v>
      </c>
    </row>
    <row r="19" spans="1:29" ht="15">
      <c r="A19" s="464"/>
      <c r="B19" s="526"/>
      <c r="C19" s="800" t="s">
        <v>3344</v>
      </c>
      <c r="D19" s="507"/>
      <c r="E19" s="524" t="s">
        <v>3344</v>
      </c>
      <c r="F19" s="505"/>
      <c r="G19" s="524" t="s">
        <v>3344</v>
      </c>
      <c r="H19" s="503"/>
      <c r="I19" s="524" t="s">
        <v>3344</v>
      </c>
      <c r="J19" s="503"/>
      <c r="K19" s="2058"/>
      <c r="L19" s="1746"/>
      <c r="M19" s="1739"/>
      <c r="N19" s="1739"/>
      <c r="O19" s="1745"/>
      <c r="P19" s="3677"/>
      <c r="Q19" s="1303"/>
      <c r="R19" s="1304"/>
      <c r="S19" s="1305"/>
      <c r="T19" s="1304"/>
      <c r="U19" s="1305"/>
      <c r="V19" s="1304"/>
      <c r="W19" s="1305"/>
      <c r="X19" s="1299"/>
      <c r="Y19" s="3677"/>
      <c r="Z19" s="1306"/>
      <c r="AA19" s="1306">
        <v>1</v>
      </c>
      <c r="AB19" s="1306">
        <v>1</v>
      </c>
      <c r="AC19" s="1306">
        <v>1</v>
      </c>
    </row>
    <row r="20" spans="1:29" ht="15">
      <c r="A20" s="464"/>
      <c r="B20" s="508" t="s">
        <v>744</v>
      </c>
      <c r="C20" s="799">
        <f>IF(B1="工业",估价对象房地状况!G7,估价对象房地状况!C9)</f>
        <v>0</v>
      </c>
      <c r="D20" s="513">
        <v>100</v>
      </c>
      <c r="E20" s="520"/>
      <c r="F20" s="511">
        <f>SUMIF(69:69,E21,70:70)-SUMIF(69:69,C21,70:70)+100</f>
        <v>101</v>
      </c>
      <c r="G20" s="520"/>
      <c r="H20" s="507">
        <f>SUMIF(69:69,G21,70:70)-SUMIF(69:69,C21,70:70)+100</f>
        <v>101</v>
      </c>
      <c r="I20" s="520"/>
      <c r="J20" s="507">
        <f>SUMIF(69:69,I21,70:70)-SUMIF(69:69,C21,70:70)+100</f>
        <v>101</v>
      </c>
      <c r="K20" s="819">
        <v>1</v>
      </c>
      <c r="L20" s="1746"/>
      <c r="M20" s="1739"/>
      <c r="N20" s="1739"/>
      <c r="O20" s="1745"/>
      <c r="P20" s="3677"/>
      <c r="Q20" s="1303" t="str">
        <f>B20</f>
        <v>自然及人文环境</v>
      </c>
      <c r="R20" s="1304" t="s">
        <v>5</v>
      </c>
      <c r="S20" s="1305">
        <f>F20</f>
        <v>101</v>
      </c>
      <c r="T20" s="1304" t="s">
        <v>5</v>
      </c>
      <c r="U20" s="1305">
        <f>H20</f>
        <v>101</v>
      </c>
      <c r="V20" s="1304" t="s">
        <v>5</v>
      </c>
      <c r="W20" s="1305">
        <f>J20</f>
        <v>101</v>
      </c>
      <c r="X20" s="1299"/>
      <c r="Y20" s="3677"/>
      <c r="Z20" s="1306" t="str">
        <f>Q20</f>
        <v>自然及人文环境</v>
      </c>
      <c r="AA20" s="1306">
        <f t="shared" si="3"/>
        <v>0.99009900990099009</v>
      </c>
      <c r="AB20" s="1306">
        <f t="shared" si="4"/>
        <v>0.99009900990099009</v>
      </c>
      <c r="AC20" s="1306">
        <f t="shared" si="5"/>
        <v>0.99009900990099009</v>
      </c>
    </row>
    <row r="21" spans="1:29" ht="15.75" thickBot="1">
      <c r="A21" s="464"/>
      <c r="B21" s="514"/>
      <c r="C21" s="524" t="s">
        <v>3343</v>
      </c>
      <c r="D21" s="503"/>
      <c r="E21" s="524" t="s">
        <v>3342</v>
      </c>
      <c r="F21" s="505"/>
      <c r="G21" s="524" t="s">
        <v>3342</v>
      </c>
      <c r="H21" s="503"/>
      <c r="I21" s="524" t="s">
        <v>3342</v>
      </c>
      <c r="J21" s="503"/>
      <c r="K21" s="820"/>
      <c r="L21" s="1746"/>
      <c r="M21" s="1739"/>
      <c r="N21" s="1739"/>
      <c r="O21" s="1745"/>
      <c r="P21" s="3677"/>
      <c r="Q21" s="1303"/>
      <c r="R21" s="1304"/>
      <c r="S21" s="1305"/>
      <c r="T21" s="1304"/>
      <c r="U21" s="1305"/>
      <c r="V21" s="1304"/>
      <c r="W21" s="1305"/>
      <c r="X21" s="1299"/>
      <c r="Y21" s="3677"/>
      <c r="Z21" s="1306"/>
      <c r="AA21" s="1306">
        <v>1</v>
      </c>
      <c r="AB21" s="1306">
        <v>1</v>
      </c>
      <c r="AC21" s="1306">
        <v>1</v>
      </c>
    </row>
    <row r="22" spans="1:29" ht="15" hidden="1">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6"/>
      <c r="M22" s="1739"/>
      <c r="N22" s="1739"/>
      <c r="O22" s="1745"/>
      <c r="P22" s="3677"/>
      <c r="Q22" s="1303" t="str">
        <f>B22</f>
        <v>楼层</v>
      </c>
      <c r="R22" s="1304" t="s">
        <v>5</v>
      </c>
      <c r="S22" s="1305">
        <f>F22</f>
        <v>100</v>
      </c>
      <c r="T22" s="1304" t="s">
        <v>5</v>
      </c>
      <c r="U22" s="1305">
        <f>H22</f>
        <v>100</v>
      </c>
      <c r="V22" s="1304" t="s">
        <v>5</v>
      </c>
      <c r="W22" s="1305">
        <f>J22</f>
        <v>100</v>
      </c>
      <c r="X22" s="1299"/>
      <c r="Y22" s="3677"/>
      <c r="Z22" s="1306" t="str">
        <f>Q22</f>
        <v>楼层</v>
      </c>
      <c r="AA22" s="1306">
        <f t="shared" si="3"/>
        <v>1</v>
      </c>
      <c r="AB22" s="1306">
        <f t="shared" si="4"/>
        <v>1</v>
      </c>
      <c r="AC22" s="1306">
        <f t="shared" si="5"/>
        <v>1</v>
      </c>
    </row>
    <row r="23" spans="1:29" ht="15" hidden="1">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6"/>
      <c r="M23" s="1739"/>
      <c r="N23" s="1739"/>
      <c r="O23" s="1745"/>
      <c r="P23" s="3677"/>
      <c r="Q23" s="1303">
        <f>B23</f>
        <v>111</v>
      </c>
      <c r="R23" s="1304" t="s">
        <v>5</v>
      </c>
      <c r="S23" s="1305">
        <f>F23</f>
        <v>100</v>
      </c>
      <c r="T23" s="1304" t="s">
        <v>5</v>
      </c>
      <c r="U23" s="1305">
        <f>H23</f>
        <v>100</v>
      </c>
      <c r="V23" s="1304" t="s">
        <v>5</v>
      </c>
      <c r="W23" s="1305">
        <f>J23</f>
        <v>100</v>
      </c>
      <c r="X23" s="1299"/>
      <c r="Y23" s="3677"/>
      <c r="Z23" s="1306">
        <f>Q23</f>
        <v>111</v>
      </c>
      <c r="AA23" s="1306">
        <f t="shared" si="3"/>
        <v>1</v>
      </c>
      <c r="AB23" s="1306">
        <f t="shared" si="4"/>
        <v>1</v>
      </c>
      <c r="AC23" s="1306">
        <f t="shared" si="5"/>
        <v>1</v>
      </c>
    </row>
    <row r="24" spans="1:29" ht="15" hidden="1">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6"/>
      <c r="M24" s="1739"/>
      <c r="N24" s="1739"/>
      <c r="O24" s="1745"/>
      <c r="P24" s="3677"/>
      <c r="Q24" s="1303">
        <f t="shared" ref="Q24:Q36" si="8">B24</f>
        <v>111</v>
      </c>
      <c r="R24" s="1304" t="s">
        <v>5</v>
      </c>
      <c r="S24" s="1305">
        <f>F24</f>
        <v>100</v>
      </c>
      <c r="T24" s="1304" t="s">
        <v>5</v>
      </c>
      <c r="U24" s="1305">
        <f>H24</f>
        <v>100</v>
      </c>
      <c r="V24" s="1304" t="s">
        <v>5</v>
      </c>
      <c r="W24" s="1305">
        <f>J24</f>
        <v>100</v>
      </c>
      <c r="X24" s="1299"/>
      <c r="Y24" s="3677"/>
      <c r="Z24" s="1306">
        <f>Q24</f>
        <v>111</v>
      </c>
      <c r="AA24" s="1306">
        <f t="shared" si="3"/>
        <v>1</v>
      </c>
      <c r="AB24" s="1306">
        <f t="shared" si="4"/>
        <v>1</v>
      </c>
      <c r="AC24" s="1306">
        <f t="shared" si="5"/>
        <v>1</v>
      </c>
    </row>
    <row r="25" spans="1:29" s="1057" customFormat="1" ht="15.75" hidden="1" thickBot="1">
      <c r="A25" s="525"/>
      <c r="B25" s="834">
        <v>111</v>
      </c>
      <c r="C25" s="493"/>
      <c r="D25" s="844">
        <v>100</v>
      </c>
      <c r="E25" s="831"/>
      <c r="F25" s="845">
        <f>SUMIF(77:77,E25,78:78)-SUMIF(77:77,C25,78:78)+100</f>
        <v>100</v>
      </c>
      <c r="G25" s="831"/>
      <c r="H25" s="844">
        <f>SUMIF(77:77,G25,78:78)-SUMIF(77:77,C25,78:78)+100</f>
        <v>100</v>
      </c>
      <c r="I25" s="831"/>
      <c r="J25" s="844">
        <f>SUMIF(77:77,I25,78:78)-SUMIF(77:77,C25,78:78)+100</f>
        <v>100</v>
      </c>
      <c r="K25" s="529"/>
      <c r="L25" s="1740"/>
      <c r="M25" s="1637"/>
      <c r="N25" s="1637"/>
      <c r="O25" s="1741"/>
      <c r="P25" s="3677"/>
      <c r="Q25" s="815">
        <f t="shared" si="8"/>
        <v>111</v>
      </c>
      <c r="R25" s="1300" t="s">
        <v>5</v>
      </c>
      <c r="S25" s="1301">
        <f>F25</f>
        <v>100</v>
      </c>
      <c r="T25" s="1300" t="s">
        <v>5</v>
      </c>
      <c r="U25" s="1301">
        <f>H25</f>
        <v>100</v>
      </c>
      <c r="V25" s="1300" t="s">
        <v>5</v>
      </c>
      <c r="W25" s="1301">
        <f>J25</f>
        <v>100</v>
      </c>
      <c r="X25" s="1302"/>
      <c r="Y25" s="3677"/>
      <c r="Z25" s="994">
        <f>Q25</f>
        <v>111</v>
      </c>
      <c r="AA25" s="1306">
        <f>D25/F25</f>
        <v>1</v>
      </c>
      <c r="AB25" s="1306">
        <f>D25/H25</f>
        <v>1</v>
      </c>
      <c r="AC25" s="1306">
        <f>D25/J25</f>
        <v>1</v>
      </c>
    </row>
    <row r="26" spans="1:29" ht="15">
      <c r="A26" s="2201" t="s">
        <v>2035</v>
      </c>
      <c r="B26" s="154" t="s">
        <v>746</v>
      </c>
      <c r="C26" s="846" t="str">
        <f>B1</f>
        <v>住宅</v>
      </c>
      <c r="D26" s="503">
        <v>100</v>
      </c>
      <c r="E26" s="524" t="s">
        <v>851</v>
      </c>
      <c r="F26" s="505">
        <f>SUMIF(79:79,E26,80:80)-SUMIF(79:79,C26,80:80)+100</f>
        <v>100</v>
      </c>
      <c r="G26" s="524" t="s">
        <v>851</v>
      </c>
      <c r="H26" s="503">
        <f>SUMIF(79:79,G26,80:80)-SUMIF(79:79,C26,80:80)+100</f>
        <v>100</v>
      </c>
      <c r="I26" s="524" t="s">
        <v>851</v>
      </c>
      <c r="J26" s="503">
        <f>SUMIF(79:79,I26,80:80)-SUMIF(79:79,C26,80:80)+100</f>
        <v>100</v>
      </c>
      <c r="K26" s="531">
        <v>5</v>
      </c>
      <c r="L26" s="1746"/>
      <c r="M26" s="1739"/>
      <c r="N26" s="1739"/>
      <c r="O26" s="1745"/>
      <c r="P26" s="3678" t="s">
        <v>499</v>
      </c>
      <c r="Q26" s="1303" t="str">
        <f t="shared" si="8"/>
        <v>配套类型</v>
      </c>
      <c r="R26" s="1304" t="s">
        <v>5</v>
      </c>
      <c r="S26" s="1305">
        <f t="shared" ref="S26:S36" si="9">F26</f>
        <v>100</v>
      </c>
      <c r="T26" s="1304" t="s">
        <v>5</v>
      </c>
      <c r="U26" s="1305">
        <f t="shared" ref="U26:U36" si="10">H26</f>
        <v>100</v>
      </c>
      <c r="V26" s="1304" t="s">
        <v>5</v>
      </c>
      <c r="W26" s="1305">
        <f t="shared" ref="W26:W36" si="11">J26</f>
        <v>100</v>
      </c>
      <c r="X26" s="1299"/>
      <c r="Y26" s="3679" t="s">
        <v>499</v>
      </c>
      <c r="Z26" s="1306" t="str">
        <f t="shared" ref="Z26:Z36" si="12">Q26</f>
        <v>配套类型</v>
      </c>
      <c r="AA26" s="1306">
        <f t="shared" si="3"/>
        <v>1</v>
      </c>
      <c r="AB26" s="1306">
        <f t="shared" si="4"/>
        <v>1</v>
      </c>
      <c r="AC26" s="1306">
        <f t="shared" si="5"/>
        <v>1</v>
      </c>
    </row>
    <row r="27" spans="1:29" s="1131" customFormat="1" ht="15" hidden="1">
      <c r="A27" s="847"/>
      <c r="B27" s="233" t="s">
        <v>747</v>
      </c>
      <c r="C27" s="848"/>
      <c r="D27" s="233">
        <v>100</v>
      </c>
      <c r="E27" s="848"/>
      <c r="F27" s="523">
        <f>SUMIF(81:81,E27,82:82)-SUMIF(81:81,C27,82:82)+100</f>
        <v>100</v>
      </c>
      <c r="G27" s="848"/>
      <c r="H27" s="488">
        <f>SUMIF(81:81,G27,82:82)-SUMIF(81:81,C27,82:82)+100</f>
        <v>100</v>
      </c>
      <c r="I27" s="848"/>
      <c r="J27" s="488">
        <f>SUMIF(81:81,I27,82:82)-SUMIF(81:81,C27,82:82)+100</f>
        <v>100</v>
      </c>
      <c r="K27" s="529"/>
      <c r="L27" s="1744"/>
      <c r="M27" s="1768"/>
      <c r="N27" s="1768"/>
      <c r="O27" s="1747"/>
      <c r="P27" s="3679"/>
      <c r="Q27" s="816" t="str">
        <f t="shared" si="8"/>
        <v>项目停车位配比</v>
      </c>
      <c r="R27" s="1307" t="s">
        <v>5</v>
      </c>
      <c r="S27" s="1308">
        <f t="shared" si="9"/>
        <v>100</v>
      </c>
      <c r="T27" s="1307" t="s">
        <v>5</v>
      </c>
      <c r="U27" s="1308">
        <f t="shared" si="10"/>
        <v>100</v>
      </c>
      <c r="V27" s="1307" t="s">
        <v>5</v>
      </c>
      <c r="W27" s="1308">
        <f t="shared" si="11"/>
        <v>100</v>
      </c>
      <c r="X27" s="1309"/>
      <c r="Y27" s="3679"/>
      <c r="Z27" s="1310" t="str">
        <f t="shared" si="12"/>
        <v>项目停车位配比</v>
      </c>
      <c r="AA27" s="1306">
        <f t="shared" si="3"/>
        <v>1</v>
      </c>
      <c r="AB27" s="1306">
        <f t="shared" si="4"/>
        <v>1</v>
      </c>
      <c r="AC27" s="1306">
        <f t="shared" si="5"/>
        <v>1</v>
      </c>
    </row>
    <row r="28" spans="1:29" ht="15">
      <c r="A28" s="849"/>
      <c r="B28" s="233" t="s">
        <v>748</v>
      </c>
      <c r="C28" s="522" t="s">
        <v>4064</v>
      </c>
      <c r="D28" s="488">
        <v>100</v>
      </c>
      <c r="E28" s="522" t="s">
        <v>4064</v>
      </c>
      <c r="F28" s="523">
        <f>SUMIF(83:83,E28,84:84)-SUMIF(83:83,C28,84:84)+100</f>
        <v>100</v>
      </c>
      <c r="G28" s="522" t="s">
        <v>4064</v>
      </c>
      <c r="H28" s="488">
        <f>SUMIF(83:83,G28,84:84)-SUMIF(83:83,C28,84:84)+100</f>
        <v>100</v>
      </c>
      <c r="I28" s="522" t="s">
        <v>4064</v>
      </c>
      <c r="J28" s="488">
        <f>SUMIF(83:83,I28,84:84)-SUMIF(83:83,C28,84:84)+100</f>
        <v>100</v>
      </c>
      <c r="K28" s="531">
        <v>1</v>
      </c>
      <c r="L28" s="1746"/>
      <c r="M28" s="1739"/>
      <c r="N28" s="1739"/>
      <c r="O28" s="1745"/>
      <c r="P28" s="3679"/>
      <c r="Q28" s="1303" t="str">
        <f t="shared" si="8"/>
        <v>公共部分装修</v>
      </c>
      <c r="R28" s="1304" t="s">
        <v>5</v>
      </c>
      <c r="S28" s="1305">
        <f t="shared" si="9"/>
        <v>100</v>
      </c>
      <c r="T28" s="1304" t="s">
        <v>5</v>
      </c>
      <c r="U28" s="1305">
        <f t="shared" si="10"/>
        <v>100</v>
      </c>
      <c r="V28" s="1304" t="s">
        <v>5</v>
      </c>
      <c r="W28" s="1305">
        <f t="shared" si="11"/>
        <v>100</v>
      </c>
      <c r="X28" s="1299"/>
      <c r="Y28" s="3679"/>
      <c r="Z28" s="1306" t="str">
        <f t="shared" si="12"/>
        <v>公共部分装修</v>
      </c>
      <c r="AA28" s="1306">
        <f t="shared" si="3"/>
        <v>1</v>
      </c>
      <c r="AB28" s="1306">
        <f t="shared" si="4"/>
        <v>1</v>
      </c>
      <c r="AC28" s="1306">
        <f t="shared" si="5"/>
        <v>1</v>
      </c>
    </row>
    <row r="29" spans="1:29" ht="15">
      <c r="A29" s="849"/>
      <c r="B29" s="233" t="s">
        <v>749</v>
      </c>
      <c r="C29" s="805">
        <v>1</v>
      </c>
      <c r="D29" s="488">
        <v>100</v>
      </c>
      <c r="E29" s="805">
        <v>1</v>
      </c>
      <c r="F29" s="523">
        <f>LOOKUP(E29,86:86,87:87)-LOOKUP(C29,86:86,87:87)+100</f>
        <v>100</v>
      </c>
      <c r="G29" s="805">
        <v>1</v>
      </c>
      <c r="H29" s="523">
        <f>LOOKUP(G29,86:86,87:87)-LOOKUP(C29,86:86,87:87)+100</f>
        <v>100</v>
      </c>
      <c r="I29" s="805">
        <v>1</v>
      </c>
      <c r="J29" s="488">
        <f>LOOKUP(I29,86:86,87:87)-LOOKUP(C29,86:86,87:87)+100</f>
        <v>100</v>
      </c>
      <c r="K29" s="531">
        <v>1</v>
      </c>
      <c r="L29" s="1746"/>
      <c r="M29" s="1739"/>
      <c r="N29" s="1739"/>
      <c r="O29" s="1745"/>
      <c r="P29" s="3679"/>
      <c r="Q29" s="1303" t="str">
        <f t="shared" si="8"/>
        <v>成新率</v>
      </c>
      <c r="R29" s="1304" t="s">
        <v>5</v>
      </c>
      <c r="S29" s="1305">
        <f t="shared" si="9"/>
        <v>100</v>
      </c>
      <c r="T29" s="1304" t="s">
        <v>5</v>
      </c>
      <c r="U29" s="1305">
        <f t="shared" si="10"/>
        <v>100</v>
      </c>
      <c r="V29" s="1304" t="s">
        <v>5</v>
      </c>
      <c r="W29" s="1305">
        <f t="shared" si="11"/>
        <v>100</v>
      </c>
      <c r="X29" s="1299"/>
      <c r="Y29" s="3679"/>
      <c r="Z29" s="1306" t="str">
        <f t="shared" si="12"/>
        <v>成新率</v>
      </c>
      <c r="AA29" s="1306">
        <f t="shared" si="3"/>
        <v>1</v>
      </c>
      <c r="AB29" s="1306">
        <f t="shared" si="4"/>
        <v>1</v>
      </c>
      <c r="AC29" s="1306">
        <f t="shared" si="5"/>
        <v>1</v>
      </c>
    </row>
    <row r="30" spans="1:29" ht="15">
      <c r="A30" s="849"/>
      <c r="B30" s="233" t="s">
        <v>750</v>
      </c>
      <c r="C30" s="850" t="s">
        <v>4066</v>
      </c>
      <c r="D30" s="488">
        <v>100</v>
      </c>
      <c r="E30" s="850" t="s">
        <v>4066</v>
      </c>
      <c r="F30" s="523">
        <f>SUMIF(88:88,E30,89:89)-SUMIF(88:88,C30,89:89)+100</f>
        <v>100</v>
      </c>
      <c r="G30" s="850" t="s">
        <v>4066</v>
      </c>
      <c r="H30" s="488">
        <f>SUMIF(88:88,E30,89:89)-SUMIF(88:88,C30,89:89)+100</f>
        <v>100</v>
      </c>
      <c r="I30" s="850" t="s">
        <v>4066</v>
      </c>
      <c r="J30" s="488">
        <f>SUMIF(88:88,E30,89:89)-SUMIF(88:88,C30,89:89)+100</f>
        <v>100</v>
      </c>
      <c r="K30" s="531">
        <v>1</v>
      </c>
      <c r="L30" s="1746"/>
      <c r="M30" s="1739"/>
      <c r="N30" s="1739"/>
      <c r="O30" s="1745"/>
      <c r="P30" s="3679"/>
      <c r="Q30" s="1303" t="str">
        <f t="shared" si="8"/>
        <v>物业等级</v>
      </c>
      <c r="R30" s="1304" t="s">
        <v>5</v>
      </c>
      <c r="S30" s="1305">
        <f t="shared" si="9"/>
        <v>100</v>
      </c>
      <c r="T30" s="1304" t="s">
        <v>5</v>
      </c>
      <c r="U30" s="1305">
        <f t="shared" si="10"/>
        <v>100</v>
      </c>
      <c r="V30" s="1304" t="s">
        <v>5</v>
      </c>
      <c r="W30" s="1305">
        <f t="shared" si="11"/>
        <v>100</v>
      </c>
      <c r="X30" s="1299"/>
      <c r="Y30" s="3679"/>
      <c r="Z30" s="1306" t="str">
        <f t="shared" si="12"/>
        <v>物业等级</v>
      </c>
      <c r="AA30" s="1306">
        <f t="shared" si="3"/>
        <v>1</v>
      </c>
      <c r="AB30" s="1306">
        <f t="shared" si="4"/>
        <v>1</v>
      </c>
      <c r="AC30" s="1306">
        <f t="shared" si="5"/>
        <v>1</v>
      </c>
    </row>
    <row r="31" spans="1:29" s="1057" customFormat="1" ht="15" hidden="1">
      <c r="A31" s="851"/>
      <c r="B31" s="233" t="s">
        <v>751</v>
      </c>
      <c r="C31" s="803"/>
      <c r="D31" s="233">
        <v>100</v>
      </c>
      <c r="E31" s="803"/>
      <c r="F31" s="523">
        <f>LOOKUP(E31,91:91,92:92)-LOOKUP(C31,91:91,92:92)+100</f>
        <v>100</v>
      </c>
      <c r="G31" s="803"/>
      <c r="H31" s="488">
        <f>LOOKUP(G31,91:91,92:92)-LOOKUP(C31,91:91,92:92)+100</f>
        <v>100</v>
      </c>
      <c r="I31" s="803"/>
      <c r="J31" s="488">
        <f>LOOKUP(I31,91:91,92:92)-LOOKUP(C31,91:91,92:92)+100</f>
        <v>100</v>
      </c>
      <c r="K31" s="531"/>
      <c r="L31" s="1740"/>
      <c r="M31" s="1637"/>
      <c r="N31" s="1637"/>
      <c r="O31" s="1741"/>
      <c r="P31" s="3679"/>
      <c r="Q31" s="815" t="str">
        <f t="shared" si="8"/>
        <v>停车位面积</v>
      </c>
      <c r="R31" s="1300" t="s">
        <v>5</v>
      </c>
      <c r="S31" s="1301">
        <f t="shared" si="9"/>
        <v>100</v>
      </c>
      <c r="T31" s="1300" t="s">
        <v>5</v>
      </c>
      <c r="U31" s="1301">
        <f t="shared" si="10"/>
        <v>100</v>
      </c>
      <c r="V31" s="1300" t="s">
        <v>5</v>
      </c>
      <c r="W31" s="1301">
        <f t="shared" si="11"/>
        <v>100</v>
      </c>
      <c r="X31" s="1302"/>
      <c r="Y31" s="3679"/>
      <c r="Z31" s="994" t="str">
        <f t="shared" si="12"/>
        <v>停车位面积</v>
      </c>
      <c r="AA31" s="994">
        <f t="shared" si="3"/>
        <v>1</v>
      </c>
      <c r="AB31" s="994">
        <f t="shared" si="4"/>
        <v>1</v>
      </c>
      <c r="AC31" s="994">
        <f t="shared" si="5"/>
        <v>1</v>
      </c>
    </row>
    <row r="32" spans="1:29" ht="15">
      <c r="A32" s="849"/>
      <c r="B32" s="233" t="s">
        <v>752</v>
      </c>
      <c r="C32" s="522" t="s">
        <v>3323</v>
      </c>
      <c r="D32" s="488">
        <v>100</v>
      </c>
      <c r="E32" s="522" t="s">
        <v>3323</v>
      </c>
      <c r="F32" s="523">
        <f>SUMIF(93:93,E32,94:94)-SUMIF(93:93,C32,94:94)+100</f>
        <v>100</v>
      </c>
      <c r="G32" s="522" t="s">
        <v>3323</v>
      </c>
      <c r="H32" s="488">
        <f>SUMIF(93:93,G32,94:94)-SUMIF(93:93,C32,94:94)+100</f>
        <v>100</v>
      </c>
      <c r="I32" s="522" t="s">
        <v>3323</v>
      </c>
      <c r="J32" s="488">
        <f>SUMIF(93:93,I32,94:94)-SUMIF(93:93,C32,94:94)+100</f>
        <v>100</v>
      </c>
      <c r="K32" s="531">
        <v>1</v>
      </c>
      <c r="L32" s="1746"/>
      <c r="M32" s="1739"/>
      <c r="N32" s="1739"/>
      <c r="O32" s="1745"/>
      <c r="P32" s="3679" t="s">
        <v>499</v>
      </c>
      <c r="Q32" s="1303" t="str">
        <f t="shared" si="8"/>
        <v>车位类型</v>
      </c>
      <c r="R32" s="1304" t="s">
        <v>5</v>
      </c>
      <c r="S32" s="1305">
        <f t="shared" si="9"/>
        <v>100</v>
      </c>
      <c r="T32" s="1304" t="s">
        <v>5</v>
      </c>
      <c r="U32" s="1305">
        <f t="shared" si="10"/>
        <v>100</v>
      </c>
      <c r="V32" s="1304" t="s">
        <v>5</v>
      </c>
      <c r="W32" s="1305">
        <f t="shared" si="11"/>
        <v>100</v>
      </c>
      <c r="X32" s="1299"/>
      <c r="Y32" s="3679" t="s">
        <v>499</v>
      </c>
      <c r="Z32" s="1306" t="str">
        <f t="shared" si="12"/>
        <v>车位类型</v>
      </c>
      <c r="AA32" s="1306">
        <f t="shared" si="3"/>
        <v>1</v>
      </c>
      <c r="AB32" s="1306">
        <f t="shared" si="4"/>
        <v>1</v>
      </c>
      <c r="AC32" s="1306">
        <f t="shared" si="5"/>
        <v>1</v>
      </c>
    </row>
    <row r="33" spans="1:29" ht="15.75" thickBot="1">
      <c r="A33" s="849"/>
      <c r="B33" s="233" t="s">
        <v>753</v>
      </c>
      <c r="C33" s="522" t="s">
        <v>3276</v>
      </c>
      <c r="D33" s="488">
        <v>100</v>
      </c>
      <c r="E33" s="522" t="s">
        <v>3276</v>
      </c>
      <c r="F33" s="523">
        <f>SUMIF(95:95,E33,96:96)-SUMIF(95:95,C33,96:96)+100</f>
        <v>100</v>
      </c>
      <c r="G33" s="522" t="s">
        <v>3276</v>
      </c>
      <c r="H33" s="488">
        <f>SUMIF(95:95,G33,96:96)-SUMIF(95:95,C33,96:96)+100</f>
        <v>100</v>
      </c>
      <c r="I33" s="522" t="s">
        <v>3276</v>
      </c>
      <c r="J33" s="488">
        <f>SUMIF(95:95,I33,96:96)-SUMIF(95:95,C33,96:96)+100</f>
        <v>100</v>
      </c>
      <c r="K33" s="531">
        <v>1</v>
      </c>
      <c r="L33" s="1746"/>
      <c r="M33" s="1739"/>
      <c r="N33" s="1739"/>
      <c r="O33" s="1745"/>
      <c r="P33" s="3679"/>
      <c r="Q33" s="1303" t="str">
        <f t="shared" si="8"/>
        <v>是否直接入户</v>
      </c>
      <c r="R33" s="1304" t="s">
        <v>5</v>
      </c>
      <c r="S33" s="1305">
        <f t="shared" si="9"/>
        <v>100</v>
      </c>
      <c r="T33" s="1304" t="s">
        <v>5</v>
      </c>
      <c r="U33" s="1305">
        <f t="shared" si="10"/>
        <v>100</v>
      </c>
      <c r="V33" s="1304" t="s">
        <v>5</v>
      </c>
      <c r="W33" s="1305">
        <f t="shared" si="11"/>
        <v>100</v>
      </c>
      <c r="X33" s="1299"/>
      <c r="Y33" s="3679"/>
      <c r="Z33" s="1306" t="str">
        <f t="shared" si="12"/>
        <v>是否直接入户</v>
      </c>
      <c r="AA33" s="1306">
        <f t="shared" si="3"/>
        <v>1</v>
      </c>
      <c r="AB33" s="1306">
        <f t="shared" si="4"/>
        <v>1</v>
      </c>
      <c r="AC33" s="1306">
        <f t="shared" si="5"/>
        <v>1</v>
      </c>
    </row>
    <row r="34" spans="1:29" ht="15" hidden="1">
      <c r="A34" s="849"/>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6"/>
      <c r="M34" s="1739"/>
      <c r="N34" s="1739"/>
      <c r="O34" s="1745"/>
      <c r="P34" s="3679"/>
      <c r="Q34" s="1303">
        <f t="shared" si="8"/>
        <v>111</v>
      </c>
      <c r="R34" s="1304" t="s">
        <v>5</v>
      </c>
      <c r="S34" s="1305">
        <f t="shared" si="9"/>
        <v>100</v>
      </c>
      <c r="T34" s="1304" t="s">
        <v>5</v>
      </c>
      <c r="U34" s="1305">
        <f t="shared" si="10"/>
        <v>100</v>
      </c>
      <c r="V34" s="1304" t="s">
        <v>5</v>
      </c>
      <c r="W34" s="1305">
        <f t="shared" si="11"/>
        <v>100</v>
      </c>
      <c r="X34" s="1299"/>
      <c r="Y34" s="3679"/>
      <c r="Z34" s="1306">
        <f t="shared" si="12"/>
        <v>111</v>
      </c>
      <c r="AA34" s="1306">
        <f t="shared" si="3"/>
        <v>1</v>
      </c>
      <c r="AB34" s="1306">
        <f t="shared" si="4"/>
        <v>1</v>
      </c>
      <c r="AC34" s="1306">
        <f t="shared" si="5"/>
        <v>1</v>
      </c>
    </row>
    <row r="35" spans="1:29" s="1131" customFormat="1" ht="15" hidden="1">
      <c r="A35" s="847"/>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4"/>
      <c r="M35" s="1768"/>
      <c r="N35" s="1768"/>
      <c r="O35" s="1747"/>
      <c r="P35" s="3679"/>
      <c r="Q35" s="816">
        <f t="shared" si="8"/>
        <v>111</v>
      </c>
      <c r="R35" s="1307" t="s">
        <v>5</v>
      </c>
      <c r="S35" s="1308">
        <f t="shared" si="9"/>
        <v>100</v>
      </c>
      <c r="T35" s="1307" t="s">
        <v>5</v>
      </c>
      <c r="U35" s="1308">
        <f t="shared" si="10"/>
        <v>100</v>
      </c>
      <c r="V35" s="1307" t="s">
        <v>5</v>
      </c>
      <c r="W35" s="1308">
        <f t="shared" si="11"/>
        <v>100</v>
      </c>
      <c r="X35" s="1309"/>
      <c r="Y35" s="3679"/>
      <c r="Z35" s="1310">
        <f t="shared" si="12"/>
        <v>111</v>
      </c>
      <c r="AA35" s="1306">
        <f t="shared" si="3"/>
        <v>1</v>
      </c>
      <c r="AB35" s="1306">
        <f t="shared" si="4"/>
        <v>1</v>
      </c>
      <c r="AC35" s="1306">
        <f t="shared" si="5"/>
        <v>1</v>
      </c>
    </row>
    <row r="36" spans="1:29" ht="15.75" hidden="1" thickBot="1">
      <c r="A36" s="852"/>
      <c r="B36" s="834">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6"/>
      <c r="M36" s="1739"/>
      <c r="N36" s="1739"/>
      <c r="O36" s="1745"/>
      <c r="P36" s="3679"/>
      <c r="Q36" s="1303">
        <f t="shared" si="8"/>
        <v>111</v>
      </c>
      <c r="R36" s="1304" t="s">
        <v>5</v>
      </c>
      <c r="S36" s="1305">
        <f t="shared" si="9"/>
        <v>100</v>
      </c>
      <c r="T36" s="1304" t="s">
        <v>5</v>
      </c>
      <c r="U36" s="1305">
        <f t="shared" si="10"/>
        <v>100</v>
      </c>
      <c r="V36" s="1304" t="s">
        <v>5</v>
      </c>
      <c r="W36" s="1305">
        <f t="shared" si="11"/>
        <v>100</v>
      </c>
      <c r="X36" s="1299"/>
      <c r="Y36" s="3679"/>
      <c r="Z36" s="1306">
        <f t="shared" si="12"/>
        <v>111</v>
      </c>
      <c r="AA36" s="1306">
        <f t="shared" si="3"/>
        <v>1</v>
      </c>
      <c r="AB36" s="1306">
        <f t="shared" si="4"/>
        <v>1</v>
      </c>
      <c r="AC36" s="1306">
        <f t="shared" si="5"/>
        <v>1</v>
      </c>
    </row>
    <row r="37" spans="1:29" ht="15">
      <c r="A37" s="1532" t="s">
        <v>1593</v>
      </c>
      <c r="B37" s="1533" t="s">
        <v>4095</v>
      </c>
      <c r="C37" s="2078" t="s">
        <v>0</v>
      </c>
      <c r="D37" s="557"/>
      <c r="E37" s="558">
        <f>选取案例车位!L19</f>
        <v>132801</v>
      </c>
      <c r="F37" s="559"/>
      <c r="G37" s="560">
        <f>选取案例车位!L37</f>
        <v>125408</v>
      </c>
      <c r="H37" s="561"/>
      <c r="I37" s="558">
        <f>选取案例车位!L54</f>
        <v>141414</v>
      </c>
      <c r="J37" s="561"/>
      <c r="K37" s="1332"/>
      <c r="L37" s="1748"/>
      <c r="M37" s="1739"/>
      <c r="N37" s="1739"/>
      <c r="O37" s="1739"/>
      <c r="P37" s="3642" t="str">
        <f>A37</f>
        <v>成交单价</v>
      </c>
      <c r="Q37" s="3642"/>
      <c r="R37" s="3643">
        <f>E37</f>
        <v>132801</v>
      </c>
      <c r="S37" s="3643"/>
      <c r="T37" s="3643">
        <f>G37</f>
        <v>125408</v>
      </c>
      <c r="U37" s="3643"/>
      <c r="V37" s="3643">
        <f>I37</f>
        <v>141414</v>
      </c>
      <c r="W37" s="3643"/>
      <c r="X37" s="797"/>
      <c r="Y37" s="1311"/>
      <c r="Z37" s="797"/>
      <c r="AA37" s="797"/>
      <c r="AB37" s="797"/>
      <c r="AC37" s="797"/>
    </row>
    <row r="38" spans="1:29" ht="15.75" thickBot="1">
      <c r="A38" s="562" t="s">
        <v>2040</v>
      </c>
      <c r="B38" s="810"/>
      <c r="C38" s="2079">
        <f>R39</f>
        <v>130969</v>
      </c>
      <c r="D38" s="2546" t="s">
        <v>2254</v>
      </c>
      <c r="E38" s="2080">
        <f>R38</f>
        <v>131486</v>
      </c>
      <c r="F38" s="2547"/>
      <c r="G38" s="2079">
        <f>T38</f>
        <v>124166</v>
      </c>
      <c r="H38" s="2547"/>
      <c r="I38" s="2080">
        <f>V38</f>
        <v>137255</v>
      </c>
      <c r="J38" s="2547"/>
      <c r="K38" s="2554">
        <f>F38+H38+J38</f>
        <v>0</v>
      </c>
      <c r="L38" s="1748"/>
      <c r="M38" s="1739"/>
      <c r="N38" s="1739"/>
      <c r="O38" s="1739"/>
      <c r="P38" s="3642" t="str">
        <f>A38</f>
        <v>比较价格（元/平方米）</v>
      </c>
      <c r="Q38" s="3642"/>
      <c r="R38" s="3643">
        <f>IF(F1="售价",ROUND(PRODUCT(R37,AA7:AA36),0),ROUND(PRODUCT(R37,AA7:AA36),1))</f>
        <v>131486</v>
      </c>
      <c r="S38" s="3643"/>
      <c r="T38" s="3643">
        <f>IF(F1="售价",ROUND(PRODUCT(T37,AB7:AB36),0),ROUND(PRODUCT(T37,AB7:AB36),1))</f>
        <v>124166</v>
      </c>
      <c r="U38" s="3643"/>
      <c r="V38" s="3643">
        <f>IF(F1="售价",ROUND(PRODUCT(V37,AC7:AC36),0),ROUND(PRODUCT(V37,AC7:AC36),1))</f>
        <v>137255</v>
      </c>
      <c r="W38" s="3643"/>
      <c r="X38" s="797"/>
      <c r="Y38" s="797"/>
      <c r="Z38" s="797"/>
      <c r="AA38" s="797"/>
      <c r="AB38" s="797"/>
      <c r="AC38" s="797"/>
    </row>
    <row r="39" spans="1:29" ht="15.75" thickBot="1">
      <c r="A39" s="566" t="s">
        <v>2191</v>
      </c>
      <c r="B39" s="567"/>
      <c r="C39" s="467">
        <f>R39</f>
        <v>130969</v>
      </c>
      <c r="D39" s="467"/>
      <c r="E39" s="467"/>
      <c r="F39" s="467"/>
      <c r="G39" s="467"/>
      <c r="H39" s="467"/>
      <c r="I39" s="467"/>
      <c r="J39" s="467"/>
      <c r="K39" s="1333"/>
      <c r="L39" s="1748"/>
      <c r="M39" s="1739"/>
      <c r="N39" s="1739"/>
      <c r="O39" s="1739"/>
      <c r="P39" s="3680" t="str">
        <f>A39</f>
        <v>估价对象XX用房的比较价格（楼面单价，元/平方米）</v>
      </c>
      <c r="Q39" s="3681"/>
      <c r="R39" s="3697">
        <f>IF(F1="售价",ROUND(IF(D38="简单平均",AVERAGE(R38:W38),R38*F38+T38*H38+V38*J38),0),ROUND(IF(D38="简单平均",AVERAGE(R38:V38),R38*F38+T38*H38+V38*J38),1))</f>
        <v>130969</v>
      </c>
      <c r="S39" s="3697"/>
      <c r="T39" s="3697"/>
      <c r="U39" s="3697"/>
      <c r="V39" s="3697"/>
      <c r="W39" s="3697"/>
      <c r="X39" s="797"/>
      <c r="Y39" s="797"/>
      <c r="Z39" s="797"/>
      <c r="AA39" s="797"/>
      <c r="AB39" s="797"/>
      <c r="AC39" s="797"/>
    </row>
    <row r="40" spans="1:29">
      <c r="A40" s="2715"/>
      <c r="B40" s="2715"/>
      <c r="C40" s="2715">
        <v>130544</v>
      </c>
      <c r="D40" s="2715"/>
      <c r="E40" s="2715"/>
      <c r="F40" s="2715"/>
      <c r="G40" s="2717"/>
      <c r="H40" s="2715"/>
      <c r="I40" s="2715"/>
      <c r="J40" s="2715"/>
      <c r="K40" s="2718"/>
      <c r="L40" s="1752"/>
      <c r="M40" s="1739"/>
      <c r="N40" s="1739"/>
      <c r="O40" s="1739"/>
      <c r="P40" s="1739"/>
      <c r="Q40" s="1739"/>
      <c r="R40" s="1739"/>
      <c r="S40" s="1739"/>
      <c r="T40" s="1739"/>
      <c r="U40" s="1739"/>
      <c r="V40" s="1739"/>
      <c r="W40" s="1739"/>
      <c r="X40" s="1739"/>
      <c r="Y40" s="1739"/>
      <c r="Z40" s="1739"/>
      <c r="AA40" s="1739"/>
      <c r="AB40" s="1739"/>
      <c r="AC40" s="1739"/>
    </row>
    <row r="41" spans="1:29">
      <c r="A41" s="2715"/>
      <c r="B41" s="2715"/>
      <c r="C41" s="2715"/>
      <c r="D41" s="2715"/>
      <c r="E41" s="2715"/>
      <c r="F41" s="2715"/>
      <c r="G41" s="2715"/>
      <c r="H41" s="2715"/>
      <c r="I41" s="2715"/>
      <c r="J41" s="2715"/>
      <c r="K41" s="2718"/>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5"/>
      <c r="B42" s="2715"/>
      <c r="C42" s="569" t="s">
        <v>506</v>
      </c>
      <c r="D42" s="570"/>
      <c r="E42" s="571">
        <f>IF(E37&lt;E38,E38/E37-1,E37/E38-1)</f>
        <v>1.0001064752140909E-2</v>
      </c>
      <c r="F42" s="572" t="str">
        <f>IF(OR(E42&gt;=0.3,E42&lt;=-0.3),"超过30%","")</f>
        <v/>
      </c>
      <c r="G42" s="571">
        <f>IF(G37&lt;G38,G38/G37-1,G37/G38-1)</f>
        <v>1.0002738269735634E-2</v>
      </c>
      <c r="H42" s="572" t="str">
        <f>IF(OR(G42&gt;=0.3,G42&lt;=-0.3),"超过30%","")</f>
        <v/>
      </c>
      <c r="I42" s="571">
        <f>IF(I37&lt;I38,I38/I37-1,I37/I38-1)</f>
        <v>3.030126407052558E-2</v>
      </c>
      <c r="J42" s="572" t="str">
        <f>IF(OR(I42&gt;=0.3,I42&lt;=-0.3),"超过30%","")</f>
        <v/>
      </c>
      <c r="K42" s="2718"/>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5"/>
      <c r="B43" s="2715"/>
      <c r="C43" s="569" t="s">
        <v>507</v>
      </c>
      <c r="D43" s="573"/>
      <c r="E43" s="571">
        <f>IF(E38&lt;G38,G38/E38-1,E38/G38-1)</f>
        <v>5.8953336662210365E-2</v>
      </c>
      <c r="F43" s="572" t="str">
        <f>IF(OR(E43&gt;=0.2,E43&lt;=-0.2),"超过20%","")</f>
        <v/>
      </c>
      <c r="G43" s="571">
        <f>IF(G38&lt;I38,I38/G38-1,G38/I38-1)</f>
        <v>0.10541533108902601</v>
      </c>
      <c r="H43" s="572" t="str">
        <f>IF(OR(G43&gt;=0.2,G43&lt;=-0.2),"超过20%","")</f>
        <v/>
      </c>
      <c r="I43" s="571">
        <f>IF(I38&lt;E38,E38/I38-1,I38/E38-1)</f>
        <v>4.3875393578023614E-2</v>
      </c>
      <c r="J43" s="572" t="str">
        <f>IF(OR(I43&gt;=0.2,I43&lt;=-0.2),"超过20%","")</f>
        <v/>
      </c>
      <c r="K43" s="2718"/>
      <c r="L43" s="1752"/>
      <c r="M43" s="1739"/>
      <c r="N43" s="1739"/>
      <c r="O43" s="1739"/>
      <c r="P43" s="1739"/>
      <c r="Q43" s="1739"/>
      <c r="R43" s="1739"/>
      <c r="S43" s="1739"/>
      <c r="T43" s="1739"/>
      <c r="U43" s="1739"/>
      <c r="V43" s="1739"/>
      <c r="W43" s="1739"/>
      <c r="X43" s="1739"/>
      <c r="Y43" s="1739"/>
      <c r="Z43" s="1739"/>
      <c r="AA43" s="1739"/>
      <c r="AB43" s="1739"/>
      <c r="AC43" s="1739"/>
    </row>
    <row r="44" spans="1:29" s="1136" customFormat="1" ht="13.5" customHeight="1">
      <c r="A44" s="2716"/>
      <c r="B44" s="2716"/>
      <c r="C44" s="569" t="s">
        <v>508</v>
      </c>
      <c r="D44" s="573"/>
      <c r="E44" s="571">
        <f>IF(E37&lt;G37,G37/E37-1,E37/G37-1)</f>
        <v>5.895158203623363E-2</v>
      </c>
      <c r="F44" s="572" t="str">
        <f>IF(OR(E44&gt;=0.3,E44&lt;=-0.3),"超过30%","")</f>
        <v/>
      </c>
      <c r="G44" s="571">
        <f>IF(G37&lt;I37,I37/G37-1,G37/I37-1)</f>
        <v>0.12763141107425358</v>
      </c>
      <c r="H44" s="572" t="str">
        <f>IF(OR(G44&gt;=0.3,G44&lt;=-0.3),"超过30%","")</f>
        <v/>
      </c>
      <c r="I44" s="571">
        <f>IF(I37&lt;E37,E37/I37-1,I37/E37-1)</f>
        <v>6.4856439334041172E-2</v>
      </c>
      <c r="J44" s="572" t="str">
        <f>IF(OR(I44&gt;=0.3,I44&lt;=-0.3),"超过30%","")</f>
        <v/>
      </c>
      <c r="K44" s="2719"/>
      <c r="L44" s="1755"/>
      <c r="M44" s="1749"/>
      <c r="N44" s="1749"/>
      <c r="O44" s="1749"/>
      <c r="P44" s="1749"/>
      <c r="Q44" s="1749"/>
      <c r="R44" s="1749"/>
      <c r="S44" s="1749"/>
      <c r="T44" s="1749"/>
      <c r="U44" s="1749"/>
      <c r="V44" s="1749"/>
      <c r="W44" s="1749"/>
      <c r="X44" s="1749"/>
      <c r="Y44" s="1749"/>
      <c r="Z44" s="1749"/>
      <c r="AA44" s="1749"/>
      <c r="AB44" s="1749"/>
      <c r="AC44" s="1749"/>
    </row>
    <row r="45" spans="1:29" s="1136"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1.75" thickBot="1">
      <c r="A47" s="1314" t="s">
        <v>522</v>
      </c>
      <c r="B47" s="797"/>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8" customFormat="1" ht="15">
      <c r="A48" s="590" t="s">
        <v>478</v>
      </c>
      <c r="B48" s="591"/>
      <c r="C48" s="2110" t="str">
        <f>YEAR(C7)&amp;"-"&amp;MONTH(C7)</f>
        <v>2024-11</v>
      </c>
      <c r="D48" s="2112">
        <f>EDATE(C48,-1)</f>
        <v>45566</v>
      </c>
      <c r="E48" s="2112">
        <f t="shared" ref="E48:O48" si="13">EDATE(D48,-1)</f>
        <v>45536</v>
      </c>
      <c r="F48" s="2112">
        <f t="shared" si="13"/>
        <v>45505</v>
      </c>
      <c r="G48" s="2112">
        <f t="shared" si="13"/>
        <v>45474</v>
      </c>
      <c r="H48" s="2112">
        <f t="shared" si="13"/>
        <v>45444</v>
      </c>
      <c r="I48" s="2112">
        <f t="shared" si="13"/>
        <v>45413</v>
      </c>
      <c r="J48" s="2112">
        <f t="shared" si="13"/>
        <v>45383</v>
      </c>
      <c r="K48" s="2112">
        <f t="shared" si="13"/>
        <v>45352</v>
      </c>
      <c r="L48" s="2112">
        <f t="shared" si="13"/>
        <v>45323</v>
      </c>
      <c r="M48" s="2112">
        <f t="shared" si="13"/>
        <v>45292</v>
      </c>
      <c r="N48" s="2112">
        <f t="shared" si="13"/>
        <v>45261</v>
      </c>
      <c r="O48" s="2112">
        <f t="shared" si="13"/>
        <v>45231</v>
      </c>
      <c r="P48" s="1762"/>
      <c r="Q48" s="1762"/>
      <c r="R48" s="1762"/>
      <c r="S48" s="1762"/>
      <c r="T48" s="1762"/>
      <c r="U48" s="1762"/>
      <c r="V48" s="1762"/>
      <c r="W48" s="1762"/>
      <c r="X48" s="1762"/>
      <c r="Y48" s="1762"/>
      <c r="Z48" s="1762"/>
      <c r="AA48" s="1762"/>
      <c r="AB48" s="1762"/>
      <c r="AC48" s="1762"/>
    </row>
    <row r="49" spans="1:29" s="1057" customFormat="1" ht="15">
      <c r="A49" s="525"/>
      <c r="B49" s="592"/>
      <c r="C49" s="2111">
        <v>100</v>
      </c>
      <c r="D49" s="594"/>
      <c r="E49" s="594"/>
      <c r="F49" s="594"/>
      <c r="G49" s="594"/>
      <c r="H49" s="594"/>
      <c r="I49" s="594"/>
      <c r="J49" s="594"/>
      <c r="K49" s="594"/>
      <c r="L49" s="594"/>
      <c r="M49" s="485"/>
      <c r="N49" s="594"/>
      <c r="O49" s="595"/>
      <c r="P49" s="1760"/>
      <c r="Q49" s="1637"/>
      <c r="R49" s="1637"/>
      <c r="S49" s="1637"/>
      <c r="T49" s="1637"/>
      <c r="U49" s="1637"/>
      <c r="V49" s="1637"/>
      <c r="W49" s="1637"/>
      <c r="X49" s="1637"/>
      <c r="Y49" s="1637"/>
      <c r="Z49" s="1637"/>
      <c r="AA49" s="1637"/>
      <c r="AB49" s="1637"/>
      <c r="AC49" s="1637"/>
    </row>
    <row r="50" spans="1:29" s="1057" customFormat="1" ht="15.75" thickBot="1">
      <c r="A50" s="260" t="s">
        <v>523</v>
      </c>
      <c r="B50" s="596"/>
      <c r="C50" s="597"/>
      <c r="D50" s="598"/>
      <c r="E50" s="598"/>
      <c r="F50" s="598"/>
      <c r="G50" s="598"/>
      <c r="H50" s="598"/>
      <c r="I50" s="598"/>
      <c r="J50" s="598"/>
      <c r="K50" s="598"/>
      <c r="L50" s="598"/>
      <c r="M50" s="599"/>
      <c r="N50" s="598"/>
      <c r="O50" s="600"/>
      <c r="P50" s="1760"/>
      <c r="Q50" s="1760"/>
      <c r="R50" s="1637"/>
      <c r="S50" s="1637"/>
      <c r="T50" s="1637"/>
      <c r="U50" s="1637"/>
      <c r="V50" s="1637"/>
      <c r="W50" s="1637"/>
      <c r="X50" s="1637"/>
      <c r="Y50" s="1637"/>
      <c r="Z50" s="1637"/>
      <c r="AA50" s="1637"/>
      <c r="AB50" s="1637"/>
      <c r="AC50" s="1637"/>
    </row>
    <row r="51" spans="1:29" s="1057" customFormat="1" ht="15">
      <c r="A51" s="601" t="s">
        <v>480</v>
      </c>
      <c r="B51" s="592"/>
      <c r="C51" s="602" t="s">
        <v>524</v>
      </c>
      <c r="D51" s="80"/>
      <c r="E51" s="80"/>
      <c r="F51" s="80"/>
      <c r="G51" s="80"/>
      <c r="H51" s="80"/>
      <c r="I51" s="80"/>
      <c r="J51" s="80"/>
      <c r="K51" s="80"/>
      <c r="L51" s="603"/>
      <c r="M51" s="604"/>
      <c r="N51" s="1763"/>
      <c r="O51" s="1763"/>
      <c r="P51" s="1644"/>
      <c r="Q51" s="1760"/>
      <c r="R51" s="1637"/>
      <c r="S51" s="1637"/>
      <c r="T51" s="1637"/>
      <c r="U51" s="1637"/>
      <c r="V51" s="1637"/>
      <c r="W51" s="1637"/>
      <c r="X51" s="1637"/>
      <c r="Y51" s="1637"/>
      <c r="Z51" s="1637"/>
      <c r="AA51" s="1637"/>
      <c r="AB51" s="1637"/>
      <c r="AC51" s="1637"/>
    </row>
    <row r="52" spans="1:29" s="1057" customFormat="1" ht="15.75" thickBot="1">
      <c r="A52" s="601"/>
      <c r="B52" s="592"/>
      <c r="C52" s="593">
        <v>100</v>
      </c>
      <c r="D52" s="594"/>
      <c r="E52" s="594"/>
      <c r="F52" s="594"/>
      <c r="G52" s="594"/>
      <c r="H52" s="594"/>
      <c r="I52" s="594"/>
      <c r="J52" s="594"/>
      <c r="K52" s="594"/>
      <c r="L52" s="594"/>
      <c r="M52" s="595"/>
      <c r="N52" s="1763"/>
      <c r="O52" s="1763"/>
      <c r="P52" s="1760"/>
      <c r="Q52" s="1760"/>
      <c r="R52" s="1637"/>
      <c r="S52" s="1637"/>
      <c r="T52" s="1637"/>
      <c r="U52" s="1637"/>
      <c r="V52" s="1637"/>
      <c r="W52" s="1637"/>
      <c r="X52" s="1637"/>
      <c r="Y52" s="1637"/>
      <c r="Z52" s="1637"/>
      <c r="AA52" s="1637"/>
      <c r="AB52" s="1637"/>
      <c r="AC52" s="1637"/>
    </row>
    <row r="53" spans="1:29">
      <c r="A53" s="605" t="s">
        <v>525</v>
      </c>
      <c r="B53" s="606" t="s">
        <v>483</v>
      </c>
      <c r="C53" s="643" t="str">
        <f>C9</f>
        <v>车位</v>
      </c>
      <c r="D53" s="545"/>
      <c r="E53" s="545"/>
      <c r="F53" s="545"/>
      <c r="G53" s="545"/>
      <c r="H53" s="545"/>
      <c r="I53" s="545"/>
      <c r="J53" s="545"/>
      <c r="K53" s="607"/>
      <c r="L53" s="608"/>
      <c r="M53" s="609"/>
      <c r="N53" s="1764"/>
      <c r="O53" s="1764"/>
      <c r="P53" s="1763"/>
      <c r="Q53" s="1760"/>
      <c r="R53" s="1739"/>
      <c r="S53" s="1739"/>
      <c r="T53" s="1739"/>
      <c r="U53" s="1739"/>
      <c r="V53" s="1739"/>
      <c r="W53" s="1739"/>
      <c r="X53" s="1739"/>
      <c r="Y53" s="1739"/>
      <c r="Z53" s="1739"/>
      <c r="AA53" s="1739"/>
      <c r="AB53" s="1739"/>
      <c r="AC53" s="1739"/>
    </row>
    <row r="54" spans="1:29" ht="15.75" thickBot="1">
      <c r="A54" s="480"/>
      <c r="B54" s="610"/>
      <c r="C54" s="611"/>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27.75" thickTop="1">
      <c r="A55" s="480"/>
      <c r="B55" s="613" t="s">
        <v>486</v>
      </c>
      <c r="C55" s="656" t="s">
        <v>4299</v>
      </c>
      <c r="D55" s="656" t="s">
        <v>4300</v>
      </c>
      <c r="E55" s="656" t="s">
        <v>4301</v>
      </c>
      <c r="F55" s="656"/>
      <c r="G55" s="656"/>
      <c r="H55" s="656"/>
      <c r="I55" s="656"/>
      <c r="J55" s="656"/>
      <c r="K55" s="657"/>
      <c r="L55" s="658"/>
      <c r="M55" s="659"/>
      <c r="N55" s="1764"/>
      <c r="O55" s="1764"/>
      <c r="P55" s="1763"/>
      <c r="Q55" s="1760"/>
      <c r="R55" s="1739"/>
      <c r="S55" s="1739"/>
      <c r="T55" s="1739"/>
      <c r="U55" s="1739"/>
      <c r="V55" s="1739"/>
      <c r="W55" s="1739"/>
      <c r="X55" s="1739"/>
      <c r="Y55" s="1739"/>
      <c r="Z55" s="1739"/>
      <c r="AA55" s="1739"/>
      <c r="AB55" s="1739"/>
      <c r="AC55" s="1739"/>
    </row>
    <row r="56" spans="1:29" ht="15.75" thickBot="1">
      <c r="A56" s="480"/>
      <c r="B56" s="618"/>
      <c r="C56" s="611">
        <v>100</v>
      </c>
      <c r="D56" s="611">
        <f>C56-2</f>
        <v>98</v>
      </c>
      <c r="E56" s="611">
        <f>D56-2</f>
        <v>96</v>
      </c>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ht="15.75" thickTop="1">
      <c r="A57" s="480"/>
      <c r="B57" s="853">
        <f>B11</f>
        <v>111</v>
      </c>
      <c r="C57" s="489"/>
      <c r="D57" s="489"/>
      <c r="E57" s="489"/>
      <c r="F57" s="489"/>
      <c r="G57" s="489"/>
      <c r="H57" s="489"/>
      <c r="I57" s="489"/>
      <c r="J57" s="489"/>
      <c r="K57" s="624"/>
      <c r="L57" s="625"/>
      <c r="M57" s="626"/>
      <c r="N57" s="1764"/>
      <c r="O57" s="1764"/>
      <c r="P57" s="1763"/>
      <c r="Q57" s="1760"/>
      <c r="R57" s="1739"/>
      <c r="S57" s="1739"/>
      <c r="T57" s="1739"/>
      <c r="U57" s="1739"/>
      <c r="V57" s="1739"/>
      <c r="W57" s="1739"/>
      <c r="X57" s="1739"/>
      <c r="Y57" s="1739"/>
      <c r="Z57" s="1739"/>
      <c r="AA57" s="1739"/>
      <c r="AB57" s="1739"/>
      <c r="AC57" s="1739"/>
    </row>
    <row r="58" spans="1:29" ht="15.75" thickBot="1">
      <c r="A58" s="480"/>
      <c r="B58" s="610"/>
      <c r="C58" s="632"/>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s="1131" customFormat="1" ht="15.75" thickTop="1">
      <c r="A59" s="627"/>
      <c r="B59" s="613">
        <f>B12</f>
        <v>111</v>
      </c>
      <c r="C59" s="489"/>
      <c r="D59" s="489"/>
      <c r="E59" s="489"/>
      <c r="F59" s="489"/>
      <c r="G59" s="628"/>
      <c r="H59" s="629"/>
      <c r="I59" s="629"/>
      <c r="J59" s="629"/>
      <c r="K59" s="629"/>
      <c r="L59" s="630"/>
      <c r="M59" s="631"/>
      <c r="N59" s="1766"/>
      <c r="O59" s="1766"/>
      <c r="P59" s="1766"/>
      <c r="Q59" s="1767"/>
      <c r="R59" s="1768"/>
      <c r="S59" s="1768"/>
      <c r="T59" s="1768"/>
      <c r="U59" s="1768"/>
      <c r="V59" s="1768"/>
      <c r="W59" s="1768"/>
      <c r="X59" s="1768"/>
      <c r="Y59" s="1768"/>
      <c r="Z59" s="1768"/>
      <c r="AA59" s="1768"/>
      <c r="AB59" s="1768"/>
      <c r="AC59" s="1768"/>
    </row>
    <row r="60" spans="1:29" s="1131" customFormat="1" ht="15.75" thickBot="1">
      <c r="A60" s="627"/>
      <c r="B60" s="618"/>
      <c r="C60" s="632"/>
      <c r="D60" s="611"/>
      <c r="E60" s="611"/>
      <c r="F60" s="611"/>
      <c r="G60" s="611"/>
      <c r="H60" s="611"/>
      <c r="I60" s="611"/>
      <c r="J60" s="611"/>
      <c r="K60" s="611"/>
      <c r="L60" s="611"/>
      <c r="M60" s="612"/>
      <c r="N60" s="1765"/>
      <c r="O60" s="1765"/>
      <c r="P60" s="1766"/>
      <c r="Q60" s="1767"/>
      <c r="R60" s="1768"/>
      <c r="S60" s="1768"/>
      <c r="T60" s="1768"/>
      <c r="U60" s="1768"/>
      <c r="V60" s="1768"/>
      <c r="W60" s="1768"/>
      <c r="X60" s="1768"/>
      <c r="Y60" s="1768"/>
      <c r="Z60" s="1768"/>
      <c r="AA60" s="1768"/>
      <c r="AB60" s="1768"/>
      <c r="AC60" s="1768"/>
    </row>
    <row r="61" spans="1:29" s="1131" customFormat="1" ht="15.75" thickTop="1">
      <c r="A61" s="627"/>
      <c r="B61" s="613">
        <f>B13</f>
        <v>111</v>
      </c>
      <c r="C61" s="628"/>
      <c r="D61" s="628"/>
      <c r="E61" s="628"/>
      <c r="F61" s="628"/>
      <c r="G61" s="628"/>
      <c r="H61" s="629"/>
      <c r="I61" s="629"/>
      <c r="J61" s="629"/>
      <c r="K61" s="629"/>
      <c r="L61" s="630"/>
      <c r="M61" s="631"/>
      <c r="N61" s="1766"/>
      <c r="O61" s="1766"/>
      <c r="P61" s="1768"/>
      <c r="Q61" s="1769"/>
      <c r="R61" s="1768"/>
      <c r="S61" s="1768"/>
      <c r="T61" s="1768"/>
      <c r="U61" s="1768"/>
      <c r="V61" s="1768"/>
      <c r="W61" s="1768"/>
      <c r="X61" s="1768"/>
      <c r="Y61" s="1768"/>
      <c r="Z61" s="1768"/>
      <c r="AA61" s="1768"/>
      <c r="AB61" s="1768"/>
      <c r="AC61" s="1768"/>
    </row>
    <row r="62" spans="1:29" s="1131" customFormat="1" ht="15.75" thickBot="1">
      <c r="A62" s="627"/>
      <c r="B62" s="618"/>
      <c r="C62" s="632"/>
      <c r="D62" s="632"/>
      <c r="E62" s="632"/>
      <c r="F62" s="632"/>
      <c r="G62" s="632"/>
      <c r="H62" s="633"/>
      <c r="I62" s="633"/>
      <c r="J62" s="633"/>
      <c r="K62" s="633"/>
      <c r="L62" s="633"/>
      <c r="M62" s="634"/>
      <c r="N62" s="1766"/>
      <c r="O62" s="1766"/>
      <c r="P62" s="1766"/>
      <c r="Q62" s="1767"/>
      <c r="R62" s="1768"/>
      <c r="S62" s="1768"/>
      <c r="T62" s="1768"/>
      <c r="U62" s="1768"/>
      <c r="V62" s="1768"/>
      <c r="W62" s="1768"/>
      <c r="X62" s="1768"/>
      <c r="Y62" s="1768"/>
      <c r="Z62" s="1768"/>
      <c r="AA62" s="1768"/>
      <c r="AB62" s="1768"/>
      <c r="AC62" s="1768"/>
    </row>
    <row r="63" spans="1:29" ht="15" thickTop="1">
      <c r="A63" s="605" t="s">
        <v>488</v>
      </c>
      <c r="B63" s="606" t="s">
        <v>534</v>
      </c>
      <c r="C63" s="143" t="s">
        <v>527</v>
      </c>
      <c r="D63" s="143" t="s">
        <v>528</v>
      </c>
      <c r="E63" s="143" t="s">
        <v>529</v>
      </c>
      <c r="F63" s="143" t="s">
        <v>530</v>
      </c>
      <c r="G63" s="143" t="s">
        <v>531</v>
      </c>
      <c r="H63" s="643"/>
      <c r="I63" s="643"/>
      <c r="J63" s="643"/>
      <c r="K63" s="644"/>
      <c r="L63" s="645"/>
      <c r="M63" s="646"/>
      <c r="N63" s="1764"/>
      <c r="O63" s="1764"/>
      <c r="P63" s="1771"/>
      <c r="Q63" s="1760"/>
      <c r="R63" s="1739"/>
      <c r="S63" s="1739"/>
      <c r="T63" s="1739"/>
      <c r="U63" s="1739"/>
      <c r="V63" s="1739"/>
      <c r="W63" s="1739"/>
      <c r="X63" s="1739"/>
      <c r="Y63" s="1739"/>
      <c r="Z63" s="1739"/>
      <c r="AA63" s="1739"/>
      <c r="AB63" s="1739"/>
      <c r="AC63" s="1739"/>
    </row>
    <row r="64" spans="1:29" ht="15.75" thickBot="1">
      <c r="A64" s="480"/>
      <c r="B64" s="618"/>
      <c r="C64" s="619">
        <v>100</v>
      </c>
      <c r="D64" s="619">
        <f>C64-$K14</f>
        <v>99</v>
      </c>
      <c r="E64" s="619">
        <f>D64-$K14</f>
        <v>98</v>
      </c>
      <c r="F64" s="619">
        <f>E64-$K14</f>
        <v>97</v>
      </c>
      <c r="G64" s="619">
        <f>F64-$K14</f>
        <v>96</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5.75" thickTop="1">
      <c r="A65" s="480"/>
      <c r="B65" s="1552" t="s">
        <v>1838</v>
      </c>
      <c r="C65" s="647" t="s">
        <v>527</v>
      </c>
      <c r="D65" s="647" t="s">
        <v>528</v>
      </c>
      <c r="E65" s="647" t="s">
        <v>529</v>
      </c>
      <c r="F65" s="647" t="s">
        <v>530</v>
      </c>
      <c r="G65" s="647" t="s">
        <v>531</v>
      </c>
      <c r="H65" s="614"/>
      <c r="I65" s="614"/>
      <c r="J65" s="614"/>
      <c r="K65" s="615"/>
      <c r="L65" s="616"/>
      <c r="M65" s="617"/>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9">
        <v>100</v>
      </c>
      <c r="D66" s="619">
        <f>C66-$K16</f>
        <v>99</v>
      </c>
      <c r="E66" s="619">
        <f>D66-$K16</f>
        <v>98</v>
      </c>
      <c r="F66" s="619">
        <f>E66-$K16</f>
        <v>97</v>
      </c>
      <c r="G66" s="619">
        <f>F66-$K16</f>
        <v>96</v>
      </c>
      <c r="H66" s="619"/>
      <c r="I66" s="619"/>
      <c r="J66" s="619"/>
      <c r="K66" s="619"/>
      <c r="L66" s="619"/>
      <c r="M66" s="620"/>
      <c r="N66" s="1765"/>
      <c r="O66" s="1765"/>
      <c r="P66" s="1763"/>
      <c r="Q66" s="1760"/>
      <c r="R66" s="1739"/>
      <c r="S66" s="1739"/>
      <c r="T66" s="1739"/>
      <c r="U66" s="1739"/>
      <c r="V66" s="1739"/>
      <c r="W66" s="1739"/>
      <c r="X66" s="1739"/>
      <c r="Y66" s="1739"/>
      <c r="Z66" s="1739"/>
      <c r="AA66" s="1739"/>
      <c r="AB66" s="1739"/>
      <c r="AC66" s="1739"/>
    </row>
    <row r="67" spans="1:29" ht="15.75" thickTop="1">
      <c r="A67" s="480"/>
      <c r="B67" s="2053" t="s">
        <v>1839</v>
      </c>
      <c r="C67" s="2054" t="s">
        <v>1840</v>
      </c>
      <c r="D67" s="2054" t="s">
        <v>1841</v>
      </c>
      <c r="E67" s="2054" t="s">
        <v>1842</v>
      </c>
      <c r="F67" s="2054" t="s">
        <v>1843</v>
      </c>
      <c r="G67" s="2054" t="s">
        <v>1844</v>
      </c>
      <c r="H67" s="614"/>
      <c r="I67" s="614"/>
      <c r="J67" s="614"/>
      <c r="K67" s="614"/>
      <c r="L67" s="614"/>
      <c r="M67" s="2057"/>
      <c r="N67" s="1765"/>
      <c r="O67" s="1765"/>
      <c r="P67" s="1763"/>
      <c r="Q67" s="1760"/>
      <c r="R67" s="1739"/>
      <c r="S67" s="1739"/>
      <c r="T67" s="1739"/>
      <c r="U67" s="1739"/>
      <c r="V67" s="1739"/>
      <c r="W67" s="1739"/>
      <c r="X67" s="1739"/>
      <c r="Y67" s="1739"/>
      <c r="Z67" s="1739"/>
      <c r="AA67" s="1739"/>
      <c r="AB67" s="1739"/>
      <c r="AC67" s="1739"/>
    </row>
    <row r="68" spans="1:29" ht="15.75" thickBot="1">
      <c r="A68" s="480"/>
      <c r="B68" s="621"/>
      <c r="C68" s="619">
        <v>100</v>
      </c>
      <c r="D68" s="619">
        <f>C68-$K18</f>
        <v>99</v>
      </c>
      <c r="E68" s="619">
        <f>D68-$K18</f>
        <v>98</v>
      </c>
      <c r="F68" s="619">
        <f>E68-$K18</f>
        <v>97</v>
      </c>
      <c r="G68" s="619">
        <f>F68-$K18</f>
        <v>96</v>
      </c>
      <c r="H68" s="853"/>
      <c r="I68" s="853"/>
      <c r="J68" s="853"/>
      <c r="K68" s="853"/>
      <c r="L68" s="853"/>
      <c r="M68" s="507"/>
      <c r="N68" s="1765"/>
      <c r="O68" s="1765"/>
      <c r="P68" s="1763"/>
      <c r="Q68" s="1760"/>
      <c r="R68" s="1739"/>
      <c r="S68" s="1739"/>
      <c r="T68" s="1739"/>
      <c r="U68" s="1739"/>
      <c r="V68" s="1739"/>
      <c r="W68" s="1739"/>
      <c r="X68" s="1739"/>
      <c r="Y68" s="1739"/>
      <c r="Z68" s="1739"/>
      <c r="AA68" s="1739"/>
      <c r="AB68" s="1739"/>
      <c r="AC68" s="1739"/>
    </row>
    <row r="69" spans="1:29" ht="15.75" thickTop="1">
      <c r="A69" s="480"/>
      <c r="B69" s="613" t="s">
        <v>684</v>
      </c>
      <c r="C69" s="647" t="s">
        <v>527</v>
      </c>
      <c r="D69" s="647" t="s">
        <v>528</v>
      </c>
      <c r="E69" s="647" t="s">
        <v>529</v>
      </c>
      <c r="F69" s="647" t="s">
        <v>530</v>
      </c>
      <c r="G69" s="647" t="s">
        <v>531</v>
      </c>
      <c r="H69" s="614"/>
      <c r="I69" s="614"/>
      <c r="J69" s="614"/>
      <c r="K69" s="615"/>
      <c r="L69" s="616"/>
      <c r="M69" s="617"/>
      <c r="N69" s="1764"/>
      <c r="O69" s="1764"/>
      <c r="P69" s="1763"/>
      <c r="Q69" s="1760"/>
      <c r="R69" s="1739"/>
      <c r="S69" s="1739"/>
      <c r="T69" s="1739"/>
      <c r="U69" s="1739"/>
      <c r="V69" s="1739"/>
      <c r="W69" s="1739"/>
      <c r="X69" s="1739"/>
      <c r="Y69" s="1739"/>
      <c r="Z69" s="1739"/>
      <c r="AA69" s="1739"/>
      <c r="AB69" s="1739"/>
      <c r="AC69" s="1739"/>
    </row>
    <row r="70" spans="1:29" ht="15.75" thickBot="1">
      <c r="A70" s="480"/>
      <c r="B70" s="618"/>
      <c r="C70" s="619">
        <v>100</v>
      </c>
      <c r="D70" s="619">
        <f>C70-$K20</f>
        <v>99</v>
      </c>
      <c r="E70" s="619">
        <f>D70-$K20</f>
        <v>98</v>
      </c>
      <c r="F70" s="619">
        <f>E70-$K20</f>
        <v>97</v>
      </c>
      <c r="G70" s="619">
        <f>F70-$K20</f>
        <v>96</v>
      </c>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ht="15.75" thickTop="1">
      <c r="A71" s="480"/>
      <c r="B71" s="613" t="s">
        <v>685</v>
      </c>
      <c r="C71" s="628"/>
      <c r="D71" s="628"/>
      <c r="E71" s="628"/>
      <c r="F71" s="628"/>
      <c r="G71" s="628"/>
      <c r="H71" s="656"/>
      <c r="I71" s="656"/>
      <c r="J71" s="656"/>
      <c r="K71" s="657"/>
      <c r="L71" s="658"/>
      <c r="M71" s="659"/>
      <c r="N71" s="1764"/>
      <c r="O71" s="1764"/>
      <c r="P71" s="1763"/>
      <c r="Q71" s="1760"/>
      <c r="R71" s="1739"/>
      <c r="S71" s="1739"/>
      <c r="T71" s="1739"/>
      <c r="U71" s="1739"/>
      <c r="V71" s="1739"/>
      <c r="W71" s="1739"/>
      <c r="X71" s="1739"/>
      <c r="Y71" s="1739"/>
      <c r="Z71" s="1739"/>
      <c r="AA71" s="1739"/>
      <c r="AB71" s="1739"/>
      <c r="AC71" s="1739"/>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5"/>
      <c r="O72" s="1765"/>
      <c r="P72" s="1763"/>
      <c r="Q72" s="1760"/>
      <c r="R72" s="1739"/>
      <c r="S72" s="1739"/>
      <c r="T72" s="1739"/>
      <c r="U72" s="1739"/>
      <c r="V72" s="1739"/>
      <c r="W72" s="1739"/>
      <c r="X72" s="1739"/>
      <c r="Y72" s="1739"/>
      <c r="Z72" s="1739"/>
      <c r="AA72" s="1739"/>
      <c r="AB72" s="1739"/>
      <c r="AC72" s="1739"/>
    </row>
    <row r="73" spans="1:29" s="1057" customFormat="1" ht="15.75" thickTop="1">
      <c r="A73" s="484"/>
      <c r="B73" s="613">
        <f>B23</f>
        <v>111</v>
      </c>
      <c r="C73" s="489"/>
      <c r="D73" s="489"/>
      <c r="E73" s="489"/>
      <c r="F73" s="489"/>
      <c r="G73" s="628"/>
      <c r="H73" s="628"/>
      <c r="I73" s="628"/>
      <c r="J73" s="628"/>
      <c r="K73" s="628"/>
      <c r="L73" s="812"/>
      <c r="M73" s="813"/>
      <c r="N73" s="1763"/>
      <c r="O73" s="1763"/>
      <c r="P73" s="1763"/>
      <c r="Q73" s="1760"/>
      <c r="R73" s="1637"/>
      <c r="S73" s="1637"/>
      <c r="T73" s="1637"/>
      <c r="U73" s="1637"/>
      <c r="V73" s="1637"/>
      <c r="W73" s="1637"/>
      <c r="X73" s="1637"/>
      <c r="Y73" s="1637"/>
      <c r="Z73" s="1637"/>
      <c r="AA73" s="1637"/>
      <c r="AB73" s="1637"/>
      <c r="AC73" s="1637"/>
    </row>
    <row r="74" spans="1:29" s="1057" customFormat="1" ht="15.7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057" customFormat="1" ht="15.75" thickTop="1">
      <c r="A75" s="484"/>
      <c r="B75" s="613">
        <f>B24</f>
        <v>111</v>
      </c>
      <c r="C75" s="489"/>
      <c r="D75" s="489"/>
      <c r="E75" s="489"/>
      <c r="F75" s="489"/>
      <c r="G75" s="628"/>
      <c r="H75" s="628"/>
      <c r="I75" s="628"/>
      <c r="J75" s="628"/>
      <c r="K75" s="628"/>
      <c r="L75" s="628"/>
      <c r="M75" s="813"/>
      <c r="N75" s="1763"/>
      <c r="O75" s="1763"/>
      <c r="P75" s="1763"/>
      <c r="Q75" s="1760"/>
      <c r="R75" s="1637"/>
      <c r="S75" s="1637"/>
      <c r="T75" s="1637"/>
      <c r="U75" s="1637"/>
      <c r="V75" s="1637"/>
      <c r="W75" s="1637"/>
      <c r="X75" s="1637"/>
      <c r="Y75" s="1637"/>
      <c r="Z75" s="1637"/>
      <c r="AA75" s="1637"/>
      <c r="AB75" s="1637"/>
      <c r="AC75" s="1637"/>
    </row>
    <row r="76" spans="1:29" s="1057" customFormat="1" ht="15.75" thickBot="1">
      <c r="A76" s="484"/>
      <c r="B76" s="618"/>
      <c r="C76" s="632"/>
      <c r="D76" s="611"/>
      <c r="E76" s="611"/>
      <c r="F76" s="611"/>
      <c r="G76" s="611"/>
      <c r="H76" s="611"/>
      <c r="I76" s="611"/>
      <c r="J76" s="611"/>
      <c r="K76" s="611"/>
      <c r="L76" s="611"/>
      <c r="M76" s="612"/>
      <c r="N76" s="1765"/>
      <c r="O76" s="1765"/>
      <c r="P76" s="1763"/>
      <c r="Q76" s="1760"/>
      <c r="R76" s="1637"/>
      <c r="S76" s="1637"/>
      <c r="T76" s="1637"/>
      <c r="U76" s="1637"/>
      <c r="V76" s="1637"/>
      <c r="W76" s="1637"/>
      <c r="X76" s="1637"/>
      <c r="Y76" s="1637"/>
      <c r="Z76" s="1637"/>
      <c r="AA76" s="1637"/>
      <c r="AB76" s="1637"/>
      <c r="AC76" s="1637"/>
    </row>
    <row r="77" spans="1:29" s="1131" customFormat="1" ht="15.75" thickTop="1">
      <c r="A77" s="627"/>
      <c r="B77" s="613">
        <f>B25</f>
        <v>111</v>
      </c>
      <c r="C77" s="628"/>
      <c r="D77" s="628"/>
      <c r="E77" s="628"/>
      <c r="F77" s="628"/>
      <c r="G77" s="628"/>
      <c r="H77" s="629"/>
      <c r="I77" s="629"/>
      <c r="J77" s="629"/>
      <c r="K77" s="629"/>
      <c r="L77" s="630"/>
      <c r="M77" s="631"/>
      <c r="N77" s="1766"/>
      <c r="O77" s="1766"/>
      <c r="P77" s="1766"/>
      <c r="Q77" s="1767"/>
      <c r="R77" s="1768"/>
      <c r="S77" s="1768"/>
      <c r="T77" s="1768"/>
      <c r="U77" s="1768"/>
      <c r="V77" s="1768"/>
      <c r="W77" s="1768"/>
      <c r="X77" s="1768"/>
      <c r="Y77" s="1768"/>
      <c r="Z77" s="1768"/>
      <c r="AA77" s="1768"/>
      <c r="AB77" s="1768"/>
      <c r="AC77" s="1768"/>
    </row>
    <row r="78" spans="1:29" s="1131" customFormat="1" ht="15.75" thickBot="1">
      <c r="A78" s="627"/>
      <c r="B78" s="618"/>
      <c r="C78" s="632"/>
      <c r="D78" s="632"/>
      <c r="E78" s="632"/>
      <c r="F78" s="632"/>
      <c r="G78" s="611"/>
      <c r="H78" s="611"/>
      <c r="I78" s="611"/>
      <c r="J78" s="611"/>
      <c r="K78" s="611"/>
      <c r="L78" s="611"/>
      <c r="M78" s="612"/>
      <c r="N78" s="1766"/>
      <c r="O78" s="1766"/>
      <c r="P78" s="1766"/>
      <c r="Q78" s="1767"/>
      <c r="R78" s="1768"/>
      <c r="S78" s="1768"/>
      <c r="T78" s="1768"/>
      <c r="U78" s="1768"/>
      <c r="V78" s="1768"/>
      <c r="W78" s="1768"/>
      <c r="X78" s="1768"/>
      <c r="Y78" s="1768"/>
      <c r="Z78" s="1768"/>
      <c r="AA78" s="1768"/>
      <c r="AB78" s="1768"/>
      <c r="AC78" s="1768"/>
    </row>
    <row r="79" spans="1:29" ht="27.75" thickTop="1">
      <c r="A79" s="605" t="s">
        <v>500</v>
      </c>
      <c r="B79" s="606" t="s">
        <v>754</v>
      </c>
      <c r="C79" s="643" t="str">
        <f>C26</f>
        <v>住宅</v>
      </c>
      <c r="D79" s="545"/>
      <c r="E79" s="545"/>
      <c r="F79" s="545"/>
      <c r="G79" s="545"/>
      <c r="H79" s="545"/>
      <c r="I79" s="545"/>
      <c r="J79" s="545"/>
      <c r="K79" s="607"/>
      <c r="L79" s="608"/>
      <c r="M79" s="609"/>
      <c r="N79" s="1764"/>
      <c r="O79" s="1764"/>
      <c r="P79" s="1763"/>
      <c r="Q79" s="1760"/>
      <c r="R79" s="1739"/>
      <c r="S79" s="1739"/>
      <c r="T79" s="1739"/>
      <c r="U79" s="1739"/>
      <c r="V79" s="1739"/>
      <c r="W79" s="1739"/>
      <c r="X79" s="1739"/>
      <c r="Y79" s="1739"/>
      <c r="Z79" s="1739"/>
      <c r="AA79" s="1739"/>
      <c r="AB79" s="1739"/>
      <c r="AC79" s="1739"/>
    </row>
    <row r="80" spans="1:29" ht="15.75" thickBot="1">
      <c r="A80" s="480"/>
      <c r="B80" s="618"/>
      <c r="C80" s="619">
        <v>100</v>
      </c>
      <c r="D80" s="619">
        <f t="shared" ref="D80:M80" si="14">C80-$K26</f>
        <v>95</v>
      </c>
      <c r="E80" s="619">
        <f t="shared" si="14"/>
        <v>90</v>
      </c>
      <c r="F80" s="619">
        <f t="shared" si="14"/>
        <v>85</v>
      </c>
      <c r="G80" s="619">
        <f t="shared" si="14"/>
        <v>80</v>
      </c>
      <c r="H80" s="619">
        <f t="shared" si="14"/>
        <v>75</v>
      </c>
      <c r="I80" s="619">
        <f t="shared" si="14"/>
        <v>70</v>
      </c>
      <c r="J80" s="619">
        <f t="shared" si="14"/>
        <v>65</v>
      </c>
      <c r="K80" s="619">
        <f t="shared" si="14"/>
        <v>60</v>
      </c>
      <c r="L80" s="619">
        <f t="shared" si="14"/>
        <v>55</v>
      </c>
      <c r="M80" s="620">
        <f t="shared" si="14"/>
        <v>50</v>
      </c>
      <c r="N80" s="1765"/>
      <c r="O80" s="1765"/>
      <c r="P80" s="1763"/>
      <c r="Q80" s="1760"/>
      <c r="R80" s="1739"/>
      <c r="S80" s="1739"/>
      <c r="T80" s="1739"/>
      <c r="U80" s="1739"/>
      <c r="V80" s="1739"/>
      <c r="W80" s="1739"/>
      <c r="X80" s="1739"/>
      <c r="Y80" s="1739"/>
      <c r="Z80" s="1739"/>
      <c r="AA80" s="1739"/>
      <c r="AB80" s="1739"/>
      <c r="AC80" s="1739"/>
    </row>
    <row r="81" spans="1:29" ht="15.75" thickTop="1">
      <c r="A81" s="480"/>
      <c r="B81" s="613" t="s">
        <v>755</v>
      </c>
      <c r="C81" s="854"/>
      <c r="D81" s="854"/>
      <c r="E81" s="854"/>
      <c r="F81" s="854"/>
      <c r="G81" s="854"/>
      <c r="H81" s="854"/>
      <c r="I81" s="854"/>
      <c r="J81" s="854"/>
      <c r="K81" s="855"/>
      <c r="L81" s="856"/>
      <c r="M81" s="857"/>
      <c r="N81" s="1763"/>
      <c r="O81" s="1763"/>
      <c r="P81" s="1763"/>
      <c r="Q81" s="1760"/>
      <c r="R81" s="1739"/>
      <c r="S81" s="1739"/>
      <c r="T81" s="1739"/>
      <c r="U81" s="1739"/>
      <c r="V81" s="1739"/>
      <c r="W81" s="1739"/>
      <c r="X81" s="1739"/>
      <c r="Y81" s="1739"/>
      <c r="Z81" s="1739"/>
      <c r="AA81" s="1739"/>
      <c r="AB81" s="1739"/>
      <c r="AC81" s="1739"/>
    </row>
    <row r="82" spans="1:29" s="1131" customFormat="1" ht="15.75" thickBot="1">
      <c r="A82" s="627"/>
      <c r="B82" s="618"/>
      <c r="C82" s="632"/>
      <c r="D82" s="611"/>
      <c r="E82" s="611"/>
      <c r="F82" s="611"/>
      <c r="G82" s="611"/>
      <c r="H82" s="611"/>
      <c r="I82" s="611"/>
      <c r="J82" s="611"/>
      <c r="K82" s="611"/>
      <c r="L82" s="611"/>
      <c r="M82" s="612"/>
      <c r="N82" s="1765"/>
      <c r="O82" s="1765"/>
      <c r="P82" s="1766"/>
      <c r="Q82" s="1767"/>
      <c r="R82" s="1768"/>
      <c r="S82" s="1768"/>
      <c r="T82" s="1768"/>
      <c r="U82" s="1768"/>
      <c r="V82" s="1768"/>
      <c r="W82" s="1768"/>
      <c r="X82" s="1768"/>
      <c r="Y82" s="1768"/>
      <c r="Z82" s="1768"/>
      <c r="AA82" s="1768"/>
      <c r="AB82" s="1768"/>
      <c r="AC82" s="1768"/>
    </row>
    <row r="83" spans="1:29" ht="15" thickTop="1">
      <c r="A83" s="541"/>
      <c r="B83" s="613" t="s">
        <v>691</v>
      </c>
      <c r="C83" s="3393" t="s">
        <v>4091</v>
      </c>
      <c r="D83" s="628"/>
      <c r="E83" s="656"/>
      <c r="F83" s="656"/>
      <c r="G83" s="656"/>
      <c r="H83" s="656"/>
      <c r="I83" s="656"/>
      <c r="J83" s="656"/>
      <c r="K83" s="657"/>
      <c r="L83" s="658"/>
      <c r="M83" s="659"/>
      <c r="N83" s="1764"/>
      <c r="O83" s="1764"/>
      <c r="P83" s="1763"/>
      <c r="Q83" s="1760"/>
      <c r="R83" s="1739"/>
      <c r="S83" s="1739"/>
      <c r="T83" s="1739"/>
      <c r="U83" s="1739"/>
      <c r="V83" s="1739"/>
      <c r="W83" s="1739"/>
      <c r="X83" s="1739"/>
      <c r="Y83" s="1739"/>
      <c r="Z83" s="1739"/>
      <c r="AA83" s="1739"/>
      <c r="AB83" s="1739"/>
      <c r="AC83" s="1739"/>
    </row>
    <row r="84" spans="1:29" ht="15.75" thickBot="1">
      <c r="A84" s="480"/>
      <c r="B84" s="618"/>
      <c r="C84" s="619">
        <v>100</v>
      </c>
      <c r="D84" s="619">
        <f t="shared" ref="D84:M84" si="15">C84-$K28</f>
        <v>99</v>
      </c>
      <c r="E84" s="619">
        <f t="shared" si="15"/>
        <v>98</v>
      </c>
      <c r="F84" s="619">
        <f t="shared" si="15"/>
        <v>97</v>
      </c>
      <c r="G84" s="619">
        <f t="shared" si="15"/>
        <v>96</v>
      </c>
      <c r="H84" s="619">
        <f t="shared" si="15"/>
        <v>95</v>
      </c>
      <c r="I84" s="619">
        <f t="shared" si="15"/>
        <v>94</v>
      </c>
      <c r="J84" s="619">
        <f t="shared" si="15"/>
        <v>93</v>
      </c>
      <c r="K84" s="619">
        <f t="shared" si="15"/>
        <v>92</v>
      </c>
      <c r="L84" s="619">
        <f t="shared" si="15"/>
        <v>91</v>
      </c>
      <c r="M84" s="620">
        <f t="shared" si="15"/>
        <v>90</v>
      </c>
      <c r="N84" s="1765"/>
      <c r="O84" s="1765"/>
      <c r="P84" s="1763"/>
      <c r="Q84" s="1760"/>
      <c r="R84" s="1739"/>
      <c r="S84" s="1739"/>
      <c r="T84" s="1739"/>
      <c r="U84" s="1739"/>
      <c r="V84" s="1739"/>
      <c r="W84" s="1739"/>
      <c r="X84" s="1739"/>
      <c r="Y84" s="1739"/>
      <c r="Z84" s="1739"/>
      <c r="AA84" s="1739"/>
      <c r="AB84" s="1739"/>
      <c r="AC84" s="1739"/>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4"/>
      <c r="O85" s="1764"/>
      <c r="P85" s="1763"/>
      <c r="Q85" s="1760"/>
      <c r="R85" s="1739"/>
      <c r="S85" s="1739"/>
      <c r="T85" s="1739"/>
      <c r="U85" s="1739"/>
      <c r="V85" s="1739"/>
      <c r="W85" s="1739"/>
      <c r="X85" s="1739"/>
      <c r="Y85" s="1739"/>
      <c r="Z85" s="1739"/>
      <c r="AA85" s="1739"/>
      <c r="AB85" s="1739"/>
      <c r="AC85" s="1739"/>
    </row>
    <row r="86" spans="1:29">
      <c r="A86" s="541"/>
      <c r="B86" s="621"/>
      <c r="C86" s="815">
        <v>0.5</v>
      </c>
      <c r="D86" s="815">
        <v>0.6</v>
      </c>
      <c r="E86" s="815">
        <v>0.7</v>
      </c>
      <c r="F86" s="815">
        <v>0.8</v>
      </c>
      <c r="G86" s="815">
        <v>0.9</v>
      </c>
      <c r="H86" s="815">
        <v>1.0001</v>
      </c>
      <c r="I86" s="825"/>
      <c r="J86" s="825"/>
      <c r="K86" s="826"/>
      <c r="L86" s="827"/>
      <c r="M86" s="828"/>
      <c r="N86" s="1764"/>
      <c r="O86" s="1764"/>
      <c r="P86" s="1763"/>
      <c r="Q86" s="1760"/>
      <c r="R86" s="1739"/>
      <c r="S86" s="1739"/>
      <c r="T86" s="1739"/>
      <c r="U86" s="1739"/>
      <c r="V86" s="1739"/>
      <c r="W86" s="1739"/>
      <c r="X86" s="1739"/>
      <c r="Y86" s="1739"/>
      <c r="Z86" s="1739"/>
      <c r="AA86" s="1739"/>
      <c r="AB86" s="1739"/>
      <c r="AC86" s="1739"/>
    </row>
    <row r="87" spans="1:29" ht="15.75" thickBot="1">
      <c r="A87" s="480"/>
      <c r="B87" s="618"/>
      <c r="C87" s="650">
        <v>100</v>
      </c>
      <c r="D87" s="619">
        <f>C87+$K$29</f>
        <v>101</v>
      </c>
      <c r="E87" s="619">
        <f t="shared" ref="E87:M87" si="16">D87+$K$29</f>
        <v>102</v>
      </c>
      <c r="F87" s="619">
        <f t="shared" si="16"/>
        <v>103</v>
      </c>
      <c r="G87" s="619">
        <f t="shared" si="16"/>
        <v>104</v>
      </c>
      <c r="H87" s="619">
        <f t="shared" si="16"/>
        <v>105</v>
      </c>
      <c r="I87" s="619">
        <f t="shared" si="16"/>
        <v>106</v>
      </c>
      <c r="J87" s="619">
        <f t="shared" si="16"/>
        <v>107</v>
      </c>
      <c r="K87" s="619">
        <f t="shared" si="16"/>
        <v>108</v>
      </c>
      <c r="L87" s="619">
        <f t="shared" si="16"/>
        <v>109</v>
      </c>
      <c r="M87" s="619">
        <f t="shared" si="16"/>
        <v>110</v>
      </c>
      <c r="N87" s="1765"/>
      <c r="O87" s="1765"/>
      <c r="P87" s="1763"/>
      <c r="Q87" s="1760"/>
      <c r="R87" s="1739"/>
      <c r="S87" s="1739"/>
      <c r="T87" s="1739"/>
      <c r="U87" s="1739"/>
      <c r="V87" s="1739"/>
      <c r="W87" s="1739"/>
      <c r="X87" s="1739"/>
      <c r="Y87" s="1739"/>
      <c r="Z87" s="1739"/>
      <c r="AA87" s="1739"/>
      <c r="AB87" s="1739"/>
      <c r="AC87" s="1739"/>
    </row>
    <row r="88" spans="1:29" ht="15" thickTop="1">
      <c r="A88" s="541"/>
      <c r="B88" s="621" t="s">
        <v>757</v>
      </c>
      <c r="C88" s="3391" t="s">
        <v>4092</v>
      </c>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5.75" thickBot="1">
      <c r="A89" s="480"/>
      <c r="B89" s="618"/>
      <c r="C89" s="650">
        <v>100</v>
      </c>
      <c r="D89" s="619">
        <f t="shared" ref="D89:M89" si="17">C89+$K30</f>
        <v>101</v>
      </c>
      <c r="E89" s="619">
        <f t="shared" si="17"/>
        <v>102</v>
      </c>
      <c r="F89" s="619">
        <f t="shared" si="17"/>
        <v>103</v>
      </c>
      <c r="G89" s="619">
        <f t="shared" si="17"/>
        <v>104</v>
      </c>
      <c r="H89" s="619">
        <f t="shared" si="17"/>
        <v>105</v>
      </c>
      <c r="I89" s="619">
        <f t="shared" si="17"/>
        <v>106</v>
      </c>
      <c r="J89" s="619">
        <f t="shared" si="17"/>
        <v>107</v>
      </c>
      <c r="K89" s="619">
        <f t="shared" si="17"/>
        <v>108</v>
      </c>
      <c r="L89" s="619">
        <f t="shared" si="17"/>
        <v>109</v>
      </c>
      <c r="M89" s="619">
        <f t="shared" si="17"/>
        <v>110</v>
      </c>
      <c r="N89" s="1765"/>
      <c r="O89" s="1765"/>
      <c r="P89" s="1763"/>
      <c r="Q89" s="1760"/>
      <c r="R89" s="1739"/>
      <c r="S89" s="1739"/>
      <c r="T89" s="1739"/>
      <c r="U89" s="1739"/>
      <c r="V89" s="1739"/>
      <c r="W89" s="1739"/>
      <c r="X89" s="1739"/>
      <c r="Y89" s="1739"/>
      <c r="Z89" s="1739"/>
      <c r="AA89" s="1739"/>
      <c r="AB89" s="1739"/>
      <c r="AC89" s="1739"/>
    </row>
    <row r="90" spans="1:29" s="1131" customFormat="1" ht="15" thickTop="1">
      <c r="A90" s="550"/>
      <c r="B90" s="613" t="s">
        <v>758</v>
      </c>
      <c r="C90" s="647" t="str">
        <f>C91&amp;"(含)"&amp;"-"&amp;D91</f>
        <v>0(含)-50</v>
      </c>
      <c r="D90" s="647" t="str">
        <f t="shared" ref="D90:L90" si="18">D91&amp;"(含)"&amp;"-"&amp;E91</f>
        <v>50(含)-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6"/>
      <c r="O90" s="1766"/>
      <c r="P90" s="1766"/>
      <c r="Q90" s="1767"/>
      <c r="R90" s="1768"/>
      <c r="S90" s="1768"/>
      <c r="T90" s="1768"/>
      <c r="U90" s="1768"/>
      <c r="V90" s="1768"/>
      <c r="W90" s="1768"/>
      <c r="X90" s="1768"/>
      <c r="Y90" s="1768"/>
      <c r="Z90" s="1768"/>
      <c r="AA90" s="1768"/>
      <c r="AB90" s="1768"/>
      <c r="AC90" s="1768"/>
    </row>
    <row r="91" spans="1:29" s="1131" customFormat="1">
      <c r="A91" s="550"/>
      <c r="B91" s="621"/>
      <c r="C91" s="79">
        <v>0</v>
      </c>
      <c r="D91" s="79">
        <v>50</v>
      </c>
      <c r="E91" s="79"/>
      <c r="F91" s="79"/>
      <c r="G91" s="79"/>
      <c r="H91" s="79"/>
      <c r="I91" s="79"/>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1" customFormat="1" ht="15.75" thickBot="1">
      <c r="A92" s="627"/>
      <c r="B92" s="618"/>
      <c r="C92" s="632">
        <v>100</v>
      </c>
      <c r="D92" s="611"/>
      <c r="E92" s="611"/>
      <c r="F92" s="611"/>
      <c r="G92" s="611"/>
      <c r="H92" s="611"/>
      <c r="I92" s="611"/>
      <c r="J92" s="611"/>
      <c r="K92" s="611"/>
      <c r="L92" s="611"/>
      <c r="M92" s="612"/>
      <c r="N92" s="1766"/>
      <c r="O92" s="1766"/>
      <c r="P92" s="1766"/>
      <c r="Q92" s="1767"/>
      <c r="R92" s="1768"/>
      <c r="S92" s="1768"/>
      <c r="T92" s="1768"/>
      <c r="U92" s="1768"/>
      <c r="V92" s="1768"/>
      <c r="W92" s="1768"/>
      <c r="X92" s="1768"/>
      <c r="Y92" s="1768"/>
      <c r="Z92" s="1768"/>
      <c r="AA92" s="1768"/>
      <c r="AB92" s="1768"/>
      <c r="AC92" s="1768"/>
    </row>
    <row r="93" spans="1:29" ht="15" thickTop="1">
      <c r="A93" s="541"/>
      <c r="B93" s="613" t="s">
        <v>759</v>
      </c>
      <c r="C93" s="3393" t="s">
        <v>4093</v>
      </c>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 t="shared" ref="D94:M94" si="19">C94-$K32</f>
        <v>99</v>
      </c>
      <c r="E94" s="619">
        <f t="shared" si="19"/>
        <v>98</v>
      </c>
      <c r="F94" s="619">
        <f t="shared" si="19"/>
        <v>97</v>
      </c>
      <c r="G94" s="619">
        <f t="shared" si="19"/>
        <v>96</v>
      </c>
      <c r="H94" s="619">
        <f t="shared" si="19"/>
        <v>95</v>
      </c>
      <c r="I94" s="619">
        <f t="shared" si="19"/>
        <v>94</v>
      </c>
      <c r="J94" s="619">
        <f t="shared" si="19"/>
        <v>93</v>
      </c>
      <c r="K94" s="619">
        <f t="shared" si="19"/>
        <v>92</v>
      </c>
      <c r="L94" s="619">
        <f t="shared" si="19"/>
        <v>91</v>
      </c>
      <c r="M94" s="620">
        <f t="shared" si="19"/>
        <v>90</v>
      </c>
      <c r="N94" s="1765"/>
      <c r="O94" s="1765"/>
      <c r="P94" s="1763"/>
      <c r="Q94" s="1760"/>
      <c r="R94" s="1739"/>
      <c r="S94" s="1739"/>
      <c r="T94" s="1739"/>
      <c r="U94" s="1739"/>
      <c r="V94" s="1739"/>
      <c r="W94" s="1739"/>
      <c r="X94" s="1739"/>
      <c r="Y94" s="1739"/>
      <c r="Z94" s="1739"/>
      <c r="AA94" s="1739"/>
      <c r="AB94" s="1739"/>
      <c r="AC94" s="1739"/>
    </row>
    <row r="95" spans="1:29" ht="15" thickTop="1">
      <c r="A95" s="541"/>
      <c r="B95" s="613" t="s">
        <v>760</v>
      </c>
      <c r="C95" s="3391" t="s">
        <v>4094</v>
      </c>
      <c r="D95" s="545"/>
      <c r="E95" s="545"/>
      <c r="F95" s="545"/>
      <c r="G95" s="545"/>
      <c r="H95" s="545"/>
      <c r="I95" s="545"/>
      <c r="J95" s="545"/>
      <c r="K95" s="607"/>
      <c r="L95" s="608"/>
      <c r="M95" s="609"/>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C96-$K33</f>
        <v>99</v>
      </c>
      <c r="E96" s="619">
        <f>D96-$K33</f>
        <v>98</v>
      </c>
      <c r="F96" s="619">
        <f>E96-$K33</f>
        <v>97</v>
      </c>
      <c r="G96" s="619">
        <f>F96-$K33</f>
        <v>96</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ht="15" thickTop="1">
      <c r="A97" s="541"/>
      <c r="B97" s="836">
        <f>B34</f>
        <v>111</v>
      </c>
      <c r="C97" s="489"/>
      <c r="D97" s="489"/>
      <c r="E97" s="489"/>
      <c r="F97" s="489"/>
      <c r="G97" s="628"/>
      <c r="H97" s="629"/>
      <c r="I97" s="629"/>
      <c r="J97" s="629"/>
      <c r="K97" s="629"/>
      <c r="L97" s="630"/>
      <c r="M97" s="631"/>
      <c r="N97" s="1765"/>
      <c r="O97" s="1765"/>
      <c r="P97" s="1765"/>
      <c r="Q97" s="1800"/>
      <c r="R97" s="1739"/>
      <c r="S97" s="1739"/>
      <c r="T97" s="1739"/>
      <c r="U97" s="1739"/>
      <c r="V97" s="1739"/>
      <c r="W97" s="1739"/>
      <c r="X97" s="1739"/>
      <c r="Y97" s="1739"/>
      <c r="Z97" s="1739"/>
      <c r="AA97" s="1739"/>
      <c r="AB97" s="1739"/>
      <c r="AC97" s="1739"/>
    </row>
    <row r="98" spans="1:29" ht="15.75" thickBot="1">
      <c r="A98" s="480"/>
      <c r="B98" s="618"/>
      <c r="C98" s="632"/>
      <c r="D98" s="611"/>
      <c r="E98" s="611"/>
      <c r="F98" s="611"/>
      <c r="G98" s="632"/>
      <c r="H98" s="633"/>
      <c r="I98" s="633"/>
      <c r="J98" s="633"/>
      <c r="K98" s="633"/>
      <c r="L98" s="633"/>
      <c r="M98" s="634"/>
      <c r="N98" s="1765"/>
      <c r="O98" s="1765"/>
      <c r="P98" s="1763"/>
      <c r="Q98" s="1760"/>
      <c r="R98" s="1739"/>
      <c r="S98" s="1739"/>
      <c r="T98" s="1739"/>
      <c r="U98" s="1739"/>
      <c r="V98" s="1739"/>
      <c r="W98" s="1739"/>
      <c r="X98" s="1739"/>
      <c r="Y98" s="1739"/>
      <c r="Z98" s="1739"/>
      <c r="AA98" s="1739"/>
      <c r="AB98" s="1739"/>
      <c r="AC98" s="1739"/>
    </row>
    <row r="99" spans="1:29" s="1131" customFormat="1" ht="15" thickTop="1">
      <c r="A99" s="550"/>
      <c r="B99" s="613">
        <f>B35</f>
        <v>111</v>
      </c>
      <c r="C99" s="489"/>
      <c r="D99" s="489"/>
      <c r="E99" s="489"/>
      <c r="F99" s="489"/>
      <c r="G99" s="628"/>
      <c r="H99" s="629"/>
      <c r="I99" s="629"/>
      <c r="J99" s="629"/>
      <c r="K99" s="629"/>
      <c r="L99" s="630"/>
      <c r="M99" s="631"/>
      <c r="N99" s="1766"/>
      <c r="O99" s="1766"/>
      <c r="P99" s="1766"/>
      <c r="Q99" s="1767"/>
      <c r="R99" s="1768"/>
      <c r="S99" s="1768"/>
      <c r="T99" s="1768"/>
      <c r="U99" s="1768"/>
      <c r="V99" s="1768"/>
      <c r="W99" s="1768"/>
      <c r="X99" s="1768"/>
      <c r="Y99" s="1768"/>
      <c r="Z99" s="1768"/>
      <c r="AA99" s="1768"/>
      <c r="AB99" s="1768"/>
      <c r="AC99" s="1768"/>
    </row>
    <row r="100" spans="1:29" s="1131" customFormat="1" ht="15.75" thickBot="1">
      <c r="A100" s="627"/>
      <c r="B100" s="610"/>
      <c r="C100" s="632"/>
      <c r="D100" s="611"/>
      <c r="E100" s="611"/>
      <c r="F100" s="611"/>
      <c r="G100" s="632"/>
      <c r="H100" s="633"/>
      <c r="I100" s="633"/>
      <c r="J100" s="633"/>
      <c r="K100" s="633"/>
      <c r="L100" s="633"/>
      <c r="M100" s="634"/>
      <c r="N100" s="1766"/>
      <c r="O100" s="1766"/>
      <c r="P100" s="1766"/>
      <c r="Q100" s="1767"/>
      <c r="R100" s="1768"/>
      <c r="S100" s="1768"/>
      <c r="T100" s="1768"/>
      <c r="U100" s="1768"/>
      <c r="V100" s="1768"/>
      <c r="W100" s="1768"/>
      <c r="X100" s="1768"/>
      <c r="Y100" s="1768"/>
      <c r="Z100" s="1768"/>
      <c r="AA100" s="1768"/>
      <c r="AB100" s="1768"/>
      <c r="AC100" s="1768"/>
    </row>
    <row r="101" spans="1:29" ht="15" thickTop="1">
      <c r="A101" s="541"/>
      <c r="B101" s="613">
        <f>B36</f>
        <v>111</v>
      </c>
      <c r="C101" s="628"/>
      <c r="D101" s="628"/>
      <c r="E101" s="628"/>
      <c r="F101" s="628"/>
      <c r="G101" s="628"/>
      <c r="H101" s="629"/>
      <c r="I101" s="629"/>
      <c r="J101" s="629"/>
      <c r="K101" s="629"/>
      <c r="L101" s="630"/>
      <c r="M101" s="631"/>
      <c r="N101" s="1764"/>
      <c r="O101" s="1764"/>
      <c r="P101" s="1763"/>
      <c r="Q101" s="1760"/>
      <c r="R101" s="1739"/>
      <c r="S101" s="1739"/>
      <c r="T101" s="1739"/>
      <c r="U101" s="1739"/>
      <c r="V101" s="1739"/>
      <c r="W101" s="1739"/>
      <c r="X101" s="1739"/>
      <c r="Y101" s="1739"/>
      <c r="Z101" s="1739"/>
      <c r="AA101" s="1739"/>
      <c r="AB101" s="1739"/>
      <c r="AC101" s="1739"/>
    </row>
    <row r="102" spans="1:29" ht="15.75" thickBot="1">
      <c r="A102" s="480"/>
      <c r="B102" s="618"/>
      <c r="C102" s="632"/>
      <c r="D102" s="632"/>
      <c r="E102" s="632"/>
      <c r="F102" s="632"/>
      <c r="G102" s="632"/>
      <c r="H102" s="633"/>
      <c r="I102" s="633"/>
      <c r="J102" s="633"/>
      <c r="K102" s="633"/>
      <c r="L102" s="633"/>
      <c r="M102" s="634"/>
      <c r="N102" s="1765"/>
      <c r="O102" s="1765"/>
      <c r="P102" s="1763"/>
      <c r="Q102" s="1760"/>
      <c r="R102" s="1739"/>
      <c r="S102" s="1739"/>
      <c r="T102" s="1739"/>
      <c r="U102" s="1739"/>
      <c r="V102" s="1739"/>
      <c r="W102" s="1739"/>
      <c r="X102" s="1739"/>
      <c r="Y102" s="1739"/>
      <c r="Z102" s="1739"/>
      <c r="AA102" s="1739"/>
      <c r="AB102" s="1739"/>
      <c r="AC102" s="1739"/>
    </row>
    <row r="103" spans="1:29" ht="1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15" priority="13" stopIfTrue="1">
      <formula>$F$42="超过30%"</formula>
    </cfRule>
  </conditionalFormatting>
  <conditionalFormatting sqref="E43">
    <cfRule type="expression" dxfId="114" priority="11" stopIfTrue="1">
      <formula>$F$43="超过20%"</formula>
    </cfRule>
  </conditionalFormatting>
  <conditionalFormatting sqref="E44">
    <cfRule type="expression" dxfId="113" priority="10" stopIfTrue="1">
      <formula>$F$44="超过30%"</formula>
    </cfRule>
  </conditionalFormatting>
  <conditionalFormatting sqref="F7:F36 H7:H36 J7:J36">
    <cfRule type="cellIs" dxfId="112" priority="1" operator="notEqual">
      <formula>100</formula>
    </cfRule>
  </conditionalFormatting>
  <conditionalFormatting sqref="F38">
    <cfRule type="expression" dxfId="111" priority="4">
      <formula>$D$38="简单平均"</formula>
    </cfRule>
  </conditionalFormatting>
  <conditionalFormatting sqref="F42:F44 H42:H44 J42:J44">
    <cfRule type="containsText" dxfId="110" priority="14" stopIfTrue="1" operator="containsText" text="超过">
      <formula>NOT(ISERROR(SEARCH("超过",F42)))</formula>
    </cfRule>
  </conditionalFormatting>
  <conditionalFormatting sqref="G42">
    <cfRule type="expression" dxfId="109" priority="9" stopIfTrue="1">
      <formula>$H$52+$H$42="超过30%"</formula>
    </cfRule>
  </conditionalFormatting>
  <conditionalFormatting sqref="G43">
    <cfRule type="expression" dxfId="108" priority="8" stopIfTrue="1">
      <formula>$H$43="超过20%"</formula>
    </cfRule>
  </conditionalFormatting>
  <conditionalFormatting sqref="G44">
    <cfRule type="expression" dxfId="107" priority="12" stopIfTrue="1">
      <formula>$H$54+$H$44="超过30%"</formula>
    </cfRule>
  </conditionalFormatting>
  <conditionalFormatting sqref="H38">
    <cfRule type="expression" dxfId="106" priority="3">
      <formula>$D$38="简单平均"</formula>
    </cfRule>
  </conditionalFormatting>
  <conditionalFormatting sqref="I42">
    <cfRule type="expression" dxfId="105" priority="7" stopIfTrue="1">
      <formula>$J$52+$J$42="超过30%"</formula>
    </cfRule>
  </conditionalFormatting>
  <conditionalFormatting sqref="I43">
    <cfRule type="expression" dxfId="104" priority="6" stopIfTrue="1">
      <formula>$J$53+$J$43="超过20%"</formula>
    </cfRule>
  </conditionalFormatting>
  <conditionalFormatting sqref="I44">
    <cfRule type="expression" dxfId="103" priority="5" stopIfTrue="1">
      <formula>$J$44="超过30%"</formula>
    </cfRule>
  </conditionalFormatting>
  <conditionalFormatting sqref="J38">
    <cfRule type="expression" dxfId="10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pane ySplit="2" topLeftCell="A3" activePane="bottomLeft" state="frozen"/>
      <selection pane="bottomLeft" activeCell="A18" sqref="A18"/>
    </sheetView>
  </sheetViews>
  <sheetFormatPr defaultRowHeight="13.5"/>
  <cols>
    <col min="1" max="1" width="20" style="1487" customWidth="1"/>
    <col min="2" max="2" width="8.875" style="1487" customWidth="1"/>
    <col min="3" max="3" width="11.75" style="1487" customWidth="1"/>
    <col min="4" max="4" width="10" style="1487" customWidth="1"/>
    <col min="5" max="5" width="13.875" style="1487" customWidth="1"/>
    <col min="6" max="6" width="10.25" style="1487" customWidth="1"/>
    <col min="7" max="7" width="15" style="1487" customWidth="1"/>
    <col min="8" max="8" width="14.375" style="1487" customWidth="1"/>
    <col min="9" max="9" width="18.5" style="1487" customWidth="1"/>
    <col min="10" max="190" width="20" style="1487" customWidth="1"/>
    <col min="191" max="16384" width="9" style="1487"/>
  </cols>
  <sheetData>
    <row r="1" spans="1:11">
      <c r="A1" s="3700" t="s">
        <v>4148</v>
      </c>
      <c r="B1" s="3700"/>
      <c r="C1" s="3700"/>
      <c r="D1" s="3700"/>
      <c r="E1" s="3700"/>
      <c r="F1" s="3700"/>
      <c r="G1" s="3700"/>
      <c r="H1" s="3700"/>
      <c r="I1" s="3700"/>
      <c r="J1" s="3700"/>
      <c r="K1" s="3700"/>
    </row>
    <row r="2" spans="1:11">
      <c r="A2" s="1487" t="s">
        <v>3418</v>
      </c>
      <c r="B2" s="1487" t="s">
        <v>3363</v>
      </c>
      <c r="C2" s="1487" t="s">
        <v>3364</v>
      </c>
      <c r="D2" s="1487" t="s">
        <v>4149</v>
      </c>
      <c r="E2" s="1487" t="s">
        <v>4150</v>
      </c>
      <c r="F2" s="1487" t="s">
        <v>4151</v>
      </c>
      <c r="G2" s="1487" t="s">
        <v>4152</v>
      </c>
      <c r="H2" s="1487" t="s">
        <v>4153</v>
      </c>
      <c r="I2" s="1487" t="s">
        <v>4154</v>
      </c>
      <c r="J2" s="1487" t="s">
        <v>4155</v>
      </c>
      <c r="K2" s="1487" t="s">
        <v>4156</v>
      </c>
    </row>
    <row r="3" spans="1:11">
      <c r="A3" s="1487" t="s">
        <v>4157</v>
      </c>
      <c r="B3" s="1487" t="s">
        <v>3505</v>
      </c>
      <c r="C3" s="1487" t="s">
        <v>3506</v>
      </c>
      <c r="D3" s="1487">
        <v>656</v>
      </c>
      <c r="E3" s="1487">
        <v>74006</v>
      </c>
      <c r="F3" s="1487">
        <v>60065</v>
      </c>
      <c r="G3" s="1487">
        <v>444520.63</v>
      </c>
      <c r="J3" s="1487">
        <v>462</v>
      </c>
      <c r="K3" s="1487">
        <v>56904</v>
      </c>
    </row>
    <row r="4" spans="1:11">
      <c r="A4" s="1487" t="s">
        <v>4158</v>
      </c>
      <c r="B4" s="1487" t="s">
        <v>3505</v>
      </c>
      <c r="C4" s="1487" t="s">
        <v>3506</v>
      </c>
      <c r="D4" s="1487">
        <v>610</v>
      </c>
      <c r="E4" s="1487">
        <v>68921</v>
      </c>
      <c r="F4" s="1487">
        <v>61760</v>
      </c>
      <c r="G4" s="1487">
        <v>425656.28</v>
      </c>
      <c r="H4" s="1487">
        <v>896</v>
      </c>
      <c r="I4" s="1487">
        <v>103799</v>
      </c>
      <c r="J4" s="1487">
        <v>290</v>
      </c>
      <c r="K4" s="1487">
        <v>35318</v>
      </c>
    </row>
    <row r="5" spans="1:11">
      <c r="A5" s="1487" t="s">
        <v>3856</v>
      </c>
      <c r="B5" s="1487" t="s">
        <v>3505</v>
      </c>
      <c r="C5" s="1487" t="s">
        <v>3846</v>
      </c>
      <c r="D5" s="1487">
        <v>606</v>
      </c>
      <c r="E5" s="1487">
        <v>68290</v>
      </c>
      <c r="F5" s="1487">
        <v>52336</v>
      </c>
      <c r="G5" s="1487">
        <v>357405.37</v>
      </c>
      <c r="H5" s="1487">
        <v>666</v>
      </c>
      <c r="I5" s="1487">
        <v>73738</v>
      </c>
      <c r="J5" s="1487">
        <v>214</v>
      </c>
      <c r="K5" s="1487">
        <v>27178</v>
      </c>
    </row>
    <row r="6" spans="1:11">
      <c r="A6" s="1487" t="s">
        <v>4159</v>
      </c>
      <c r="B6" s="1487" t="s">
        <v>3505</v>
      </c>
      <c r="C6" s="1487" t="s">
        <v>3846</v>
      </c>
      <c r="D6" s="1487">
        <v>604</v>
      </c>
      <c r="E6" s="1487">
        <v>58566</v>
      </c>
      <c r="F6" s="1487">
        <v>48074</v>
      </c>
      <c r="G6" s="1487">
        <v>281549.40999999997</v>
      </c>
      <c r="J6" s="1487">
        <v>74</v>
      </c>
      <c r="K6" s="1487">
        <v>9005</v>
      </c>
    </row>
    <row r="7" spans="1:11">
      <c r="A7" s="1487" t="s">
        <v>4160</v>
      </c>
      <c r="B7" s="1487" t="s">
        <v>3505</v>
      </c>
      <c r="C7" s="1487" t="s">
        <v>3931</v>
      </c>
      <c r="D7" s="1487">
        <v>252</v>
      </c>
      <c r="E7" s="1487">
        <v>42884</v>
      </c>
      <c r="F7" s="1487">
        <v>77496</v>
      </c>
      <c r="G7" s="1487">
        <v>332334.05</v>
      </c>
      <c r="J7" s="1487">
        <v>426</v>
      </c>
      <c r="K7" s="1487">
        <v>82800</v>
      </c>
    </row>
    <row r="8" spans="1:11">
      <c r="A8" s="1487" t="s">
        <v>4161</v>
      </c>
      <c r="B8" s="1487" t="s">
        <v>3505</v>
      </c>
      <c r="C8" s="1487" t="s">
        <v>3555</v>
      </c>
      <c r="D8" s="1487">
        <v>184</v>
      </c>
      <c r="E8" s="1487">
        <v>15717</v>
      </c>
      <c r="F8" s="1487">
        <v>48055</v>
      </c>
      <c r="G8" s="1487">
        <v>75527.47</v>
      </c>
      <c r="H8" s="1487">
        <v>264</v>
      </c>
      <c r="I8" s="1487">
        <v>24012</v>
      </c>
      <c r="J8" s="1487">
        <v>1181</v>
      </c>
      <c r="K8" s="1487">
        <v>107577</v>
      </c>
    </row>
    <row r="9" spans="1:11">
      <c r="A9" s="1487" t="s">
        <v>3908</v>
      </c>
      <c r="B9" s="1487" t="s">
        <v>3505</v>
      </c>
      <c r="C9" s="1487" t="s">
        <v>3567</v>
      </c>
      <c r="D9" s="1487">
        <v>180</v>
      </c>
      <c r="E9" s="1487">
        <v>32676</v>
      </c>
      <c r="F9" s="1487">
        <v>44938</v>
      </c>
      <c r="G9" s="1487">
        <v>146837.47</v>
      </c>
      <c r="H9" s="1487">
        <v>242</v>
      </c>
      <c r="I9" s="1487">
        <v>44006</v>
      </c>
      <c r="J9" s="1487">
        <v>73</v>
      </c>
      <c r="K9" s="1487">
        <v>13274</v>
      </c>
    </row>
    <row r="10" spans="1:11">
      <c r="A10" s="1487" t="s">
        <v>4162</v>
      </c>
      <c r="B10" s="1487" t="s">
        <v>3505</v>
      </c>
      <c r="C10" s="1487" t="s">
        <v>3506</v>
      </c>
      <c r="D10" s="1487">
        <v>177</v>
      </c>
      <c r="E10" s="1487">
        <v>19061</v>
      </c>
      <c r="F10" s="1487">
        <v>60964</v>
      </c>
      <c r="G10" s="1487">
        <v>116203.7</v>
      </c>
      <c r="J10" s="1487">
        <v>45</v>
      </c>
      <c r="K10" s="1487">
        <v>5447</v>
      </c>
    </row>
    <row r="11" spans="1:11">
      <c r="A11" s="1487" t="s">
        <v>4163</v>
      </c>
      <c r="B11" s="1487" t="s">
        <v>3505</v>
      </c>
      <c r="C11" s="1487" t="s">
        <v>3555</v>
      </c>
      <c r="D11" s="1487">
        <v>174</v>
      </c>
      <c r="E11" s="1487">
        <v>19236</v>
      </c>
      <c r="F11" s="1487">
        <v>46911</v>
      </c>
      <c r="G11" s="1487">
        <v>90237.75</v>
      </c>
      <c r="J11" s="1487">
        <v>173</v>
      </c>
      <c r="K11" s="1487">
        <v>20713</v>
      </c>
    </row>
    <row r="12" spans="1:11">
      <c r="A12" s="1487" t="s">
        <v>4164</v>
      </c>
      <c r="B12" s="1487" t="s">
        <v>3505</v>
      </c>
      <c r="C12" s="1487" t="s">
        <v>4165</v>
      </c>
      <c r="D12" s="1487">
        <v>153</v>
      </c>
      <c r="E12" s="1487">
        <v>20895</v>
      </c>
      <c r="F12" s="1487">
        <v>54856</v>
      </c>
      <c r="G12" s="1487">
        <v>114620.35</v>
      </c>
      <c r="J12" s="1487">
        <v>36</v>
      </c>
      <c r="K12" s="1487">
        <v>5368</v>
      </c>
    </row>
    <row r="13" spans="1:11">
      <c r="A13" s="1487" t="s">
        <v>4166</v>
      </c>
      <c r="B13" s="1487" t="s">
        <v>3505</v>
      </c>
      <c r="C13" s="1487" t="s">
        <v>4167</v>
      </c>
      <c r="D13" s="1487">
        <v>137</v>
      </c>
      <c r="E13" s="1487">
        <v>18123</v>
      </c>
      <c r="F13" s="1487">
        <v>62003</v>
      </c>
      <c r="G13" s="1487">
        <v>112367.19</v>
      </c>
      <c r="J13" s="1487">
        <v>55</v>
      </c>
      <c r="K13" s="1487">
        <v>7816</v>
      </c>
    </row>
    <row r="14" spans="1:11">
      <c r="A14" s="1487" t="s">
        <v>4168</v>
      </c>
      <c r="B14" s="1487" t="s">
        <v>3505</v>
      </c>
      <c r="C14" s="1487" t="s">
        <v>3753</v>
      </c>
      <c r="D14" s="1487">
        <v>125</v>
      </c>
      <c r="E14" s="1487">
        <v>12555</v>
      </c>
      <c r="F14" s="1487">
        <v>50655</v>
      </c>
      <c r="G14" s="1487">
        <v>63598.29</v>
      </c>
      <c r="J14" s="1487">
        <v>135</v>
      </c>
      <c r="K14" s="1487">
        <v>14166</v>
      </c>
    </row>
    <row r="15" spans="1:11">
      <c r="A15" s="1487" t="s">
        <v>4169</v>
      </c>
      <c r="B15" s="1487" t="s">
        <v>3505</v>
      </c>
      <c r="C15" s="1487" t="s">
        <v>4170</v>
      </c>
      <c r="D15" s="1487">
        <v>121</v>
      </c>
      <c r="E15" s="1487">
        <v>10350</v>
      </c>
      <c r="F15" s="1487">
        <v>33974</v>
      </c>
      <c r="G15" s="1487">
        <v>35161.79</v>
      </c>
      <c r="J15" s="1487">
        <v>447</v>
      </c>
      <c r="K15" s="1487">
        <v>37934</v>
      </c>
    </row>
    <row r="16" spans="1:11">
      <c r="A16" s="1487" t="s">
        <v>4171</v>
      </c>
      <c r="B16" s="1487" t="s">
        <v>3505</v>
      </c>
      <c r="C16" s="1487" t="s">
        <v>3555</v>
      </c>
      <c r="D16" s="1487">
        <v>116</v>
      </c>
      <c r="E16" s="1487">
        <v>12105</v>
      </c>
      <c r="F16" s="1487">
        <v>50523</v>
      </c>
      <c r="G16" s="1487">
        <v>61156.4</v>
      </c>
      <c r="H16" s="1487">
        <v>630</v>
      </c>
      <c r="I16" s="1487">
        <v>71163</v>
      </c>
      <c r="J16" s="1487">
        <v>514</v>
      </c>
      <c r="K16" s="1487">
        <v>59059</v>
      </c>
    </row>
    <row r="17" spans="1:11" s="3429" customFormat="1">
      <c r="A17" s="3430" t="s">
        <v>4265</v>
      </c>
      <c r="B17" s="3429" t="s">
        <v>3505</v>
      </c>
      <c r="C17" s="3429" t="s">
        <v>4170</v>
      </c>
      <c r="D17" s="3429">
        <v>109</v>
      </c>
      <c r="E17" s="3429">
        <v>13241</v>
      </c>
      <c r="F17" s="3429">
        <v>26755</v>
      </c>
      <c r="G17" s="3429">
        <v>35427.26</v>
      </c>
      <c r="J17" s="3429">
        <v>629</v>
      </c>
      <c r="K17" s="3429">
        <v>78201</v>
      </c>
    </row>
    <row r="18" spans="1:11" s="3429" customFormat="1">
      <c r="A18" s="3430" t="s">
        <v>4317</v>
      </c>
      <c r="B18" s="3429" t="s">
        <v>3505</v>
      </c>
      <c r="C18" s="3429" t="s">
        <v>4172</v>
      </c>
      <c r="D18" s="3429">
        <v>100</v>
      </c>
      <c r="E18" s="3429">
        <v>6460</v>
      </c>
      <c r="F18" s="3429">
        <v>26980</v>
      </c>
      <c r="G18" s="3429">
        <v>17428.86</v>
      </c>
      <c r="J18" s="3429">
        <v>687</v>
      </c>
      <c r="K18" s="3429">
        <v>43524</v>
      </c>
    </row>
    <row r="19" spans="1:11">
      <c r="A19" s="1487" t="s">
        <v>4173</v>
      </c>
      <c r="B19" s="1487" t="s">
        <v>3505</v>
      </c>
      <c r="C19" s="1487" t="s">
        <v>3753</v>
      </c>
      <c r="D19" s="1487">
        <v>76</v>
      </c>
      <c r="E19" s="1487">
        <v>6877</v>
      </c>
      <c r="F19" s="1487">
        <v>46064</v>
      </c>
      <c r="G19" s="1487">
        <v>31676.44</v>
      </c>
      <c r="H19" s="1487">
        <v>712</v>
      </c>
      <c r="I19" s="1487">
        <v>69616</v>
      </c>
      <c r="J19" s="1487">
        <v>636</v>
      </c>
      <c r="K19" s="1487">
        <v>62739</v>
      </c>
    </row>
    <row r="20" spans="1:11">
      <c r="A20" s="1487" t="s">
        <v>4174</v>
      </c>
      <c r="B20" s="1487" t="s">
        <v>3505</v>
      </c>
      <c r="C20" s="1487" t="s">
        <v>4165</v>
      </c>
      <c r="D20" s="1487">
        <v>71</v>
      </c>
      <c r="E20" s="1487">
        <v>10283</v>
      </c>
      <c r="F20" s="1487">
        <v>57100</v>
      </c>
      <c r="G20" s="1487">
        <v>58717.9</v>
      </c>
      <c r="J20" s="1487">
        <v>11</v>
      </c>
      <c r="K20" s="1487">
        <v>1397</v>
      </c>
    </row>
    <row r="21" spans="1:11">
      <c r="A21" s="1487" t="s">
        <v>4175</v>
      </c>
      <c r="B21" s="1487" t="s">
        <v>3505</v>
      </c>
      <c r="C21" s="1487" t="s">
        <v>3506</v>
      </c>
      <c r="D21" s="1487">
        <v>66</v>
      </c>
      <c r="E21" s="1487">
        <v>6548</v>
      </c>
      <c r="F21" s="1487">
        <v>53503</v>
      </c>
      <c r="G21" s="1487">
        <v>35035.11</v>
      </c>
      <c r="H21" s="1487">
        <v>1052</v>
      </c>
      <c r="I21" s="1487">
        <v>116827</v>
      </c>
      <c r="J21" s="1487">
        <v>986</v>
      </c>
      <c r="K21" s="1487">
        <v>110279</v>
      </c>
    </row>
    <row r="22" spans="1:11">
      <c r="A22" s="1487" t="s">
        <v>4176</v>
      </c>
      <c r="B22" s="1487" t="s">
        <v>3505</v>
      </c>
      <c r="C22" s="1487" t="s">
        <v>4165</v>
      </c>
      <c r="D22" s="1487">
        <v>51</v>
      </c>
      <c r="E22" s="1487">
        <v>4919</v>
      </c>
      <c r="F22" s="1487">
        <v>58296</v>
      </c>
      <c r="G22" s="1487">
        <v>28674.15</v>
      </c>
      <c r="J22" s="1487">
        <v>95</v>
      </c>
      <c r="K22" s="1487">
        <v>9614</v>
      </c>
    </row>
    <row r="23" spans="1:11">
      <c r="A23" s="1487" t="s">
        <v>4177</v>
      </c>
      <c r="B23" s="1487" t="s">
        <v>3505</v>
      </c>
      <c r="C23" s="1487" t="s">
        <v>4178</v>
      </c>
      <c r="D23" s="1487">
        <v>38</v>
      </c>
      <c r="E23" s="1487">
        <v>4941</v>
      </c>
      <c r="F23" s="1487">
        <v>24671</v>
      </c>
      <c r="G23" s="1487">
        <v>12189.68</v>
      </c>
      <c r="J23" s="1487">
        <v>262</v>
      </c>
      <c r="K23" s="1487">
        <v>44483</v>
      </c>
    </row>
    <row r="24" spans="1:11" s="3429" customFormat="1">
      <c r="A24" s="3429" t="s">
        <v>4179</v>
      </c>
      <c r="B24" s="3429" t="s">
        <v>3505</v>
      </c>
      <c r="C24" s="3429" t="s">
        <v>4170</v>
      </c>
      <c r="D24" s="3429">
        <v>36</v>
      </c>
      <c r="E24" s="3429">
        <v>6220</v>
      </c>
      <c r="F24" s="3429">
        <v>27288</v>
      </c>
      <c r="G24" s="3429">
        <v>16973.849999999999</v>
      </c>
      <c r="J24" s="3429">
        <v>18</v>
      </c>
      <c r="K24" s="3429">
        <v>4804</v>
      </c>
    </row>
    <row r="25" spans="1:11">
      <c r="A25" s="1487" t="s">
        <v>4180</v>
      </c>
      <c r="B25" s="1487" t="s">
        <v>3505</v>
      </c>
      <c r="C25" s="1487" t="s">
        <v>4178</v>
      </c>
      <c r="D25" s="1487">
        <v>30</v>
      </c>
      <c r="E25" s="1487">
        <v>7075</v>
      </c>
      <c r="F25" s="1487">
        <v>25009</v>
      </c>
      <c r="G25" s="1487">
        <v>17695.28</v>
      </c>
      <c r="J25" s="1487">
        <v>46</v>
      </c>
      <c r="K25" s="1487">
        <v>11257</v>
      </c>
    </row>
    <row r="26" spans="1:11">
      <c r="A26" s="1487" t="s">
        <v>4181</v>
      </c>
      <c r="B26" s="1487" t="s">
        <v>3505</v>
      </c>
      <c r="C26" s="1487" t="s">
        <v>4178</v>
      </c>
      <c r="D26" s="1487">
        <v>30</v>
      </c>
      <c r="E26" s="1487">
        <v>9254</v>
      </c>
      <c r="F26" s="1487">
        <v>26359</v>
      </c>
      <c r="G26" s="1487">
        <v>24393.37</v>
      </c>
      <c r="J26" s="1487">
        <v>450</v>
      </c>
      <c r="K26" s="1487">
        <v>149949</v>
      </c>
    </row>
    <row r="27" spans="1:11">
      <c r="A27" s="1487" t="s">
        <v>4182</v>
      </c>
      <c r="B27" s="1487" t="s">
        <v>3505</v>
      </c>
      <c r="C27" s="1487" t="s">
        <v>4178</v>
      </c>
      <c r="D27" s="1487">
        <v>19</v>
      </c>
      <c r="E27" s="1487">
        <v>1535</v>
      </c>
      <c r="F27" s="1487">
        <v>28524</v>
      </c>
      <c r="G27" s="1487">
        <v>4377.99</v>
      </c>
      <c r="J27" s="1487">
        <v>81</v>
      </c>
      <c r="K27" s="1487">
        <v>6794</v>
      </c>
    </row>
    <row r="28" spans="1:11">
      <c r="A28" s="1487" t="s">
        <v>4183</v>
      </c>
      <c r="B28" s="1487" t="s">
        <v>3505</v>
      </c>
      <c r="C28" s="1487" t="s">
        <v>4184</v>
      </c>
      <c r="D28" s="1487">
        <v>15</v>
      </c>
      <c r="E28" s="1487">
        <v>3768</v>
      </c>
      <c r="F28" s="1487">
        <v>65863</v>
      </c>
      <c r="G28" s="1487">
        <v>24819.98</v>
      </c>
      <c r="J28" s="1487">
        <v>2</v>
      </c>
      <c r="K28" s="1487">
        <v>443</v>
      </c>
    </row>
    <row r="29" spans="1:11">
      <c r="A29" s="1487" t="s">
        <v>4185</v>
      </c>
      <c r="B29" s="1487" t="s">
        <v>3505</v>
      </c>
      <c r="C29" s="1487" t="s">
        <v>4186</v>
      </c>
      <c r="D29" s="1487">
        <v>12</v>
      </c>
      <c r="E29" s="1487">
        <v>1803</v>
      </c>
      <c r="F29" s="1487">
        <v>59656</v>
      </c>
      <c r="G29" s="1487">
        <v>10755.12</v>
      </c>
    </row>
    <row r="30" spans="1:11">
      <c r="A30" s="1487" t="s">
        <v>4187</v>
      </c>
      <c r="B30" s="1487" t="s">
        <v>3505</v>
      </c>
      <c r="C30" s="1487" t="s">
        <v>4188</v>
      </c>
      <c r="D30" s="1487">
        <v>12</v>
      </c>
      <c r="E30" s="1487">
        <v>1191</v>
      </c>
      <c r="F30" s="1487">
        <v>55945</v>
      </c>
      <c r="G30" s="1487">
        <v>6664.19</v>
      </c>
    </row>
    <row r="31" spans="1:11">
      <c r="A31" s="1487" t="s">
        <v>4189</v>
      </c>
      <c r="B31" s="1487" t="s">
        <v>3505</v>
      </c>
      <c r="C31" s="1487" t="s">
        <v>4190</v>
      </c>
      <c r="D31" s="1487">
        <v>11</v>
      </c>
      <c r="E31" s="1487">
        <v>2081</v>
      </c>
      <c r="F31" s="1487">
        <v>37873</v>
      </c>
      <c r="G31" s="1487">
        <v>7883.25</v>
      </c>
    </row>
    <row r="32" spans="1:11">
      <c r="A32" s="1487" t="s">
        <v>4191</v>
      </c>
      <c r="B32" s="1487" t="s">
        <v>3505</v>
      </c>
      <c r="C32" s="1487" t="s">
        <v>4184</v>
      </c>
      <c r="D32" s="1487">
        <v>9</v>
      </c>
      <c r="E32" s="1487">
        <v>2631</v>
      </c>
      <c r="F32" s="1487">
        <v>50843</v>
      </c>
      <c r="G32" s="1487">
        <v>13375.68</v>
      </c>
    </row>
    <row r="33" spans="1:9">
      <c r="A33" s="1487" t="s">
        <v>4192</v>
      </c>
      <c r="B33" s="1487" t="s">
        <v>3505</v>
      </c>
      <c r="C33" s="1487" t="s">
        <v>3506</v>
      </c>
      <c r="D33" s="1487">
        <v>9</v>
      </c>
      <c r="E33" s="1487">
        <v>991</v>
      </c>
      <c r="F33" s="1487">
        <v>64108</v>
      </c>
      <c r="G33" s="1487">
        <v>6350.59</v>
      </c>
      <c r="H33" s="1487">
        <v>13</v>
      </c>
      <c r="I33" s="1487">
        <v>1300</v>
      </c>
    </row>
    <row r="34" spans="1:9">
      <c r="A34" s="1487" t="s">
        <v>4193</v>
      </c>
      <c r="B34" s="1487" t="s">
        <v>3505</v>
      </c>
      <c r="C34" s="1487" t="s">
        <v>4165</v>
      </c>
      <c r="D34" s="1487">
        <v>7</v>
      </c>
      <c r="E34" s="1487">
        <v>1200</v>
      </c>
      <c r="F34" s="1487">
        <v>43442</v>
      </c>
      <c r="G34" s="1487">
        <v>5215.16</v>
      </c>
    </row>
    <row r="35" spans="1:9">
      <c r="A35" s="1487" t="s">
        <v>4194</v>
      </c>
      <c r="B35" s="1487" t="s">
        <v>3505</v>
      </c>
      <c r="C35" s="1487" t="s">
        <v>4167</v>
      </c>
      <c r="D35" s="1487">
        <v>5</v>
      </c>
      <c r="E35" s="1487">
        <v>1106</v>
      </c>
      <c r="F35" s="1487">
        <v>61137</v>
      </c>
      <c r="G35" s="1487">
        <v>6761.94</v>
      </c>
    </row>
    <row r="36" spans="1:9">
      <c r="A36" s="1487" t="s">
        <v>4195</v>
      </c>
      <c r="B36" s="1487" t="s">
        <v>3505</v>
      </c>
      <c r="C36" s="1487" t="s">
        <v>4165</v>
      </c>
      <c r="D36" s="1487">
        <v>5</v>
      </c>
      <c r="E36" s="1487">
        <v>755</v>
      </c>
      <c r="F36" s="1487">
        <v>56315</v>
      </c>
      <c r="G36" s="1487">
        <v>4253</v>
      </c>
    </row>
    <row r="37" spans="1:9">
      <c r="A37" s="1487" t="s">
        <v>4196</v>
      </c>
      <c r="B37" s="1487" t="s">
        <v>3505</v>
      </c>
      <c r="C37" s="1487" t="s">
        <v>3931</v>
      </c>
      <c r="D37" s="1487">
        <v>4</v>
      </c>
      <c r="E37" s="1487">
        <v>498</v>
      </c>
      <c r="F37" s="1487">
        <v>55063</v>
      </c>
      <c r="G37" s="1487">
        <v>2741.45</v>
      </c>
    </row>
    <row r="38" spans="1:9">
      <c r="A38" s="1487" t="s">
        <v>4197</v>
      </c>
      <c r="B38" s="1487" t="s">
        <v>3505</v>
      </c>
      <c r="C38" s="1487" t="s">
        <v>3555</v>
      </c>
      <c r="D38" s="1487">
        <v>2</v>
      </c>
      <c r="E38" s="1487">
        <v>195</v>
      </c>
      <c r="F38" s="1487">
        <v>29000</v>
      </c>
      <c r="G38" s="1487">
        <v>565.5</v>
      </c>
      <c r="H38" s="1487">
        <v>1</v>
      </c>
      <c r="I38" s="1487">
        <v>86</v>
      </c>
    </row>
    <row r="39" spans="1:9">
      <c r="A39" s="1487" t="s">
        <v>4198</v>
      </c>
      <c r="B39" s="1487" t="s">
        <v>3505</v>
      </c>
      <c r="C39" s="1487" t="s">
        <v>4199</v>
      </c>
      <c r="D39" s="1487">
        <v>2</v>
      </c>
      <c r="E39" s="1487">
        <v>154</v>
      </c>
      <c r="F39" s="1487">
        <v>27832</v>
      </c>
      <c r="G39" s="1487">
        <v>428</v>
      </c>
    </row>
    <row r="40" spans="1:9">
      <c r="A40" s="1487" t="s">
        <v>4200</v>
      </c>
      <c r="B40" s="1487" t="s">
        <v>3505</v>
      </c>
      <c r="C40" s="1487" t="s">
        <v>3506</v>
      </c>
      <c r="D40" s="1487">
        <v>2</v>
      </c>
      <c r="E40" s="1487">
        <v>318</v>
      </c>
      <c r="F40" s="1487">
        <v>34469</v>
      </c>
      <c r="G40" s="1487">
        <v>1094.4000000000001</v>
      </c>
      <c r="H40" s="1487">
        <v>6</v>
      </c>
      <c r="I40" s="1487">
        <v>1051</v>
      </c>
    </row>
    <row r="41" spans="1:9">
      <c r="A41" s="1487" t="s">
        <v>4201</v>
      </c>
      <c r="B41" s="1487" t="s">
        <v>3505</v>
      </c>
      <c r="C41" s="1487" t="s">
        <v>4202</v>
      </c>
      <c r="D41" s="1487">
        <v>2</v>
      </c>
      <c r="E41" s="1487">
        <v>182</v>
      </c>
      <c r="F41" s="1487">
        <v>50964</v>
      </c>
      <c r="G41" s="1487">
        <v>925</v>
      </c>
      <c r="H41" s="1487">
        <v>1</v>
      </c>
      <c r="I41" s="1487">
        <v>93</v>
      </c>
    </row>
    <row r="42" spans="1:9">
      <c r="A42" s="1487" t="s">
        <v>4203</v>
      </c>
      <c r="B42" s="1487" t="s">
        <v>3505</v>
      </c>
      <c r="C42" s="1487" t="s">
        <v>4202</v>
      </c>
      <c r="D42" s="1487">
        <v>2</v>
      </c>
      <c r="E42" s="1487">
        <v>374</v>
      </c>
      <c r="F42" s="1487">
        <v>53281</v>
      </c>
      <c r="G42" s="1487">
        <v>1995.25</v>
      </c>
    </row>
    <row r="43" spans="1:9">
      <c r="A43" s="1487" t="s">
        <v>4204</v>
      </c>
      <c r="B43" s="1487" t="s">
        <v>3505</v>
      </c>
      <c r="C43" s="1487" t="s">
        <v>4004</v>
      </c>
      <c r="D43" s="1487">
        <v>2</v>
      </c>
      <c r="E43" s="1487">
        <v>175</v>
      </c>
      <c r="F43" s="1487">
        <v>55582</v>
      </c>
      <c r="G43" s="1487">
        <v>972.91</v>
      </c>
      <c r="H43" s="1487">
        <v>5</v>
      </c>
      <c r="I43" s="1487">
        <v>469</v>
      </c>
    </row>
    <row r="44" spans="1:9">
      <c r="A44" s="1487" t="s">
        <v>4205</v>
      </c>
      <c r="B44" s="1487" t="s">
        <v>3505</v>
      </c>
      <c r="C44" s="1487" t="s">
        <v>3931</v>
      </c>
      <c r="D44" s="1487">
        <v>1</v>
      </c>
      <c r="E44" s="1487">
        <v>158</v>
      </c>
      <c r="F44" s="1487">
        <v>33449</v>
      </c>
      <c r="G44" s="1487">
        <v>527.92999999999995</v>
      </c>
    </row>
    <row r="45" spans="1:9">
      <c r="A45" s="1487" t="s">
        <v>4206</v>
      </c>
      <c r="B45" s="1487" t="s">
        <v>3505</v>
      </c>
      <c r="C45" s="1487" t="s">
        <v>4165</v>
      </c>
      <c r="D45" s="1487">
        <v>1</v>
      </c>
      <c r="E45" s="1487">
        <v>225</v>
      </c>
      <c r="F45" s="1487">
        <v>54914</v>
      </c>
      <c r="G45" s="1487">
        <v>1233.25</v>
      </c>
      <c r="H45" s="1487">
        <v>4</v>
      </c>
      <c r="I45" s="1487">
        <v>691</v>
      </c>
    </row>
    <row r="46" spans="1:9">
      <c r="A46" s="1487" t="s">
        <v>4207</v>
      </c>
      <c r="B46" s="1487" t="s">
        <v>3505</v>
      </c>
      <c r="C46" s="1487" t="s">
        <v>3931</v>
      </c>
      <c r="D46" s="1487">
        <v>1</v>
      </c>
      <c r="E46" s="1487">
        <v>80</v>
      </c>
      <c r="F46" s="1487">
        <v>48192</v>
      </c>
      <c r="G46" s="1487">
        <v>383.8</v>
      </c>
    </row>
    <row r="47" spans="1:9">
      <c r="A47" s="1487" t="s">
        <v>4208</v>
      </c>
      <c r="B47" s="1487" t="s">
        <v>3505</v>
      </c>
      <c r="C47" s="1487" t="s">
        <v>4165</v>
      </c>
      <c r="D47" s="1487">
        <v>1</v>
      </c>
      <c r="E47" s="1487">
        <v>242</v>
      </c>
      <c r="F47" s="1487">
        <v>71420</v>
      </c>
      <c r="G47" s="1487">
        <v>1725.22</v>
      </c>
    </row>
    <row r="48" spans="1:9">
      <c r="A48" s="1487" t="s">
        <v>4209</v>
      </c>
      <c r="B48" s="1487" t="s">
        <v>3505</v>
      </c>
      <c r="C48" s="1487" t="s">
        <v>4178</v>
      </c>
      <c r="D48" s="1487">
        <v>1</v>
      </c>
      <c r="E48" s="1487">
        <v>239</v>
      </c>
      <c r="F48" s="1487">
        <v>23706</v>
      </c>
      <c r="G48" s="1487">
        <v>567</v>
      </c>
    </row>
    <row r="49" spans="1:11">
      <c r="A49" s="1487" t="s">
        <v>4210</v>
      </c>
      <c r="B49" s="1487" t="s">
        <v>3505</v>
      </c>
      <c r="C49" s="1487" t="s">
        <v>3846</v>
      </c>
      <c r="D49" s="1487">
        <v>1</v>
      </c>
      <c r="E49" s="1487">
        <v>86</v>
      </c>
      <c r="F49" s="1487">
        <v>46090</v>
      </c>
      <c r="G49" s="1487">
        <v>394.3</v>
      </c>
      <c r="J49" s="1487">
        <v>1</v>
      </c>
      <c r="K49" s="1487">
        <v>90</v>
      </c>
    </row>
    <row r="50" spans="1:11">
      <c r="A50" s="1487" t="s">
        <v>4211</v>
      </c>
      <c r="B50" s="1487" t="s">
        <v>3505</v>
      </c>
      <c r="C50" s="1487" t="s">
        <v>4202</v>
      </c>
      <c r="D50" s="1487">
        <v>1</v>
      </c>
      <c r="E50" s="1487">
        <v>308</v>
      </c>
      <c r="F50" s="1487">
        <v>51968</v>
      </c>
      <c r="G50" s="1487">
        <v>1600</v>
      </c>
    </row>
    <row r="51" spans="1:11">
      <c r="A51" s="1487" t="s">
        <v>4212</v>
      </c>
      <c r="B51" s="1487" t="s">
        <v>3505</v>
      </c>
      <c r="C51" s="1487" t="s">
        <v>3931</v>
      </c>
      <c r="D51" s="1487">
        <v>1</v>
      </c>
      <c r="E51" s="1487">
        <v>89</v>
      </c>
      <c r="F51" s="1487">
        <v>51395</v>
      </c>
      <c r="G51" s="1487">
        <v>458.5</v>
      </c>
    </row>
    <row r="52" spans="1:11">
      <c r="A52" s="1487" t="s">
        <v>4213</v>
      </c>
      <c r="B52" s="1487" t="s">
        <v>3505</v>
      </c>
      <c r="C52" s="1487" t="s">
        <v>3688</v>
      </c>
      <c r="H52" s="1487">
        <v>1332</v>
      </c>
      <c r="I52" s="1487">
        <v>129795</v>
      </c>
      <c r="J52" s="1487">
        <v>18</v>
      </c>
      <c r="K52" s="1487">
        <v>1537</v>
      </c>
    </row>
    <row r="53" spans="1:11">
      <c r="A53" s="1487" t="s">
        <v>4125</v>
      </c>
      <c r="B53" s="1487" t="s">
        <v>3505</v>
      </c>
      <c r="C53" s="1487" t="s">
        <v>3732</v>
      </c>
      <c r="H53" s="1487">
        <v>149</v>
      </c>
      <c r="I53" s="1487">
        <v>13868</v>
      </c>
      <c r="J53" s="1487">
        <v>149</v>
      </c>
      <c r="K53" s="1487">
        <v>13868</v>
      </c>
    </row>
    <row r="54" spans="1:11">
      <c r="A54" s="1487" t="s">
        <v>4214</v>
      </c>
      <c r="B54" s="1487" t="s">
        <v>3505</v>
      </c>
      <c r="C54" s="1487" t="s">
        <v>3688</v>
      </c>
      <c r="H54" s="1487">
        <v>518</v>
      </c>
      <c r="I54" s="1487">
        <v>55800</v>
      </c>
    </row>
    <row r="55" spans="1:11">
      <c r="A55" s="1487" t="s">
        <v>4215</v>
      </c>
      <c r="B55" s="1487" t="s">
        <v>3505</v>
      </c>
      <c r="C55" s="1487" t="s">
        <v>3753</v>
      </c>
      <c r="J55" s="1487">
        <v>1</v>
      </c>
      <c r="K55" s="1487">
        <v>89</v>
      </c>
    </row>
    <row r="56" spans="1:11">
      <c r="A56" s="1487" t="s">
        <v>4216</v>
      </c>
      <c r="B56" s="1487" t="s">
        <v>3505</v>
      </c>
      <c r="C56" s="1487" t="s">
        <v>4004</v>
      </c>
      <c r="J56" s="1487">
        <v>2</v>
      </c>
      <c r="K56" s="1487">
        <v>280</v>
      </c>
    </row>
    <row r="57" spans="1:11">
      <c r="A57" s="1487" t="s">
        <v>4217</v>
      </c>
      <c r="B57" s="1487" t="s">
        <v>3505</v>
      </c>
      <c r="C57" s="1487" t="s">
        <v>4170</v>
      </c>
      <c r="J57" s="1487">
        <v>1</v>
      </c>
      <c r="K57" s="1487">
        <v>235</v>
      </c>
    </row>
    <row r="58" spans="1:11">
      <c r="A58" s="1487" t="s">
        <v>4218</v>
      </c>
      <c r="B58" s="1487" t="s">
        <v>3505</v>
      </c>
      <c r="C58" s="1487" t="s">
        <v>4178</v>
      </c>
      <c r="J58" s="1487">
        <v>17</v>
      </c>
      <c r="K58" s="1487">
        <v>4514</v>
      </c>
    </row>
    <row r="59" spans="1:11">
      <c r="A59" s="1487" t="s">
        <v>4219</v>
      </c>
      <c r="B59" s="1487" t="s">
        <v>3505</v>
      </c>
      <c r="C59" s="1487" t="s">
        <v>4220</v>
      </c>
      <c r="J59" s="1487">
        <v>4</v>
      </c>
      <c r="K59" s="1487">
        <v>559</v>
      </c>
    </row>
    <row r="60" spans="1:11">
      <c r="A60" s="1487" t="s">
        <v>4221</v>
      </c>
      <c r="B60" s="1487" t="s">
        <v>3505</v>
      </c>
      <c r="C60" s="1487" t="s">
        <v>3931</v>
      </c>
      <c r="J60" s="1487">
        <v>1</v>
      </c>
      <c r="K60" s="1487">
        <v>88</v>
      </c>
    </row>
    <row r="61" spans="1:11">
      <c r="A61" s="1487" t="s">
        <v>4222</v>
      </c>
      <c r="B61" s="1487" t="s">
        <v>3505</v>
      </c>
      <c r="C61" s="1487" t="s">
        <v>4202</v>
      </c>
      <c r="J61" s="1487">
        <v>1</v>
      </c>
      <c r="K61" s="1487">
        <v>249</v>
      </c>
    </row>
    <row r="62" spans="1:11">
      <c r="A62" s="1487" t="s">
        <v>4223</v>
      </c>
      <c r="B62" s="1487" t="s">
        <v>3505</v>
      </c>
      <c r="C62" s="1487" t="s">
        <v>4004</v>
      </c>
      <c r="J62" s="1487">
        <v>2</v>
      </c>
      <c r="K62" s="1487">
        <v>369</v>
      </c>
    </row>
  </sheetData>
  <mergeCells count="1">
    <mergeCell ref="A1:K1"/>
  </mergeCells>
  <phoneticPr fontId="22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0"/>
  <sheetViews>
    <sheetView workbookViewId="0">
      <pane ySplit="2" topLeftCell="A431" activePane="bottomLeft" state="frozen"/>
      <selection pane="bottomLeft" activeCell="F121" sqref="F121"/>
    </sheetView>
  </sheetViews>
  <sheetFormatPr defaultRowHeight="13.5"/>
  <cols>
    <col min="1" max="1" width="20" style="1487" customWidth="1"/>
    <col min="2" max="2" width="10.25" style="1487" customWidth="1"/>
    <col min="3" max="3" width="12.125" style="1487" customWidth="1"/>
    <col min="4" max="4" width="10" style="1487" customWidth="1"/>
    <col min="5" max="5" width="11.375" style="1487" customWidth="1"/>
    <col min="6" max="6" width="12.375" style="1487" customWidth="1"/>
    <col min="7" max="7" width="11.875" style="1487" customWidth="1"/>
    <col min="8" max="8" width="13.375" style="1487" customWidth="1"/>
    <col min="9" max="9" width="13.25" style="1487" customWidth="1"/>
    <col min="10" max="10" width="9.125" style="1487" customWidth="1"/>
    <col min="11" max="11" width="9.375" style="1487" customWidth="1"/>
    <col min="12" max="190" width="20" style="1487" customWidth="1"/>
    <col min="191" max="16384" width="9" style="1487"/>
  </cols>
  <sheetData>
    <row r="1" spans="1:12">
      <c r="A1" s="3700" t="s">
        <v>4225</v>
      </c>
      <c r="B1" s="3700"/>
      <c r="C1" s="3700"/>
      <c r="D1" s="3700"/>
      <c r="E1" s="3700"/>
      <c r="F1" s="3700"/>
      <c r="G1" s="3700"/>
      <c r="H1" s="3700"/>
      <c r="I1" s="3700"/>
      <c r="J1" s="3700"/>
      <c r="K1" s="3700"/>
    </row>
    <row r="2" spans="1:12">
      <c r="A2" s="1487" t="s">
        <v>3418</v>
      </c>
      <c r="B2" s="1487" t="s">
        <v>3363</v>
      </c>
      <c r="C2" s="1487" t="s">
        <v>3364</v>
      </c>
      <c r="D2" s="1487" t="s">
        <v>4149</v>
      </c>
      <c r="E2" s="1487" t="s">
        <v>4150</v>
      </c>
      <c r="F2" s="1487" t="s">
        <v>4151</v>
      </c>
      <c r="G2" s="1487" t="s">
        <v>4152</v>
      </c>
      <c r="H2" s="1487" t="s">
        <v>4153</v>
      </c>
      <c r="I2" s="1487" t="s">
        <v>4154</v>
      </c>
      <c r="J2" s="1487" t="s">
        <v>4155</v>
      </c>
      <c r="K2" s="1487" t="s">
        <v>4156</v>
      </c>
    </row>
    <row r="3" spans="1:12">
      <c r="A3" s="1487" t="s">
        <v>4191</v>
      </c>
      <c r="B3" s="1487" t="s">
        <v>3505</v>
      </c>
      <c r="C3" s="1487" t="s">
        <v>4184</v>
      </c>
      <c r="D3" s="1487">
        <v>1034</v>
      </c>
      <c r="E3" s="1487">
        <v>40631</v>
      </c>
      <c r="F3" s="1487">
        <v>1284</v>
      </c>
      <c r="G3" s="1487">
        <v>5215.6000000000004</v>
      </c>
      <c r="L3" s="1487">
        <f>ROUND(G3*10000/D3,0)</f>
        <v>50441</v>
      </c>
    </row>
    <row r="4" spans="1:12">
      <c r="A4" s="1487" t="s">
        <v>4159</v>
      </c>
      <c r="B4" s="1487" t="s">
        <v>3505</v>
      </c>
      <c r="C4" s="1487" t="s">
        <v>3846</v>
      </c>
      <c r="D4" s="1487">
        <v>689</v>
      </c>
      <c r="E4" s="1487">
        <v>23604</v>
      </c>
      <c r="F4" s="1487">
        <v>6453</v>
      </c>
      <c r="G4" s="1487">
        <v>15232.21</v>
      </c>
      <c r="H4" s="1487">
        <v>1421</v>
      </c>
      <c r="I4" s="1487">
        <v>48306</v>
      </c>
      <c r="J4" s="1487">
        <v>744</v>
      </c>
      <c r="K4" s="1487">
        <v>25130</v>
      </c>
      <c r="L4" s="1487">
        <f t="shared" ref="L4:L18" si="0">ROUND(G4*10000/D4,0)</f>
        <v>221077</v>
      </c>
    </row>
    <row r="5" spans="1:12">
      <c r="A5" s="1487" t="s">
        <v>3856</v>
      </c>
      <c r="B5" s="1487" t="s">
        <v>3505</v>
      </c>
      <c r="C5" s="1487" t="s">
        <v>3846</v>
      </c>
      <c r="D5" s="1487">
        <v>515</v>
      </c>
      <c r="E5" s="1487">
        <v>16608</v>
      </c>
      <c r="F5" s="1487">
        <v>5846</v>
      </c>
      <c r="G5" s="1487">
        <v>9709.75</v>
      </c>
      <c r="H5" s="1487">
        <v>631</v>
      </c>
      <c r="I5" s="1487">
        <v>20857</v>
      </c>
      <c r="J5" s="1487">
        <v>408</v>
      </c>
      <c r="K5" s="1487">
        <v>13145</v>
      </c>
      <c r="L5" s="1487">
        <f t="shared" si="0"/>
        <v>188539</v>
      </c>
    </row>
    <row r="6" spans="1:12">
      <c r="A6" s="1487" t="s">
        <v>4226</v>
      </c>
      <c r="B6" s="1487" t="s">
        <v>3505</v>
      </c>
      <c r="C6" s="1487" t="s">
        <v>3688</v>
      </c>
      <c r="D6" s="1487">
        <v>471</v>
      </c>
      <c r="E6" s="1487">
        <v>16648</v>
      </c>
      <c r="F6" s="1487">
        <v>4164</v>
      </c>
      <c r="G6" s="1487">
        <v>6932.14</v>
      </c>
      <c r="H6" s="1487">
        <v>1267</v>
      </c>
      <c r="I6" s="1487">
        <v>44847</v>
      </c>
      <c r="J6" s="1487">
        <v>800</v>
      </c>
      <c r="K6" s="1487">
        <v>28344</v>
      </c>
      <c r="L6" s="1487">
        <f t="shared" si="0"/>
        <v>147179</v>
      </c>
    </row>
    <row r="7" spans="1:12">
      <c r="A7" s="1487" t="s">
        <v>4227</v>
      </c>
      <c r="B7" s="1487" t="s">
        <v>3505</v>
      </c>
      <c r="C7" s="1487" t="s">
        <v>4184</v>
      </c>
      <c r="D7" s="1487">
        <v>445</v>
      </c>
      <c r="E7" s="1487">
        <v>12389</v>
      </c>
      <c r="F7" s="1487">
        <v>3676</v>
      </c>
      <c r="G7" s="1487">
        <v>4554.42</v>
      </c>
      <c r="J7" s="1487">
        <v>2</v>
      </c>
      <c r="K7" s="1487">
        <v>56</v>
      </c>
      <c r="L7" s="1487">
        <f t="shared" si="0"/>
        <v>102347</v>
      </c>
    </row>
    <row r="8" spans="1:12">
      <c r="A8" s="1487" t="s">
        <v>4166</v>
      </c>
      <c r="B8" s="1487" t="s">
        <v>3505</v>
      </c>
      <c r="C8" s="1487" t="s">
        <v>4167</v>
      </c>
      <c r="D8" s="1487">
        <v>276</v>
      </c>
      <c r="E8" s="1487">
        <v>8079</v>
      </c>
      <c r="F8" s="1487">
        <v>8548</v>
      </c>
      <c r="G8" s="1487">
        <v>6906</v>
      </c>
      <c r="J8" s="1487">
        <v>98</v>
      </c>
      <c r="K8" s="1487">
        <v>2921</v>
      </c>
      <c r="L8" s="1487">
        <f t="shared" si="0"/>
        <v>250217</v>
      </c>
    </row>
    <row r="9" spans="1:12">
      <c r="A9" s="1487" t="s">
        <v>4157</v>
      </c>
      <c r="B9" s="1487" t="s">
        <v>3505</v>
      </c>
      <c r="C9" s="1487" t="s">
        <v>3506</v>
      </c>
      <c r="D9" s="1487">
        <v>274</v>
      </c>
      <c r="E9" s="1487">
        <v>8299</v>
      </c>
      <c r="F9" s="1487">
        <v>7291</v>
      </c>
      <c r="G9" s="1487">
        <v>6050.06</v>
      </c>
      <c r="H9" s="1487">
        <v>554</v>
      </c>
      <c r="I9" s="1487">
        <v>17149</v>
      </c>
      <c r="J9" s="1487">
        <v>1839</v>
      </c>
      <c r="K9" s="1487">
        <v>55244</v>
      </c>
      <c r="L9" s="1487">
        <f t="shared" si="0"/>
        <v>220805</v>
      </c>
    </row>
    <row r="10" spans="1:12">
      <c r="A10" s="1487" t="s">
        <v>4228</v>
      </c>
      <c r="B10" s="1487" t="s">
        <v>3505</v>
      </c>
      <c r="C10" s="1487" t="s">
        <v>3846</v>
      </c>
      <c r="D10" s="1487">
        <v>261</v>
      </c>
      <c r="E10" s="1487">
        <v>9284</v>
      </c>
      <c r="F10" s="1487">
        <v>1473</v>
      </c>
      <c r="G10" s="1487">
        <v>1367.52</v>
      </c>
      <c r="J10" s="1487">
        <v>3</v>
      </c>
      <c r="K10" s="1487">
        <v>107</v>
      </c>
      <c r="L10" s="1487">
        <f t="shared" si="0"/>
        <v>52395</v>
      </c>
    </row>
    <row r="11" spans="1:12">
      <c r="A11" s="3431" t="s">
        <v>4272</v>
      </c>
      <c r="B11" s="1487" t="s">
        <v>3505</v>
      </c>
      <c r="C11" s="1487" t="s">
        <v>3506</v>
      </c>
      <c r="D11" s="1487">
        <v>255</v>
      </c>
      <c r="E11" s="1487">
        <v>8207</v>
      </c>
      <c r="F11" s="1487">
        <v>4228</v>
      </c>
      <c r="G11" s="1487">
        <v>3469.5</v>
      </c>
      <c r="J11" s="1487">
        <v>14</v>
      </c>
      <c r="K11" s="1487">
        <v>450</v>
      </c>
      <c r="L11" s="1487">
        <f t="shared" si="0"/>
        <v>136059</v>
      </c>
    </row>
    <row r="12" spans="1:12">
      <c r="A12" s="3431" t="s">
        <v>4282</v>
      </c>
      <c r="B12" s="1487" t="s">
        <v>3505</v>
      </c>
      <c r="C12" s="1487" t="s">
        <v>4229</v>
      </c>
      <c r="D12" s="1487">
        <v>229</v>
      </c>
      <c r="E12" s="1487">
        <v>14177</v>
      </c>
      <c r="F12" s="1487">
        <v>2417</v>
      </c>
      <c r="G12" s="1487">
        <v>3426.2</v>
      </c>
      <c r="L12" s="1487">
        <f t="shared" si="0"/>
        <v>149616</v>
      </c>
    </row>
    <row r="13" spans="1:12">
      <c r="A13" s="1487" t="s">
        <v>4230</v>
      </c>
      <c r="B13" s="1487" t="s">
        <v>3505</v>
      </c>
      <c r="C13" s="1487" t="s">
        <v>4231</v>
      </c>
      <c r="D13" s="1487">
        <v>218</v>
      </c>
      <c r="E13" s="1487">
        <v>6372</v>
      </c>
      <c r="F13" s="1487">
        <v>2417</v>
      </c>
      <c r="G13" s="1487">
        <v>1540.02</v>
      </c>
      <c r="L13" s="1487">
        <f t="shared" si="0"/>
        <v>70643</v>
      </c>
    </row>
    <row r="14" spans="1:12">
      <c r="A14" s="1487" t="s">
        <v>4232</v>
      </c>
      <c r="B14" s="1487" t="s">
        <v>3505</v>
      </c>
      <c r="C14" s="1487" t="s">
        <v>4184</v>
      </c>
      <c r="D14" s="1487">
        <v>202</v>
      </c>
      <c r="E14" s="1487">
        <v>8183</v>
      </c>
      <c r="F14" s="1487">
        <v>5500</v>
      </c>
      <c r="G14" s="1487">
        <v>4500.8</v>
      </c>
      <c r="L14" s="1487">
        <f t="shared" si="0"/>
        <v>222812</v>
      </c>
    </row>
    <row r="15" spans="1:12">
      <c r="A15" s="1487" t="s">
        <v>4163</v>
      </c>
      <c r="B15" s="1487" t="s">
        <v>3505</v>
      </c>
      <c r="C15" s="1487" t="s">
        <v>3555</v>
      </c>
      <c r="D15" s="1487">
        <v>198</v>
      </c>
      <c r="E15" s="1487">
        <v>4604</v>
      </c>
      <c r="F15" s="1487">
        <v>10752</v>
      </c>
      <c r="G15" s="1487">
        <v>4950</v>
      </c>
      <c r="J15" s="1487">
        <v>325</v>
      </c>
      <c r="K15" s="1487">
        <v>8161</v>
      </c>
      <c r="L15" s="1487">
        <f t="shared" si="0"/>
        <v>250000</v>
      </c>
    </row>
    <row r="16" spans="1:12">
      <c r="A16" s="1487" t="s">
        <v>4183</v>
      </c>
      <c r="B16" s="1487" t="s">
        <v>3505</v>
      </c>
      <c r="C16" s="1487" t="s">
        <v>4184</v>
      </c>
      <c r="D16" s="1487">
        <v>178</v>
      </c>
      <c r="E16" s="1487">
        <v>5084</v>
      </c>
      <c r="F16" s="1487">
        <v>10176</v>
      </c>
      <c r="G16" s="1487">
        <v>5173</v>
      </c>
      <c r="J16" s="1487">
        <v>57</v>
      </c>
      <c r="K16" s="1487">
        <v>1771</v>
      </c>
      <c r="L16" s="1487">
        <f t="shared" si="0"/>
        <v>290618</v>
      </c>
    </row>
    <row r="17" spans="1:12">
      <c r="A17" s="1487" t="s">
        <v>4200</v>
      </c>
      <c r="B17" s="1487" t="s">
        <v>3505</v>
      </c>
      <c r="C17" s="1487" t="s">
        <v>3506</v>
      </c>
      <c r="D17" s="1487">
        <v>158</v>
      </c>
      <c r="E17" s="1487">
        <v>5242</v>
      </c>
      <c r="F17" s="1487">
        <v>7536</v>
      </c>
      <c r="G17" s="1487">
        <v>3950.34</v>
      </c>
      <c r="J17" s="1487">
        <v>87</v>
      </c>
      <c r="K17" s="1487">
        <v>2900</v>
      </c>
      <c r="L17" s="1487">
        <f t="shared" si="0"/>
        <v>250022</v>
      </c>
    </row>
    <row r="18" spans="1:12">
      <c r="A18" s="3431" t="s">
        <v>4283</v>
      </c>
      <c r="B18" s="1487" t="s">
        <v>3505</v>
      </c>
      <c r="C18" s="1487" t="s">
        <v>3555</v>
      </c>
      <c r="D18" s="1487">
        <v>143</v>
      </c>
      <c r="E18" s="1487">
        <v>6289</v>
      </c>
      <c r="F18" s="1487">
        <v>341</v>
      </c>
      <c r="G18" s="1487">
        <v>214.5</v>
      </c>
      <c r="L18" s="1487">
        <f t="shared" si="0"/>
        <v>15000</v>
      </c>
    </row>
    <row r="19" spans="1:12" s="3429" customFormat="1">
      <c r="A19" s="3430" t="s">
        <v>4270</v>
      </c>
      <c r="B19" s="3429" t="s">
        <v>3505</v>
      </c>
      <c r="C19" s="3429" t="s">
        <v>4170</v>
      </c>
      <c r="D19" s="3429">
        <v>141</v>
      </c>
      <c r="E19" s="3429">
        <v>5660</v>
      </c>
      <c r="F19" s="3429">
        <v>3309</v>
      </c>
      <c r="G19" s="3429">
        <v>1872.49</v>
      </c>
      <c r="H19" s="3429">
        <v>311</v>
      </c>
      <c r="I19" s="3429">
        <v>12381</v>
      </c>
      <c r="L19" s="3429">
        <f>ROUND(G19*10000/D19,0)</f>
        <v>132801</v>
      </c>
    </row>
    <row r="20" spans="1:12">
      <c r="A20" s="1487" t="s">
        <v>4212</v>
      </c>
      <c r="B20" s="1487" t="s">
        <v>3505</v>
      </c>
      <c r="C20" s="1487" t="s">
        <v>3931</v>
      </c>
      <c r="D20" s="1487">
        <v>127</v>
      </c>
      <c r="E20" s="1487">
        <v>3632</v>
      </c>
      <c r="F20" s="1487">
        <v>7267</v>
      </c>
      <c r="G20" s="1487">
        <v>2639.47</v>
      </c>
      <c r="H20" s="1487">
        <v>376</v>
      </c>
      <c r="I20" s="1487">
        <v>10550</v>
      </c>
      <c r="L20" s="1487">
        <f>ROUND(G20*10000/D20,0)</f>
        <v>207832</v>
      </c>
    </row>
    <row r="21" spans="1:12">
      <c r="A21" s="1487" t="s">
        <v>4233</v>
      </c>
      <c r="B21" s="1487" t="s">
        <v>3505</v>
      </c>
      <c r="C21" s="1487" t="s">
        <v>4234</v>
      </c>
      <c r="D21" s="1487">
        <v>123</v>
      </c>
      <c r="E21" s="1487">
        <v>4049</v>
      </c>
      <c r="F21" s="1487">
        <v>1779</v>
      </c>
      <c r="G21" s="1487">
        <v>720.5</v>
      </c>
      <c r="L21" s="1487">
        <f t="shared" ref="L21:L84" si="1">ROUND(G21*10000/D21,0)</f>
        <v>58577</v>
      </c>
    </row>
    <row r="22" spans="1:12">
      <c r="A22" s="1487" t="s">
        <v>4181</v>
      </c>
      <c r="B22" s="1487" t="s">
        <v>3505</v>
      </c>
      <c r="C22" s="1487" t="s">
        <v>4178</v>
      </c>
      <c r="D22" s="1487">
        <v>118</v>
      </c>
      <c r="E22" s="1487">
        <v>2625</v>
      </c>
      <c r="F22" s="1487">
        <v>3053</v>
      </c>
      <c r="G22" s="1487">
        <v>801.5</v>
      </c>
      <c r="H22" s="1487">
        <v>744</v>
      </c>
      <c r="I22" s="1487">
        <v>13421</v>
      </c>
      <c r="L22" s="1487">
        <f t="shared" si="1"/>
        <v>67924</v>
      </c>
    </row>
    <row r="23" spans="1:12">
      <c r="A23" s="1487" t="s">
        <v>4168</v>
      </c>
      <c r="B23" s="1487" t="s">
        <v>3505</v>
      </c>
      <c r="C23" s="1487" t="s">
        <v>3753</v>
      </c>
      <c r="D23" s="1487">
        <v>114</v>
      </c>
      <c r="E23" s="1487">
        <v>3499</v>
      </c>
      <c r="F23" s="1487">
        <v>6323</v>
      </c>
      <c r="G23" s="1487">
        <v>2212</v>
      </c>
      <c r="H23" s="1487">
        <v>937</v>
      </c>
      <c r="I23" s="1487">
        <v>29008</v>
      </c>
      <c r="L23" s="1487">
        <f t="shared" si="1"/>
        <v>194035</v>
      </c>
    </row>
    <row r="24" spans="1:12">
      <c r="A24" s="1487" t="s">
        <v>4235</v>
      </c>
      <c r="B24" s="1487" t="s">
        <v>3505</v>
      </c>
      <c r="C24" s="1487" t="s">
        <v>4236</v>
      </c>
      <c r="D24" s="1487">
        <v>102</v>
      </c>
      <c r="E24" s="1487">
        <v>4962</v>
      </c>
      <c r="F24" s="1487">
        <v>1179</v>
      </c>
      <c r="G24" s="1487">
        <v>585</v>
      </c>
      <c r="L24" s="1487">
        <f t="shared" si="1"/>
        <v>57353</v>
      </c>
    </row>
    <row r="25" spans="1:12">
      <c r="A25" s="1487" t="s">
        <v>4164</v>
      </c>
      <c r="B25" s="1487" t="s">
        <v>3505</v>
      </c>
      <c r="C25" s="1487" t="s">
        <v>4165</v>
      </c>
      <c r="D25" s="1487">
        <v>98</v>
      </c>
      <c r="E25" s="1487">
        <v>3357</v>
      </c>
      <c r="F25" s="1487">
        <v>6364</v>
      </c>
      <c r="G25" s="1487">
        <v>2136.3200000000002</v>
      </c>
      <c r="H25" s="1487">
        <v>242</v>
      </c>
      <c r="I25" s="1487">
        <v>8157</v>
      </c>
      <c r="L25" s="1487">
        <f t="shared" si="1"/>
        <v>217992</v>
      </c>
    </row>
    <row r="26" spans="1:12">
      <c r="A26" s="1487" t="s">
        <v>4189</v>
      </c>
      <c r="B26" s="1487" t="s">
        <v>3505</v>
      </c>
      <c r="C26" s="1487" t="s">
        <v>4190</v>
      </c>
      <c r="D26" s="1487">
        <v>94</v>
      </c>
      <c r="E26" s="1487">
        <v>3481</v>
      </c>
      <c r="F26" s="1487">
        <v>4040</v>
      </c>
      <c r="G26" s="1487">
        <v>1406.03</v>
      </c>
      <c r="L26" s="1487">
        <f t="shared" si="1"/>
        <v>149578</v>
      </c>
    </row>
    <row r="27" spans="1:12">
      <c r="A27" s="1487" t="s">
        <v>4174</v>
      </c>
      <c r="B27" s="1487" t="s">
        <v>3505</v>
      </c>
      <c r="C27" s="1487" t="s">
        <v>4165</v>
      </c>
      <c r="D27" s="1487">
        <v>88</v>
      </c>
      <c r="E27" s="1487">
        <v>2832</v>
      </c>
      <c r="F27" s="1487">
        <v>7346</v>
      </c>
      <c r="G27" s="1487">
        <v>2080</v>
      </c>
      <c r="H27" s="1487">
        <v>218</v>
      </c>
      <c r="I27" s="1487">
        <v>7015</v>
      </c>
      <c r="L27" s="1487">
        <f t="shared" si="1"/>
        <v>236364</v>
      </c>
    </row>
    <row r="28" spans="1:12">
      <c r="A28" s="3431" t="s">
        <v>4284</v>
      </c>
      <c r="B28" s="1487" t="s">
        <v>3505</v>
      </c>
      <c r="C28" s="1487" t="s">
        <v>4178</v>
      </c>
      <c r="D28" s="1487">
        <v>83</v>
      </c>
      <c r="E28" s="1487">
        <v>3469</v>
      </c>
      <c r="F28" s="1487">
        <v>3528</v>
      </c>
      <c r="G28" s="1487">
        <v>1224</v>
      </c>
      <c r="H28" s="1487">
        <v>489</v>
      </c>
      <c r="I28" s="1487">
        <v>20525</v>
      </c>
      <c r="L28" s="1487">
        <f t="shared" si="1"/>
        <v>147470</v>
      </c>
    </row>
    <row r="29" spans="1:12">
      <c r="A29" s="1487" t="s">
        <v>4237</v>
      </c>
      <c r="B29" s="1487" t="s">
        <v>3505</v>
      </c>
      <c r="C29" s="1487" t="s">
        <v>4190</v>
      </c>
      <c r="D29" s="1487">
        <v>81</v>
      </c>
      <c r="E29" s="1487">
        <v>2705</v>
      </c>
      <c r="F29" s="1487">
        <v>2395</v>
      </c>
      <c r="G29" s="1487">
        <v>648</v>
      </c>
      <c r="L29" s="1487">
        <f t="shared" si="1"/>
        <v>80000</v>
      </c>
    </row>
    <row r="30" spans="1:12">
      <c r="A30" s="1487" t="s">
        <v>4198</v>
      </c>
      <c r="B30" s="1487" t="s">
        <v>3505</v>
      </c>
      <c r="C30" s="1487" t="s">
        <v>4199</v>
      </c>
      <c r="D30" s="1487">
        <v>75</v>
      </c>
      <c r="E30" s="1487">
        <v>2171</v>
      </c>
      <c r="F30" s="1487">
        <v>3796</v>
      </c>
      <c r="G30" s="1487">
        <v>824</v>
      </c>
      <c r="L30" s="1487">
        <f t="shared" si="1"/>
        <v>109867</v>
      </c>
    </row>
    <row r="31" spans="1:12">
      <c r="A31" s="1487" t="s">
        <v>4218</v>
      </c>
      <c r="B31" s="1487" t="s">
        <v>3505</v>
      </c>
      <c r="C31" s="1487" t="s">
        <v>4178</v>
      </c>
      <c r="D31" s="1487">
        <v>73</v>
      </c>
      <c r="E31" s="1487">
        <v>2309</v>
      </c>
      <c r="F31" s="1487">
        <v>2017</v>
      </c>
      <c r="G31" s="1487">
        <v>465.58</v>
      </c>
      <c r="H31" s="1487">
        <v>309</v>
      </c>
      <c r="I31" s="1487">
        <v>9743</v>
      </c>
      <c r="L31" s="1487">
        <f t="shared" si="1"/>
        <v>63778</v>
      </c>
    </row>
    <row r="32" spans="1:12">
      <c r="A32" s="1487" t="s">
        <v>4207</v>
      </c>
      <c r="B32" s="1487" t="s">
        <v>3505</v>
      </c>
      <c r="C32" s="1487" t="s">
        <v>3931</v>
      </c>
      <c r="D32" s="1487">
        <v>72</v>
      </c>
      <c r="E32" s="1487">
        <v>2032</v>
      </c>
      <c r="F32" s="1487">
        <v>7574</v>
      </c>
      <c r="G32" s="1487">
        <v>1539.1</v>
      </c>
      <c r="H32" s="1487">
        <v>554</v>
      </c>
      <c r="I32" s="1487">
        <v>15050</v>
      </c>
      <c r="L32" s="1487">
        <f t="shared" si="1"/>
        <v>213764</v>
      </c>
    </row>
    <row r="33" spans="1:12">
      <c r="A33" s="1487" t="s">
        <v>4204</v>
      </c>
      <c r="B33" s="1487" t="s">
        <v>3505</v>
      </c>
      <c r="C33" s="1487" t="s">
        <v>4004</v>
      </c>
      <c r="D33" s="1487">
        <v>67</v>
      </c>
      <c r="E33" s="1487">
        <v>2006</v>
      </c>
      <c r="F33" s="1487">
        <v>5780</v>
      </c>
      <c r="G33" s="1487">
        <v>1159.3</v>
      </c>
      <c r="H33" s="1487">
        <v>1891</v>
      </c>
      <c r="I33" s="1487">
        <v>54458</v>
      </c>
      <c r="L33" s="1487">
        <f t="shared" si="1"/>
        <v>173030</v>
      </c>
    </row>
    <row r="34" spans="1:12">
      <c r="A34" s="1487" t="s">
        <v>4162</v>
      </c>
      <c r="B34" s="1487" t="s">
        <v>3505</v>
      </c>
      <c r="C34" s="1487" t="s">
        <v>3506</v>
      </c>
      <c r="D34" s="1487">
        <v>66</v>
      </c>
      <c r="E34" s="1487">
        <v>2272</v>
      </c>
      <c r="F34" s="1487">
        <v>6460</v>
      </c>
      <c r="G34" s="1487">
        <v>1467.5</v>
      </c>
      <c r="H34" s="1487">
        <v>667</v>
      </c>
      <c r="I34" s="1487">
        <v>23060</v>
      </c>
      <c r="L34" s="1487">
        <f t="shared" si="1"/>
        <v>222348</v>
      </c>
    </row>
    <row r="35" spans="1:12">
      <c r="A35" s="1487" t="s">
        <v>4215</v>
      </c>
      <c r="B35" s="1487" t="s">
        <v>3505</v>
      </c>
      <c r="C35" s="1487" t="s">
        <v>3753</v>
      </c>
      <c r="D35" s="1487">
        <v>64</v>
      </c>
      <c r="E35" s="1487">
        <v>2201</v>
      </c>
      <c r="F35" s="1487">
        <v>7006</v>
      </c>
      <c r="G35" s="1487">
        <v>1541.99</v>
      </c>
      <c r="H35" s="1487">
        <v>962</v>
      </c>
      <c r="I35" s="1487">
        <v>34408</v>
      </c>
      <c r="L35" s="1487">
        <f t="shared" si="1"/>
        <v>240936</v>
      </c>
    </row>
    <row r="36" spans="1:12">
      <c r="A36" s="1487" t="s">
        <v>4196</v>
      </c>
      <c r="B36" s="1487" t="s">
        <v>3505</v>
      </c>
      <c r="C36" s="1487" t="s">
        <v>3931</v>
      </c>
      <c r="D36" s="1487">
        <v>61</v>
      </c>
      <c r="E36" s="1487">
        <v>2000</v>
      </c>
      <c r="F36" s="1487">
        <v>7117</v>
      </c>
      <c r="G36" s="1487">
        <v>1423.1</v>
      </c>
      <c r="H36" s="1487">
        <v>428</v>
      </c>
      <c r="I36" s="1487">
        <v>14080</v>
      </c>
      <c r="L36" s="1487">
        <f t="shared" si="1"/>
        <v>233295</v>
      </c>
    </row>
    <row r="37" spans="1:12" s="3429" customFormat="1">
      <c r="A37" s="3430" t="s">
        <v>4264</v>
      </c>
      <c r="B37" s="3429" t="s">
        <v>3505</v>
      </c>
      <c r="C37" s="3429" t="s">
        <v>4172</v>
      </c>
      <c r="D37" s="3429">
        <v>49</v>
      </c>
      <c r="E37" s="3429">
        <v>1318</v>
      </c>
      <c r="F37" s="3429">
        <v>4662</v>
      </c>
      <c r="G37" s="3429">
        <v>614.5</v>
      </c>
      <c r="L37" s="3429">
        <f>ROUND(G37*10000/D37,0)</f>
        <v>125408</v>
      </c>
    </row>
    <row r="38" spans="1:12">
      <c r="A38" s="1487" t="s">
        <v>4238</v>
      </c>
      <c r="B38" s="1487" t="s">
        <v>3505</v>
      </c>
      <c r="C38" s="1487" t="s">
        <v>4184</v>
      </c>
      <c r="D38" s="1487">
        <v>47</v>
      </c>
      <c r="E38" s="1487">
        <v>1629</v>
      </c>
      <c r="F38" s="1487">
        <v>2778</v>
      </c>
      <c r="G38" s="1487">
        <v>452.45</v>
      </c>
      <c r="L38" s="1487">
        <f t="shared" si="1"/>
        <v>96266</v>
      </c>
    </row>
    <row r="39" spans="1:12">
      <c r="A39" s="1487" t="s">
        <v>4239</v>
      </c>
      <c r="B39" s="1487" t="s">
        <v>3505</v>
      </c>
      <c r="C39" s="1487" t="s">
        <v>3506</v>
      </c>
      <c r="D39" s="1487">
        <v>44</v>
      </c>
      <c r="E39" s="1487">
        <v>1848</v>
      </c>
      <c r="F39" s="1487">
        <v>1190</v>
      </c>
      <c r="G39" s="1487">
        <v>220</v>
      </c>
      <c r="L39" s="1487">
        <f t="shared" si="1"/>
        <v>50000</v>
      </c>
    </row>
    <row r="40" spans="1:12">
      <c r="A40" s="1487" t="s">
        <v>4193</v>
      </c>
      <c r="B40" s="1487" t="s">
        <v>3505</v>
      </c>
      <c r="C40" s="1487" t="s">
        <v>4165</v>
      </c>
      <c r="D40" s="1487">
        <v>44</v>
      </c>
      <c r="E40" s="1487">
        <v>1595</v>
      </c>
      <c r="F40" s="1487">
        <v>7039</v>
      </c>
      <c r="G40" s="1487">
        <v>1122.72</v>
      </c>
      <c r="L40" s="1487">
        <f t="shared" si="1"/>
        <v>255164</v>
      </c>
    </row>
    <row r="41" spans="1:12">
      <c r="A41" s="1487" t="s">
        <v>4240</v>
      </c>
      <c r="B41" s="1487" t="s">
        <v>3505</v>
      </c>
      <c r="C41" s="1487" t="s">
        <v>3931</v>
      </c>
      <c r="D41" s="1487">
        <v>43</v>
      </c>
      <c r="E41" s="1487">
        <v>1380</v>
      </c>
      <c r="F41" s="1487">
        <v>6531</v>
      </c>
      <c r="G41" s="1487">
        <v>901.2</v>
      </c>
      <c r="H41" s="1487">
        <v>472</v>
      </c>
      <c r="I41" s="1487">
        <v>13938</v>
      </c>
      <c r="L41" s="1487">
        <f t="shared" si="1"/>
        <v>209581</v>
      </c>
    </row>
    <row r="42" spans="1:12">
      <c r="A42" s="1487" t="s">
        <v>4185</v>
      </c>
      <c r="B42" s="1487" t="s">
        <v>3505</v>
      </c>
      <c r="C42" s="1487" t="s">
        <v>4186</v>
      </c>
      <c r="D42" s="1487">
        <v>42</v>
      </c>
      <c r="E42" s="1487">
        <v>1480</v>
      </c>
      <c r="F42" s="1487">
        <v>8038</v>
      </c>
      <c r="G42" s="1487">
        <v>1190</v>
      </c>
      <c r="L42" s="1487">
        <f t="shared" si="1"/>
        <v>283333</v>
      </c>
    </row>
    <row r="43" spans="1:12">
      <c r="A43" s="1487" t="s">
        <v>4197</v>
      </c>
      <c r="B43" s="1487" t="s">
        <v>3505</v>
      </c>
      <c r="C43" s="1487" t="s">
        <v>3555</v>
      </c>
      <c r="D43" s="1487">
        <v>41</v>
      </c>
      <c r="E43" s="1487">
        <v>1475</v>
      </c>
      <c r="F43" s="1487">
        <v>1949</v>
      </c>
      <c r="G43" s="1487">
        <v>287.45999999999998</v>
      </c>
      <c r="H43" s="1487">
        <v>368</v>
      </c>
      <c r="I43" s="1487">
        <v>15136</v>
      </c>
      <c r="L43" s="1487">
        <f t="shared" si="1"/>
        <v>70112</v>
      </c>
    </row>
    <row r="44" spans="1:12">
      <c r="A44" s="1487" t="s">
        <v>4187</v>
      </c>
      <c r="B44" s="1487" t="s">
        <v>3505</v>
      </c>
      <c r="C44" s="1487" t="s">
        <v>4188</v>
      </c>
      <c r="D44" s="1487">
        <v>39</v>
      </c>
      <c r="E44" s="1487">
        <v>1210</v>
      </c>
      <c r="F44" s="1487">
        <v>8719</v>
      </c>
      <c r="G44" s="1487">
        <v>1055.3900000000001</v>
      </c>
      <c r="H44" s="1487">
        <v>782</v>
      </c>
      <c r="I44" s="1487">
        <v>24610</v>
      </c>
      <c r="L44" s="1487">
        <f t="shared" si="1"/>
        <v>270613</v>
      </c>
    </row>
    <row r="45" spans="1:12">
      <c r="A45" s="1487" t="s">
        <v>4180</v>
      </c>
      <c r="B45" s="1487" t="s">
        <v>3505</v>
      </c>
      <c r="C45" s="1487" t="s">
        <v>4178</v>
      </c>
      <c r="D45" s="1487">
        <v>36</v>
      </c>
      <c r="E45" s="1487">
        <v>1344</v>
      </c>
      <c r="F45" s="1487">
        <v>4857</v>
      </c>
      <c r="G45" s="1487">
        <v>653</v>
      </c>
      <c r="H45" s="1487">
        <v>94</v>
      </c>
      <c r="I45" s="1487">
        <v>3451</v>
      </c>
      <c r="L45" s="1487">
        <f t="shared" si="1"/>
        <v>181389</v>
      </c>
    </row>
    <row r="46" spans="1:12">
      <c r="A46" s="1487" t="s">
        <v>4210</v>
      </c>
      <c r="B46" s="1487" t="s">
        <v>3505</v>
      </c>
      <c r="C46" s="1487" t="s">
        <v>3846</v>
      </c>
      <c r="D46" s="1487">
        <v>33</v>
      </c>
      <c r="E46" s="1487">
        <v>965</v>
      </c>
      <c r="F46" s="1487">
        <v>7456</v>
      </c>
      <c r="G46" s="1487">
        <v>719.77</v>
      </c>
      <c r="H46" s="1487">
        <v>14</v>
      </c>
      <c r="I46" s="1487">
        <v>492</v>
      </c>
      <c r="L46" s="1487">
        <f t="shared" si="1"/>
        <v>218112</v>
      </c>
    </row>
    <row r="47" spans="1:12">
      <c r="A47" s="3431" t="s">
        <v>4273</v>
      </c>
      <c r="B47" s="1487" t="s">
        <v>3505</v>
      </c>
      <c r="C47" s="1487" t="s">
        <v>4165</v>
      </c>
      <c r="D47" s="1487">
        <v>33</v>
      </c>
      <c r="E47" s="1487">
        <v>1079</v>
      </c>
      <c r="F47" s="1487">
        <v>4056</v>
      </c>
      <c r="G47" s="1487">
        <v>437.8</v>
      </c>
      <c r="L47" s="1487">
        <f t="shared" si="1"/>
        <v>132667</v>
      </c>
    </row>
    <row r="48" spans="1:12">
      <c r="A48" s="1487" t="s">
        <v>4241</v>
      </c>
      <c r="B48" s="1487" t="s">
        <v>3505</v>
      </c>
      <c r="C48" s="1487" t="s">
        <v>4231</v>
      </c>
      <c r="D48" s="1487">
        <v>30</v>
      </c>
      <c r="E48" s="1487">
        <v>908</v>
      </c>
      <c r="F48" s="1487">
        <v>1123</v>
      </c>
      <c r="G48" s="1487">
        <v>102</v>
      </c>
      <c r="L48" s="1487">
        <f t="shared" si="1"/>
        <v>34000</v>
      </c>
    </row>
    <row r="49" spans="1:12">
      <c r="A49" s="1487" t="s">
        <v>4242</v>
      </c>
      <c r="B49" s="1487" t="s">
        <v>3505</v>
      </c>
      <c r="C49" s="1487" t="s">
        <v>4004</v>
      </c>
      <c r="D49" s="1487">
        <v>29</v>
      </c>
      <c r="E49" s="1487">
        <v>1053</v>
      </c>
      <c r="F49" s="1487">
        <v>5549</v>
      </c>
      <c r="G49" s="1487">
        <v>584.5</v>
      </c>
      <c r="H49" s="1487">
        <v>215</v>
      </c>
      <c r="I49" s="1487">
        <v>7809</v>
      </c>
      <c r="J49" s="1487">
        <v>186</v>
      </c>
      <c r="K49" s="1487">
        <v>6756</v>
      </c>
      <c r="L49" s="1487">
        <f t="shared" si="1"/>
        <v>201552</v>
      </c>
    </row>
    <row r="50" spans="1:12">
      <c r="A50" s="1487" t="s">
        <v>4243</v>
      </c>
      <c r="B50" s="1487" t="s">
        <v>3505</v>
      </c>
      <c r="C50" s="1487" t="s">
        <v>4244</v>
      </c>
      <c r="D50" s="1487">
        <v>25</v>
      </c>
      <c r="E50" s="1487">
        <v>1002</v>
      </c>
      <c r="F50" s="1487">
        <v>2496</v>
      </c>
      <c r="G50" s="1487">
        <v>250</v>
      </c>
      <c r="J50" s="1487">
        <v>37</v>
      </c>
      <c r="K50" s="1487">
        <v>1553</v>
      </c>
      <c r="L50" s="1487">
        <f t="shared" si="1"/>
        <v>100000</v>
      </c>
    </row>
    <row r="51" spans="1:12">
      <c r="A51" s="1487" t="s">
        <v>4206</v>
      </c>
      <c r="B51" s="1487" t="s">
        <v>3505</v>
      </c>
      <c r="C51" s="1487" t="s">
        <v>4165</v>
      </c>
      <c r="D51" s="1487">
        <v>22</v>
      </c>
      <c r="E51" s="1487">
        <v>771</v>
      </c>
      <c r="F51" s="1487">
        <v>6672</v>
      </c>
      <c r="G51" s="1487">
        <v>514.5</v>
      </c>
      <c r="J51" s="1487">
        <v>472</v>
      </c>
      <c r="K51" s="1487">
        <v>14377</v>
      </c>
      <c r="L51" s="1487">
        <f t="shared" si="1"/>
        <v>233864</v>
      </c>
    </row>
    <row r="52" spans="1:12" s="3434" customFormat="1">
      <c r="A52" s="3434" t="s">
        <v>4169</v>
      </c>
      <c r="B52" s="3434" t="s">
        <v>3505</v>
      </c>
      <c r="C52" s="3434" t="s">
        <v>4170</v>
      </c>
      <c r="D52" s="3434">
        <v>22</v>
      </c>
      <c r="E52" s="3434">
        <v>660</v>
      </c>
      <c r="F52" s="3434">
        <v>5417</v>
      </c>
      <c r="G52" s="3434">
        <v>357.65</v>
      </c>
      <c r="J52" s="3434">
        <v>137</v>
      </c>
      <c r="K52" s="3434">
        <v>3832</v>
      </c>
      <c r="L52" s="3434">
        <f t="shared" si="1"/>
        <v>162568</v>
      </c>
    </row>
    <row r="53" spans="1:12">
      <c r="A53" s="1487" t="s">
        <v>4245</v>
      </c>
      <c r="B53" s="1487" t="s">
        <v>3505</v>
      </c>
      <c r="C53" s="1487" t="s">
        <v>4199</v>
      </c>
      <c r="D53" s="1487">
        <v>22</v>
      </c>
      <c r="E53" s="1487">
        <v>709</v>
      </c>
      <c r="F53" s="1487">
        <v>3072</v>
      </c>
      <c r="G53" s="1487">
        <v>217.8</v>
      </c>
      <c r="J53" s="1487">
        <v>383</v>
      </c>
      <c r="K53" s="1487">
        <v>12343</v>
      </c>
      <c r="L53" s="1487">
        <f t="shared" si="1"/>
        <v>99000</v>
      </c>
    </row>
    <row r="54" spans="1:12" s="3429" customFormat="1">
      <c r="A54" s="3430" t="s">
        <v>4271</v>
      </c>
      <c r="B54" s="3429" t="s">
        <v>3505</v>
      </c>
      <c r="C54" s="3429" t="s">
        <v>4234</v>
      </c>
      <c r="D54" s="3429">
        <v>21</v>
      </c>
      <c r="E54" s="3429">
        <v>574</v>
      </c>
      <c r="F54" s="3429">
        <v>5177</v>
      </c>
      <c r="G54" s="3429">
        <v>296.97000000000003</v>
      </c>
      <c r="L54" s="3429">
        <f t="shared" si="1"/>
        <v>141414</v>
      </c>
    </row>
    <row r="55" spans="1:12">
      <c r="A55" s="1487" t="s">
        <v>4221</v>
      </c>
      <c r="B55" s="1487" t="s">
        <v>3505</v>
      </c>
      <c r="C55" s="1487" t="s">
        <v>3931</v>
      </c>
      <c r="D55" s="1487">
        <v>21</v>
      </c>
      <c r="E55" s="1487">
        <v>658</v>
      </c>
      <c r="F55" s="1487">
        <v>7883</v>
      </c>
      <c r="G55" s="1487">
        <v>518.5</v>
      </c>
      <c r="J55" s="1487">
        <v>542</v>
      </c>
      <c r="K55" s="1487">
        <v>17287</v>
      </c>
      <c r="L55" s="1487">
        <f t="shared" si="1"/>
        <v>246905</v>
      </c>
    </row>
    <row r="56" spans="1:12">
      <c r="A56" s="1487" t="s">
        <v>4246</v>
      </c>
      <c r="B56" s="1487" t="s">
        <v>3505</v>
      </c>
      <c r="C56" s="1487" t="s">
        <v>4170</v>
      </c>
      <c r="D56" s="1487">
        <v>19</v>
      </c>
      <c r="E56" s="1487">
        <v>352</v>
      </c>
      <c r="F56" s="1487">
        <v>570</v>
      </c>
      <c r="G56" s="1487">
        <v>20.100000000000001</v>
      </c>
      <c r="L56" s="1487">
        <f t="shared" si="1"/>
        <v>10579</v>
      </c>
    </row>
    <row r="57" spans="1:12">
      <c r="A57" s="1487" t="s">
        <v>4209</v>
      </c>
      <c r="B57" s="1487" t="s">
        <v>3505</v>
      </c>
      <c r="C57" s="1487" t="s">
        <v>4178</v>
      </c>
      <c r="D57" s="1487">
        <v>18</v>
      </c>
      <c r="E57" s="1487">
        <v>560</v>
      </c>
      <c r="F57" s="1487">
        <v>5140</v>
      </c>
      <c r="G57" s="1487">
        <v>288</v>
      </c>
      <c r="J57" s="1487">
        <v>17</v>
      </c>
      <c r="K57" s="1487">
        <v>490</v>
      </c>
      <c r="L57" s="1487">
        <f t="shared" si="1"/>
        <v>160000</v>
      </c>
    </row>
    <row r="58" spans="1:12">
      <c r="A58" s="1487" t="s">
        <v>4247</v>
      </c>
      <c r="B58" s="1487" t="s">
        <v>3505</v>
      </c>
      <c r="C58" s="1487" t="s">
        <v>4190</v>
      </c>
      <c r="D58" s="1487">
        <v>16</v>
      </c>
      <c r="E58" s="1487">
        <v>665</v>
      </c>
      <c r="F58" s="1487">
        <v>2775</v>
      </c>
      <c r="G58" s="1487">
        <v>184.5</v>
      </c>
      <c r="J58" s="1487">
        <v>1</v>
      </c>
      <c r="K58" s="1487">
        <v>42</v>
      </c>
      <c r="L58" s="1487">
        <f t="shared" si="1"/>
        <v>115313</v>
      </c>
    </row>
    <row r="59" spans="1:12">
      <c r="A59" s="1487" t="s">
        <v>4205</v>
      </c>
      <c r="B59" s="1487" t="s">
        <v>3505</v>
      </c>
      <c r="C59" s="1487" t="s">
        <v>3931</v>
      </c>
      <c r="D59" s="1487">
        <v>15</v>
      </c>
      <c r="E59" s="1487">
        <v>213</v>
      </c>
      <c r="F59" s="1487">
        <v>13589</v>
      </c>
      <c r="G59" s="1487">
        <v>290</v>
      </c>
      <c r="L59" s="1487">
        <f t="shared" si="1"/>
        <v>193333</v>
      </c>
    </row>
    <row r="60" spans="1:12">
      <c r="A60" s="1487" t="s">
        <v>4248</v>
      </c>
      <c r="B60" s="1487" t="s">
        <v>3505</v>
      </c>
      <c r="C60" s="1487" t="s">
        <v>3555</v>
      </c>
      <c r="D60" s="1487">
        <v>12</v>
      </c>
      <c r="E60" s="1487">
        <v>398</v>
      </c>
      <c r="F60" s="1487">
        <v>2918</v>
      </c>
      <c r="G60" s="1487">
        <v>116</v>
      </c>
      <c r="J60" s="1487">
        <v>215</v>
      </c>
      <c r="K60" s="1487">
        <v>7123</v>
      </c>
      <c r="L60" s="1487">
        <f t="shared" si="1"/>
        <v>96667</v>
      </c>
    </row>
    <row r="61" spans="1:12">
      <c r="A61" s="3431" t="s">
        <v>4277</v>
      </c>
      <c r="B61" s="1487" t="s">
        <v>3505</v>
      </c>
      <c r="C61" s="1487" t="s">
        <v>4202</v>
      </c>
      <c r="D61" s="1487">
        <v>11</v>
      </c>
      <c r="E61" s="1487">
        <v>626</v>
      </c>
      <c r="F61" s="1487">
        <v>2511</v>
      </c>
      <c r="G61" s="1487">
        <v>157.19999999999999</v>
      </c>
      <c r="L61" s="1487">
        <f t="shared" si="1"/>
        <v>142909</v>
      </c>
    </row>
    <row r="62" spans="1:12">
      <c r="A62" s="1487" t="s">
        <v>4201</v>
      </c>
      <c r="B62" s="1487" t="s">
        <v>3505</v>
      </c>
      <c r="C62" s="1487" t="s">
        <v>4202</v>
      </c>
      <c r="D62" s="1487">
        <v>11</v>
      </c>
      <c r="E62" s="1487">
        <v>425</v>
      </c>
      <c r="F62" s="1487">
        <v>6045</v>
      </c>
      <c r="G62" s="1487">
        <v>257</v>
      </c>
      <c r="L62" s="1487">
        <f t="shared" si="1"/>
        <v>233636</v>
      </c>
    </row>
    <row r="63" spans="1:12">
      <c r="A63" s="3431" t="s">
        <v>4278</v>
      </c>
      <c r="B63" s="1487" t="s">
        <v>3505</v>
      </c>
      <c r="C63" s="1487" t="s">
        <v>4167</v>
      </c>
      <c r="D63" s="1487">
        <v>10</v>
      </c>
      <c r="E63" s="1487">
        <v>357</v>
      </c>
      <c r="F63" s="1487">
        <v>3701</v>
      </c>
      <c r="G63" s="1487">
        <v>132</v>
      </c>
      <c r="L63" s="1487">
        <f t="shared" si="1"/>
        <v>132000</v>
      </c>
    </row>
    <row r="64" spans="1:12">
      <c r="A64" s="1487" t="s">
        <v>4249</v>
      </c>
      <c r="B64" s="1487" t="s">
        <v>3505</v>
      </c>
      <c r="C64" s="1487" t="s">
        <v>3555</v>
      </c>
      <c r="D64" s="1487">
        <v>9</v>
      </c>
      <c r="E64" s="1487">
        <v>616</v>
      </c>
      <c r="F64" s="1487">
        <v>2661</v>
      </c>
      <c r="G64" s="1487">
        <v>164</v>
      </c>
      <c r="H64" s="1487">
        <v>95</v>
      </c>
      <c r="I64" s="1487">
        <v>6080</v>
      </c>
      <c r="L64" s="1487">
        <f t="shared" si="1"/>
        <v>182222</v>
      </c>
    </row>
    <row r="65" spans="1:12">
      <c r="A65" s="3431" t="s">
        <v>4285</v>
      </c>
      <c r="B65" s="1487" t="s">
        <v>3505</v>
      </c>
      <c r="C65" s="1487" t="s">
        <v>4165</v>
      </c>
      <c r="D65" s="1487">
        <v>8</v>
      </c>
      <c r="E65" s="1487">
        <v>264</v>
      </c>
      <c r="F65" s="1487">
        <v>4161</v>
      </c>
      <c r="G65" s="1487">
        <v>110</v>
      </c>
      <c r="H65" s="1487">
        <v>8</v>
      </c>
      <c r="I65" s="1487">
        <v>273</v>
      </c>
      <c r="L65" s="1487">
        <f t="shared" si="1"/>
        <v>137500</v>
      </c>
    </row>
    <row r="66" spans="1:12">
      <c r="A66" s="1487" t="s">
        <v>4250</v>
      </c>
      <c r="B66" s="1487" t="s">
        <v>3505</v>
      </c>
      <c r="C66" s="1487" t="s">
        <v>4186</v>
      </c>
      <c r="D66" s="1487">
        <v>6</v>
      </c>
      <c r="E66" s="1487">
        <v>193</v>
      </c>
      <c r="F66" s="1487">
        <v>5499</v>
      </c>
      <c r="G66" s="1487">
        <v>106.3</v>
      </c>
      <c r="L66" s="1487">
        <f t="shared" si="1"/>
        <v>177167</v>
      </c>
    </row>
    <row r="67" spans="1:12">
      <c r="A67" s="1487" t="s">
        <v>4216</v>
      </c>
      <c r="B67" s="1487" t="s">
        <v>3505</v>
      </c>
      <c r="C67" s="1487" t="s">
        <v>4004</v>
      </c>
      <c r="D67" s="1487">
        <v>5</v>
      </c>
      <c r="E67" s="1487">
        <v>185</v>
      </c>
      <c r="F67" s="1487">
        <v>6775</v>
      </c>
      <c r="G67" s="1487">
        <v>125</v>
      </c>
      <c r="L67" s="1487">
        <f t="shared" si="1"/>
        <v>250000</v>
      </c>
    </row>
    <row r="68" spans="1:12">
      <c r="A68" s="1487" t="s">
        <v>4203</v>
      </c>
      <c r="B68" s="1487" t="s">
        <v>3505</v>
      </c>
      <c r="C68" s="1487" t="s">
        <v>4202</v>
      </c>
      <c r="D68" s="1487">
        <v>5</v>
      </c>
      <c r="E68" s="1487">
        <v>182</v>
      </c>
      <c r="F68" s="1487">
        <v>4002</v>
      </c>
      <c r="G68" s="1487">
        <v>72.95</v>
      </c>
      <c r="L68" s="1487">
        <f t="shared" si="1"/>
        <v>145900</v>
      </c>
    </row>
    <row r="69" spans="1:12">
      <c r="A69" s="1487" t="s">
        <v>4251</v>
      </c>
      <c r="B69" s="1487" t="s">
        <v>3505</v>
      </c>
      <c r="C69" s="1487" t="s">
        <v>4234</v>
      </c>
      <c r="D69" s="1487">
        <v>5</v>
      </c>
      <c r="E69" s="1487">
        <v>85</v>
      </c>
      <c r="F69" s="1487">
        <v>4047</v>
      </c>
      <c r="G69" s="1487">
        <v>34.299999999999997</v>
      </c>
      <c r="L69" s="1487">
        <f t="shared" si="1"/>
        <v>68600</v>
      </c>
    </row>
    <row r="70" spans="1:12">
      <c r="A70" s="1487" t="s">
        <v>4219</v>
      </c>
      <c r="B70" s="1487" t="s">
        <v>3505</v>
      </c>
      <c r="C70" s="1487" t="s">
        <v>4220</v>
      </c>
      <c r="D70" s="1487">
        <v>4</v>
      </c>
      <c r="E70" s="1487">
        <v>120</v>
      </c>
      <c r="F70" s="1487">
        <v>5855</v>
      </c>
      <c r="G70" s="1487">
        <v>70</v>
      </c>
      <c r="H70" s="1487">
        <v>576</v>
      </c>
      <c r="I70" s="1487">
        <v>19226</v>
      </c>
      <c r="L70" s="1487">
        <f t="shared" si="1"/>
        <v>175000</v>
      </c>
    </row>
    <row r="71" spans="1:12">
      <c r="A71" s="1487" t="s">
        <v>4252</v>
      </c>
      <c r="B71" s="1487" t="s">
        <v>3505</v>
      </c>
      <c r="C71" s="1487" t="s">
        <v>3555</v>
      </c>
      <c r="D71" s="1487">
        <v>4</v>
      </c>
      <c r="E71" s="1487">
        <v>72</v>
      </c>
      <c r="F71" s="1487">
        <v>5590</v>
      </c>
      <c r="G71" s="1487">
        <v>40</v>
      </c>
      <c r="H71" s="1487">
        <v>3</v>
      </c>
      <c r="I71" s="1487">
        <v>56</v>
      </c>
      <c r="L71" s="1487">
        <f t="shared" si="1"/>
        <v>100000</v>
      </c>
    </row>
    <row r="72" spans="1:12">
      <c r="A72" s="1487" t="s">
        <v>4253</v>
      </c>
      <c r="B72" s="1487" t="s">
        <v>3505</v>
      </c>
      <c r="C72" s="1487" t="s">
        <v>3931</v>
      </c>
      <c r="D72" s="1487">
        <v>3</v>
      </c>
      <c r="E72" s="1487">
        <v>196</v>
      </c>
      <c r="F72" s="1487">
        <v>4124</v>
      </c>
      <c r="G72" s="1487">
        <v>81</v>
      </c>
      <c r="L72" s="1487">
        <f t="shared" si="1"/>
        <v>270000</v>
      </c>
    </row>
    <row r="73" spans="1:12">
      <c r="A73" s="3431" t="s">
        <v>4279</v>
      </c>
      <c r="B73" s="1487" t="s">
        <v>3505</v>
      </c>
      <c r="C73" s="1487" t="s">
        <v>3753</v>
      </c>
      <c r="D73" s="1487">
        <v>2</v>
      </c>
      <c r="E73" s="1487">
        <v>89</v>
      </c>
      <c r="F73" s="1487">
        <v>2916</v>
      </c>
      <c r="G73" s="1487">
        <v>26</v>
      </c>
      <c r="L73" s="1487">
        <f t="shared" si="1"/>
        <v>130000</v>
      </c>
    </row>
    <row r="74" spans="1:12">
      <c r="A74" s="1487" t="s">
        <v>4254</v>
      </c>
      <c r="B74" s="1487" t="s">
        <v>3505</v>
      </c>
      <c r="C74" s="1487" t="s">
        <v>4184</v>
      </c>
      <c r="D74" s="1487">
        <v>2</v>
      </c>
      <c r="E74" s="1487">
        <v>134</v>
      </c>
      <c r="F74" s="1487">
        <v>747</v>
      </c>
      <c r="G74" s="1487">
        <v>10</v>
      </c>
      <c r="L74" s="1487">
        <f t="shared" si="1"/>
        <v>50000</v>
      </c>
    </row>
    <row r="75" spans="1:12">
      <c r="A75" s="3431" t="s">
        <v>4280</v>
      </c>
      <c r="B75" s="1487" t="s">
        <v>3505</v>
      </c>
      <c r="C75" s="1487" t="s">
        <v>4178</v>
      </c>
      <c r="D75" s="1487">
        <v>2</v>
      </c>
      <c r="E75" s="1487">
        <v>67</v>
      </c>
      <c r="F75" s="1487">
        <v>4172</v>
      </c>
      <c r="G75" s="1487">
        <v>28</v>
      </c>
      <c r="H75" s="1487">
        <v>322</v>
      </c>
      <c r="I75" s="1487">
        <v>10907</v>
      </c>
      <c r="L75" s="1487">
        <f t="shared" si="1"/>
        <v>140000</v>
      </c>
    </row>
    <row r="76" spans="1:12">
      <c r="A76" s="1487" t="s">
        <v>4255</v>
      </c>
      <c r="B76" s="1487" t="s">
        <v>3505</v>
      </c>
      <c r="C76" s="1487" t="s">
        <v>4184</v>
      </c>
      <c r="D76" s="1487">
        <v>1</v>
      </c>
      <c r="E76" s="1487">
        <v>38</v>
      </c>
      <c r="F76" s="1487">
        <v>3403</v>
      </c>
      <c r="G76" s="1487">
        <v>13</v>
      </c>
      <c r="L76" s="1487">
        <f t="shared" si="1"/>
        <v>130000</v>
      </c>
    </row>
    <row r="77" spans="1:12">
      <c r="A77" s="1487" t="s">
        <v>4256</v>
      </c>
      <c r="B77" s="1487" t="s">
        <v>3505</v>
      </c>
      <c r="C77" s="1487" t="s">
        <v>4202</v>
      </c>
      <c r="D77" s="1487">
        <v>1</v>
      </c>
      <c r="E77" s="1487">
        <v>39</v>
      </c>
      <c r="F77" s="1487">
        <v>7605</v>
      </c>
      <c r="G77" s="1487">
        <v>30</v>
      </c>
      <c r="L77" s="1487">
        <f t="shared" si="1"/>
        <v>300000</v>
      </c>
    </row>
    <row r="78" spans="1:12">
      <c r="A78" s="1487" t="s">
        <v>4257</v>
      </c>
      <c r="B78" s="1487" t="s">
        <v>3505</v>
      </c>
      <c r="C78" s="1487" t="s">
        <v>3555</v>
      </c>
      <c r="D78" s="1487">
        <v>1</v>
      </c>
      <c r="E78" s="1487">
        <v>45</v>
      </c>
      <c r="F78" s="1487">
        <v>2444</v>
      </c>
      <c r="G78" s="1487">
        <v>10.88</v>
      </c>
      <c r="J78" s="1487">
        <v>319</v>
      </c>
      <c r="K78" s="1487">
        <v>14291</v>
      </c>
      <c r="L78" s="1487">
        <f t="shared" si="1"/>
        <v>108800</v>
      </c>
    </row>
    <row r="79" spans="1:12">
      <c r="A79" s="1487" t="s">
        <v>4211</v>
      </c>
      <c r="B79" s="1487" t="s">
        <v>3505</v>
      </c>
      <c r="C79" s="1487" t="s">
        <v>4202</v>
      </c>
      <c r="D79" s="1487">
        <v>1</v>
      </c>
      <c r="E79" s="1487">
        <v>39</v>
      </c>
      <c r="F79" s="1487">
        <v>4930</v>
      </c>
      <c r="G79" s="1487">
        <v>19</v>
      </c>
      <c r="L79" s="1487">
        <f t="shared" si="1"/>
        <v>190000</v>
      </c>
    </row>
    <row r="80" spans="1:12">
      <c r="A80" s="1487" t="s">
        <v>4258</v>
      </c>
      <c r="B80" s="1487" t="s">
        <v>3505</v>
      </c>
      <c r="C80" s="1487" t="s">
        <v>4259</v>
      </c>
      <c r="D80" s="1487">
        <v>1</v>
      </c>
      <c r="E80" s="1487">
        <v>37</v>
      </c>
      <c r="F80" s="1487">
        <v>4910</v>
      </c>
      <c r="G80" s="1487">
        <v>18</v>
      </c>
      <c r="L80" s="1487">
        <f t="shared" si="1"/>
        <v>180000</v>
      </c>
    </row>
    <row r="81" spans="1:12">
      <c r="A81" s="1487" t="s">
        <v>4222</v>
      </c>
      <c r="B81" s="1487" t="s">
        <v>3505</v>
      </c>
      <c r="C81" s="1487" t="s">
        <v>4202</v>
      </c>
      <c r="D81" s="1487">
        <v>1</v>
      </c>
      <c r="E81" s="1487">
        <v>14</v>
      </c>
      <c r="F81" s="1487">
        <v>12676</v>
      </c>
      <c r="G81" s="1487">
        <v>18</v>
      </c>
      <c r="J81" s="1487">
        <v>170</v>
      </c>
      <c r="K81" s="1487">
        <v>7081</v>
      </c>
      <c r="L81" s="1487">
        <f t="shared" si="1"/>
        <v>180000</v>
      </c>
    </row>
    <row r="82" spans="1:12">
      <c r="A82" s="1487" t="s">
        <v>4160</v>
      </c>
      <c r="B82" s="1487" t="s">
        <v>3505</v>
      </c>
      <c r="C82" s="1487" t="s">
        <v>3931</v>
      </c>
      <c r="H82" s="1487">
        <v>806</v>
      </c>
      <c r="I82" s="1487">
        <v>23890</v>
      </c>
      <c r="J82" s="1487">
        <v>806</v>
      </c>
      <c r="K82" s="1487">
        <v>23890</v>
      </c>
      <c r="L82" s="1487" t="e">
        <f t="shared" si="1"/>
        <v>#DIV/0!</v>
      </c>
    </row>
    <row r="83" spans="1:12">
      <c r="A83" s="1487" t="s">
        <v>4173</v>
      </c>
      <c r="B83" s="1487" t="s">
        <v>3505</v>
      </c>
      <c r="C83" s="1487" t="s">
        <v>3753</v>
      </c>
      <c r="H83" s="1487">
        <v>678</v>
      </c>
      <c r="I83" s="1487">
        <v>21879</v>
      </c>
      <c r="J83" s="1487">
        <v>678</v>
      </c>
      <c r="K83" s="1487">
        <v>21879</v>
      </c>
      <c r="L83" s="1487" t="e">
        <f t="shared" si="1"/>
        <v>#DIV/0!</v>
      </c>
    </row>
    <row r="84" spans="1:12">
      <c r="A84" s="1487" t="s">
        <v>3908</v>
      </c>
      <c r="B84" s="1487" t="s">
        <v>3505</v>
      </c>
      <c r="C84" s="1487" t="s">
        <v>3567</v>
      </c>
      <c r="H84" s="1487">
        <v>274</v>
      </c>
      <c r="I84" s="1487">
        <v>9715</v>
      </c>
      <c r="J84" s="1487">
        <v>274</v>
      </c>
      <c r="K84" s="1487">
        <v>9715</v>
      </c>
      <c r="L84" s="1487" t="e">
        <f t="shared" si="1"/>
        <v>#DIV/0!</v>
      </c>
    </row>
    <row r="85" spans="1:12">
      <c r="A85" s="1487" t="s">
        <v>4161</v>
      </c>
      <c r="B85" s="1487" t="s">
        <v>3505</v>
      </c>
      <c r="C85" s="1487" t="s">
        <v>3555</v>
      </c>
      <c r="J85" s="1487">
        <v>581</v>
      </c>
      <c r="K85" s="1487">
        <v>15996</v>
      </c>
      <c r="L85" s="1487" t="e">
        <f t="shared" ref="L85:L90" si="2">ROUND(G85*10000/D85,0)</f>
        <v>#DIV/0!</v>
      </c>
    </row>
    <row r="86" spans="1:12">
      <c r="A86" s="1487" t="s">
        <v>4176</v>
      </c>
      <c r="B86" s="1487" t="s">
        <v>3505</v>
      </c>
      <c r="C86" s="1487" t="s">
        <v>4165</v>
      </c>
      <c r="J86" s="1487">
        <v>1036</v>
      </c>
      <c r="K86" s="1487">
        <v>31440</v>
      </c>
      <c r="L86" s="1487" t="e">
        <f t="shared" si="2"/>
        <v>#DIV/0!</v>
      </c>
    </row>
    <row r="87" spans="1:12">
      <c r="A87" s="1487" t="s">
        <v>4213</v>
      </c>
      <c r="B87" s="1487" t="s">
        <v>3505</v>
      </c>
      <c r="C87" s="1487" t="s">
        <v>3688</v>
      </c>
      <c r="J87" s="1487">
        <v>903</v>
      </c>
      <c r="K87" s="1487">
        <v>33798</v>
      </c>
      <c r="L87" s="1487" t="e">
        <f t="shared" si="2"/>
        <v>#DIV/0!</v>
      </c>
    </row>
    <row r="88" spans="1:12">
      <c r="A88" s="1487" t="s">
        <v>4260</v>
      </c>
      <c r="B88" s="1487" t="s">
        <v>3505</v>
      </c>
      <c r="C88" s="1487" t="s">
        <v>4261</v>
      </c>
      <c r="J88" s="1487">
        <v>456</v>
      </c>
      <c r="K88" s="1487">
        <v>22101</v>
      </c>
      <c r="L88" s="1487" t="e">
        <f t="shared" si="2"/>
        <v>#DIV/0!</v>
      </c>
    </row>
    <row r="89" spans="1:12">
      <c r="A89" s="1487" t="s">
        <v>4262</v>
      </c>
      <c r="B89" s="1487" t="s">
        <v>3505</v>
      </c>
      <c r="C89" s="1487" t="s">
        <v>4236</v>
      </c>
      <c r="J89" s="1487">
        <v>622</v>
      </c>
      <c r="K89" s="1487">
        <v>25753</v>
      </c>
      <c r="L89" s="1487" t="e">
        <f t="shared" si="2"/>
        <v>#DIV/0!</v>
      </c>
    </row>
    <row r="90" spans="1:12">
      <c r="A90" s="1487" t="s">
        <v>4263</v>
      </c>
      <c r="B90" s="1487" t="s">
        <v>3505</v>
      </c>
      <c r="C90" s="1487" t="s">
        <v>4220</v>
      </c>
      <c r="J90" s="1487">
        <v>255</v>
      </c>
      <c r="K90" s="1487">
        <v>10675</v>
      </c>
      <c r="L90" s="1487" t="e">
        <f t="shared" si="2"/>
        <v>#DIV/0!</v>
      </c>
    </row>
    <row r="93" spans="1:12" hidden="1"/>
    <row r="94" spans="1:12" hidden="1"/>
    <row r="95" spans="1:12" hidden="1"/>
    <row r="96" spans="1:12"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2" hidden="1"/>
    <row r="123" hidden="1"/>
    <row r="124" hidden="1"/>
    <row r="125" hidden="1"/>
    <row r="126" hidden="1"/>
    <row r="127" hidden="1"/>
    <row r="128" hidden="1"/>
    <row r="129" hidden="1"/>
    <row r="130"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16:16" hidden="1"/>
    <row r="274" spans="16:16" hidden="1"/>
    <row r="275" spans="16:16" hidden="1"/>
    <row r="276" spans="16:16" hidden="1"/>
    <row r="277" spans="16:16" hidden="1"/>
    <row r="278" spans="16:16" hidden="1"/>
    <row r="279" spans="16:16" hidden="1">
      <c r="P279" s="1487">
        <f>ROUND(195/12*10000,0)</f>
        <v>162500</v>
      </c>
    </row>
    <row r="280" spans="16:16" hidden="1"/>
    <row r="281" spans="16:16" hidden="1"/>
    <row r="282" spans="16:16" hidden="1"/>
    <row r="283" spans="16:16" hidden="1"/>
    <row r="334" spans="16:16">
      <c r="P334" s="1487">
        <f>ROUND(1759.49/125*10000,0)</f>
        <v>140759</v>
      </c>
    </row>
    <row r="380" spans="16:16">
      <c r="P380" s="1487">
        <f>ROUND(614.5/49*10000,0)</f>
        <v>125408</v>
      </c>
    </row>
  </sheetData>
  <mergeCells count="1">
    <mergeCell ref="A1:K1"/>
  </mergeCells>
  <phoneticPr fontId="22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华夏：</v>
      </c>
    </row>
    <row r="4" spans="1:4" ht="56.25">
      <c r="A4" s="1485"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88" t="s">
        <v>1429</v>
      </c>
    </row>
    <row r="6" spans="1:4" ht="112.5">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89" t="s">
        <v>2027</v>
      </c>
    </row>
    <row r="8" spans="1:4" ht="18.75">
      <c r="A8" s="1488" t="s">
        <v>1430</v>
      </c>
    </row>
    <row r="9" spans="1:4" ht="112.5">
      <c r="A9" s="1485"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0" t="s">
        <v>1542</v>
      </c>
    </row>
    <row r="11" spans="1:4" ht="18.75">
      <c r="A11" s="1474" t="str">
        <f>TEXT(项目基本情况!D3,"yyyy年m月d日;;")&amp;IF(项目基本情况!B3=项目基本情况!D3,"（评估专业人员勘察现场之日）","")</f>
        <v>2024年11月21日（评估专业人员勘察现场之日）</v>
      </c>
    </row>
    <row r="12" spans="1:4" ht="18.75">
      <c r="A12" s="1490" t="s">
        <v>1541</v>
      </c>
    </row>
    <row r="13" spans="1:4" ht="18.75">
      <c r="A13" s="1485" t="s">
        <v>2197</v>
      </c>
    </row>
    <row r="14" spans="1:4" ht="18.75">
      <c r="A14" s="1485" t="str">
        <f>"根据"&amp;项目基本情况!F12&amp;"，本次评估估价对象证载（地类）用途为"&amp;项目基本情况!B12&amp;"。"</f>
        <v>根据《国有土地使用证》[]，本次评估估价对象证载（地类）用途为F1。</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1588</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5" t="s">
        <v>1589</v>
      </c>
    </row>
    <row r="20" spans="1:1" ht="56.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5" t="s">
        <v>1590</v>
      </c>
    </row>
    <row r="22" spans="1:1" ht="75">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5" t="str">
        <f>IF(项目基本情况!A17="出让","本次评估设定估价对象剩余土地使用年限为"&amp;项目基本情况!D20&amp;"。","")</f>
        <v>本次评估设定估价对象剩余土地使用年限为。</v>
      </c>
    </row>
    <row r="24" spans="1:1" ht="18.75">
      <c r="A24" s="1485" t="s">
        <v>1591</v>
      </c>
    </row>
    <row r="25" spans="1:1" ht="93.75">
      <c r="A25" s="1485"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0" t="s">
        <v>1543</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3"/>
  <sheetViews>
    <sheetView topLeftCell="A536" workbookViewId="0">
      <selection activeCell="M559" sqref="M559"/>
    </sheetView>
  </sheetViews>
  <sheetFormatPr defaultRowHeight="13.5"/>
  <sheetData>
    <row r="1" spans="1:10">
      <c r="A1" s="2743" t="s">
        <v>4037</v>
      </c>
      <c r="B1" s="2743" t="s">
        <v>4038</v>
      </c>
      <c r="C1" s="2743" t="s">
        <v>4039</v>
      </c>
      <c r="D1" s="3385" t="s">
        <v>4040</v>
      </c>
      <c r="E1" s="2743" t="s">
        <v>3316</v>
      </c>
      <c r="F1" s="2743" t="s">
        <v>4041</v>
      </c>
      <c r="G1" s="2743" t="s">
        <v>3296</v>
      </c>
      <c r="H1" s="2743" t="s">
        <v>4050</v>
      </c>
      <c r="I1" s="2743" t="s">
        <v>4051</v>
      </c>
      <c r="J1" s="2743" t="s">
        <v>4053</v>
      </c>
    </row>
    <row r="2" spans="1:10" s="3390" customFormat="1">
      <c r="A2" s="3390">
        <v>1</v>
      </c>
      <c r="B2" s="3390" t="s">
        <v>4042</v>
      </c>
      <c r="C2" s="3390">
        <v>28524</v>
      </c>
      <c r="D2" s="3397">
        <v>29748</v>
      </c>
    </row>
    <row r="3" spans="1:10" s="3386" customFormat="1">
      <c r="A3" s="3386">
        <v>2</v>
      </c>
      <c r="B3" s="3385" t="s">
        <v>4043</v>
      </c>
      <c r="C3" s="3386">
        <v>25009</v>
      </c>
      <c r="D3" s="3386">
        <v>25224</v>
      </c>
      <c r="E3" s="3386">
        <v>15</v>
      </c>
    </row>
    <row r="4" spans="1:10">
      <c r="A4">
        <v>3</v>
      </c>
      <c r="B4" s="2743" t="s">
        <v>4044</v>
      </c>
      <c r="C4">
        <v>26359</v>
      </c>
      <c r="D4" s="3386">
        <v>25667</v>
      </c>
      <c r="E4">
        <v>10</v>
      </c>
    </row>
    <row r="5" spans="1:10" s="3386" customFormat="1">
      <c r="A5" s="3386">
        <v>4</v>
      </c>
      <c r="B5" s="3385" t="s">
        <v>4045</v>
      </c>
      <c r="C5" s="3386">
        <v>24752</v>
      </c>
      <c r="D5" s="3386">
        <v>23128</v>
      </c>
      <c r="E5" s="3386">
        <v>16</v>
      </c>
    </row>
    <row r="6" spans="1:10" s="3398" customFormat="1">
      <c r="A6" s="3398">
        <v>5</v>
      </c>
      <c r="B6" s="3398" t="s">
        <v>4270</v>
      </c>
      <c r="C6" s="3398">
        <v>27288</v>
      </c>
      <c r="D6" s="3398">
        <v>27100</v>
      </c>
      <c r="E6" s="3398">
        <v>13.43</v>
      </c>
      <c r="G6" s="3398">
        <v>1.6</v>
      </c>
      <c r="H6" s="3398">
        <v>225648</v>
      </c>
      <c r="I6" s="3398" t="s">
        <v>4052</v>
      </c>
      <c r="J6" s="3398" t="s">
        <v>4055</v>
      </c>
    </row>
    <row r="7" spans="1:10" s="3398" customFormat="1">
      <c r="A7" s="3398">
        <v>6</v>
      </c>
      <c r="B7" s="3398" t="s">
        <v>4264</v>
      </c>
      <c r="C7" s="3398">
        <v>27334</v>
      </c>
      <c r="D7" s="3398">
        <v>26415</v>
      </c>
      <c r="E7" s="3398">
        <v>12.17</v>
      </c>
      <c r="G7" s="3398">
        <v>2</v>
      </c>
      <c r="H7" s="3398">
        <v>96815</v>
      </c>
      <c r="I7" s="3398" t="s">
        <v>4058</v>
      </c>
      <c r="J7" s="3398" t="s">
        <v>4059</v>
      </c>
    </row>
    <row r="8" spans="1:10" s="3386" customFormat="1">
      <c r="A8" s="3386">
        <v>7</v>
      </c>
      <c r="B8" s="3385" t="s">
        <v>4046</v>
      </c>
      <c r="C8" s="3386">
        <v>34118</v>
      </c>
      <c r="D8" s="3386">
        <v>33367</v>
      </c>
      <c r="E8" s="3386">
        <v>14.75</v>
      </c>
      <c r="F8" s="3386">
        <v>15000</v>
      </c>
    </row>
    <row r="9" spans="1:10" s="3399" customFormat="1">
      <c r="A9" s="3399">
        <v>8</v>
      </c>
      <c r="B9" s="3400" t="s">
        <v>4265</v>
      </c>
      <c r="C9" s="3399">
        <v>26755</v>
      </c>
      <c r="D9" s="3399">
        <v>25853</v>
      </c>
      <c r="G9" s="3399">
        <v>1.34</v>
      </c>
      <c r="H9" s="3399">
        <v>241540</v>
      </c>
      <c r="I9" s="3400" t="s">
        <v>4057</v>
      </c>
      <c r="J9" s="3400" t="s">
        <v>4055</v>
      </c>
    </row>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9:32" hidden="1"/>
    <row r="98" spans="19:32" hidden="1"/>
    <row r="99" spans="19:32" hidden="1"/>
    <row r="100" spans="19:32" hidden="1"/>
    <row r="101" spans="19:32" hidden="1">
      <c r="S101" s="2743" t="s">
        <v>4147</v>
      </c>
      <c r="U101" s="2743" t="s">
        <v>4224</v>
      </c>
      <c r="AF101" s="2743"/>
    </row>
    <row r="102" spans="19:32" hidden="1"/>
    <row r="103" spans="19:32" hidden="1"/>
    <row r="104" spans="19:32" hidden="1"/>
    <row r="105" spans="19:32" hidden="1"/>
    <row r="106" spans="19:32" hidden="1"/>
    <row r="107" spans="19:32" hidden="1"/>
    <row r="108" spans="19:32" hidden="1"/>
    <row r="109" spans="19:32" hidden="1"/>
    <row r="110" spans="19:32" hidden="1"/>
    <row r="111" spans="19:32" hidden="1"/>
    <row r="112" spans="19:3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spans="23:23" hidden="1"/>
    <row r="130" spans="23:23" hidden="1"/>
    <row r="131" spans="23:23" hidden="1"/>
    <row r="132" spans="23:23" hidden="1"/>
    <row r="133" spans="23:23" hidden="1"/>
    <row r="134" spans="23:23" hidden="1"/>
    <row r="135" spans="23:23" hidden="1"/>
    <row r="136" spans="23:23" hidden="1"/>
    <row r="137" spans="23:23" hidden="1">
      <c r="W137">
        <f>ROUND(1759.09/131,2)</f>
        <v>13.43</v>
      </c>
    </row>
    <row r="138" spans="23:23" hidden="1"/>
    <row r="139" spans="23:23" hidden="1"/>
    <row r="140" spans="23:23" hidden="1"/>
    <row r="141" spans="23:23" hidden="1"/>
    <row r="142" spans="23:23" hidden="1">
      <c r="W142">
        <f>36.5/3</f>
        <v>12.166666666666666</v>
      </c>
    </row>
    <row r="143" spans="23:23" hidden="1">
      <c r="W143">
        <f>614.5/49</f>
        <v>12.540816326530612</v>
      </c>
    </row>
    <row r="144" spans="23:23" hidden="1">
      <c r="W144">
        <f>325.4/20</f>
        <v>16.27</v>
      </c>
    </row>
    <row r="147" spans="2:2">
      <c r="B147" s="2743" t="s">
        <v>4224</v>
      </c>
    </row>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spans="2:2" hidden="1"/>
    <row r="338" spans="2:2" hidden="1"/>
    <row r="339" spans="2:2">
      <c r="B339" s="2743" t="s">
        <v>4224</v>
      </c>
    </row>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2:2" hidden="1"/>
    <row r="498" spans="2:2" hidden="1"/>
    <row r="499" spans="2:2" hidden="1"/>
    <row r="500" spans="2:2" hidden="1"/>
    <row r="501" spans="2:2" hidden="1"/>
    <row r="502" spans="2:2" hidden="1"/>
    <row r="503" spans="2:2">
      <c r="B503" s="2743" t="s">
        <v>4224</v>
      </c>
    </row>
  </sheetData>
  <phoneticPr fontId="22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0" zoomScaleNormal="60" zoomScaleSheetLayoutView="80" workbookViewId="0">
      <selection activeCell="C43" sqref="C43"/>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4" t="s">
        <v>1254</v>
      </c>
      <c r="B1" s="673"/>
      <c r="C1" s="706" t="s">
        <v>4082</v>
      </c>
      <c r="D1" s="2359" t="s">
        <v>4073</v>
      </c>
      <c r="E1" s="1944" t="s">
        <v>808</v>
      </c>
      <c r="F1" s="1945">
        <f ca="1">J53</f>
        <v>47.08</v>
      </c>
      <c r="G1" s="2754">
        <f>MATCH(C1,'数据-取费表'!A6:A16,0)+5</f>
        <v>10</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1" t="s">
        <v>427</v>
      </c>
      <c r="B2" s="708">
        <f ca="1">C40+J29+L46</f>
        <v>615</v>
      </c>
      <c r="C2" s="2759"/>
      <c r="D2" s="2758"/>
      <c r="E2" s="2760"/>
      <c r="F2" s="2760"/>
      <c r="G2" s="2755"/>
      <c r="H2" s="1667"/>
      <c r="I2" s="1667"/>
      <c r="J2" s="1667"/>
      <c r="K2" s="1668"/>
      <c r="L2" s="1667"/>
      <c r="M2" s="1667"/>
    </row>
    <row r="3" spans="1:33" ht="18" customHeight="1" thickBot="1">
      <c r="A3" s="765" t="s">
        <v>735</v>
      </c>
      <c r="B3" s="766">
        <f ca="1">IF(ISERROR(B2*10000/F43),0,ROUND(B2*10000/F43,0))</f>
        <v>2190</v>
      </c>
      <c r="C3" s="2759"/>
      <c r="D3" s="2758"/>
      <c r="E3" s="2760"/>
      <c r="F3" s="2760"/>
      <c r="G3" s="2755"/>
      <c r="H3" s="709" t="s">
        <v>642</v>
      </c>
      <c r="I3" s="1154"/>
      <c r="J3" s="1154"/>
      <c r="K3" s="1321"/>
      <c r="L3" s="1154"/>
      <c r="M3" s="1154"/>
    </row>
    <row r="4" spans="1:33" ht="18" customHeight="1">
      <c r="A4" s="710" t="s">
        <v>578</v>
      </c>
      <c r="B4" s="711" t="s">
        <v>579</v>
      </c>
      <c r="C4" s="711" t="s">
        <v>1259</v>
      </c>
      <c r="D4" s="711" t="s">
        <v>581</v>
      </c>
      <c r="E4" s="712" t="s">
        <v>1260</v>
      </c>
      <c r="F4" s="713"/>
      <c r="G4" s="1665"/>
      <c r="H4" s="710" t="s">
        <v>578</v>
      </c>
      <c r="I4" s="711" t="s">
        <v>579</v>
      </c>
      <c r="J4" s="711" t="s">
        <v>1259</v>
      </c>
      <c r="K4" s="711" t="s">
        <v>581</v>
      </c>
      <c r="L4" s="712" t="s">
        <v>1260</v>
      </c>
      <c r="M4" s="713"/>
    </row>
    <row r="5" spans="1:33" ht="18" customHeight="1">
      <c r="A5" s="714">
        <v>1</v>
      </c>
      <c r="B5" s="715" t="s">
        <v>1800</v>
      </c>
      <c r="C5" s="51">
        <f ca="1">C6+C10+C12</f>
        <v>38</v>
      </c>
      <c r="D5" s="1998" t="s">
        <v>1803</v>
      </c>
      <c r="E5" s="1992"/>
      <c r="F5" s="1993"/>
      <c r="G5" s="1665"/>
      <c r="H5" s="714">
        <v>1</v>
      </c>
      <c r="I5" s="715" t="s">
        <v>1800</v>
      </c>
      <c r="J5" s="51">
        <f ca="1">J6+J10+J12</f>
        <v>0</v>
      </c>
      <c r="K5" s="1998" t="s">
        <v>1803</v>
      </c>
      <c r="L5" s="1992"/>
      <c r="M5" s="1993"/>
    </row>
    <row r="6" spans="1:33" ht="18" customHeight="1">
      <c r="A6" s="1518" t="s">
        <v>1353</v>
      </c>
      <c r="B6" s="3701" t="s">
        <v>1805</v>
      </c>
      <c r="C6" s="716">
        <f ca="1">ROUND(F6*F8*F7*(1-F9)/10000,0)</f>
        <v>38</v>
      </c>
      <c r="D6" s="1999" t="s">
        <v>1804</v>
      </c>
      <c r="E6" s="717" t="s">
        <v>585</v>
      </c>
      <c r="F6" s="718">
        <f ca="1">INDIRECT("'数据-取费表'!u"&amp;$G$1)</f>
        <v>300</v>
      </c>
      <c r="G6" s="1665"/>
      <c r="H6" s="2006" t="s">
        <v>1353</v>
      </c>
      <c r="I6" s="3701" t="s">
        <v>1805</v>
      </c>
      <c r="J6" s="716">
        <f ca="1">ROUND(M6*M8*M7*(1-M9)/10000,0)</f>
        <v>0</v>
      </c>
      <c r="K6" s="313" t="s">
        <v>1266</v>
      </c>
      <c r="L6" s="717" t="s">
        <v>585</v>
      </c>
      <c r="M6" s="718">
        <f ca="1">INDIRECT("'数据-取费表'!z"&amp;$G$1)</f>
        <v>0</v>
      </c>
    </row>
    <row r="7" spans="1:33" ht="18" customHeight="1">
      <c r="A7" s="2002"/>
      <c r="B7" s="3702"/>
      <c r="C7" s="721"/>
      <c r="D7" s="722"/>
      <c r="E7" s="717" t="s">
        <v>586</v>
      </c>
      <c r="F7" s="718">
        <f ca="1">IF(INDIRECT("'数据-取费表'!ah"&amp;$G$1)="",INDIRECT("'数据-取费表'!k"&amp;$G$1),INDIRECT("'数据-取费表'!ah"&amp;$G$1))</f>
        <v>118</v>
      </c>
      <c r="G7" s="1665"/>
      <c r="H7" s="1991"/>
      <c r="I7" s="3702"/>
      <c r="J7" s="721"/>
      <c r="K7" s="722"/>
      <c r="L7" s="717" t="s">
        <v>586</v>
      </c>
      <c r="M7" s="718">
        <f ca="1">F7</f>
        <v>118</v>
      </c>
    </row>
    <row r="8" spans="1:33" ht="18" customHeight="1">
      <c r="A8" s="1995"/>
      <c r="B8" s="3703"/>
      <c r="C8" s="721"/>
      <c r="D8" s="722"/>
      <c r="E8" s="717" t="s">
        <v>587</v>
      </c>
      <c r="F8" s="718">
        <f ca="1">INDIRECT("'数据-取费表'!ai"&amp;$G$1)</f>
        <v>12</v>
      </c>
      <c r="G8" s="1665"/>
      <c r="H8" s="1991"/>
      <c r="I8" s="3703"/>
      <c r="J8" s="721"/>
      <c r="K8" s="722"/>
      <c r="L8" s="717" t="s">
        <v>587</v>
      </c>
      <c r="M8" s="718">
        <f ca="1">INDIRECT("'数据-取费表'!ai"&amp;$G$1)</f>
        <v>12</v>
      </c>
    </row>
    <row r="9" spans="1:33" ht="18" customHeight="1">
      <c r="A9" s="719"/>
      <c r="B9" s="3704"/>
      <c r="C9" s="721"/>
      <c r="D9" s="722"/>
      <c r="E9" s="717" t="s">
        <v>588</v>
      </c>
      <c r="F9" s="727">
        <f ca="1">INDIRECT("'数据-取费表'!w"&amp;$G$1)</f>
        <v>0.1</v>
      </c>
      <c r="G9" s="1665"/>
      <c r="H9" s="2007"/>
      <c r="I9" s="3703"/>
      <c r="J9" s="721"/>
      <c r="K9" s="722"/>
      <c r="L9" s="728" t="s">
        <v>588</v>
      </c>
      <c r="M9" s="729">
        <f ca="1">INDIRECT("'数据-取费表'!ab"&amp;$G$1)</f>
        <v>0</v>
      </c>
    </row>
    <row r="10" spans="1:33" ht="18" customHeight="1">
      <c r="A10" s="1518" t="s">
        <v>1354</v>
      </c>
      <c r="B10" s="1996" t="s">
        <v>1801</v>
      </c>
      <c r="C10" s="732">
        <f ca="1">ROUND(IF(F10="押一",C6/12*F11,IF(F10="押二",C6/12*2*F11,IF(F10="押三",C6/12*3*F11,C11*F11))),0)</f>
        <v>0</v>
      </c>
      <c r="D10" s="2003" t="s">
        <v>2225</v>
      </c>
      <c r="E10" s="2000" t="s">
        <v>1806</v>
      </c>
      <c r="F10" s="2073" t="s">
        <v>4084</v>
      </c>
      <c r="G10" s="1665"/>
      <c r="H10" s="2034" t="s">
        <v>1354</v>
      </c>
      <c r="I10" s="2038" t="s">
        <v>1801</v>
      </c>
      <c r="J10" s="716">
        <f ca="1">ROUND(IF(M10="押一",J6/12*M11,IF(M10="押二",J6/12*2*M11,IF(M10="押三",J6/12*3*M11,J11*M11))),0)</f>
        <v>0</v>
      </c>
      <c r="K10" s="2003" t="s">
        <v>2225</v>
      </c>
      <c r="L10" s="2000" t="s">
        <v>1806</v>
      </c>
      <c r="M10" s="2073"/>
    </row>
    <row r="11" spans="1:33" ht="18" customHeight="1">
      <c r="A11" s="723"/>
      <c r="B11" s="1997" t="s">
        <v>1854</v>
      </c>
      <c r="C11" s="2001"/>
      <c r="D11" s="722"/>
      <c r="E11" s="2000" t="s">
        <v>1799</v>
      </c>
      <c r="F11" s="729">
        <f ca="1">'数据-取费表'!B39</f>
        <v>1.4999999999999999E-2</v>
      </c>
      <c r="G11" s="1665"/>
      <c r="H11" s="2035"/>
      <c r="I11" s="1997" t="s">
        <v>1854</v>
      </c>
      <c r="J11" s="2001"/>
      <c r="K11" s="285"/>
      <c r="L11" s="2000" t="s">
        <v>1799</v>
      </c>
      <c r="M11" s="1994">
        <f ca="1">'数据-取费表'!B39</f>
        <v>1.4999999999999999E-2</v>
      </c>
    </row>
    <row r="12" spans="1:33" ht="18" customHeight="1" thickBot="1">
      <c r="A12" s="2010" t="s">
        <v>1809</v>
      </c>
      <c r="B12" s="2011" t="s">
        <v>1802</v>
      </c>
      <c r="C12" s="2012"/>
      <c r="D12" s="2013"/>
      <c r="E12" s="2014"/>
      <c r="F12" s="2015"/>
      <c r="G12" s="1665"/>
      <c r="H12" s="2024" t="s">
        <v>1809</v>
      </c>
      <c r="I12" s="2036" t="s">
        <v>1802</v>
      </c>
      <c r="J12" s="2037"/>
      <c r="K12" s="2013"/>
      <c r="L12" s="2014"/>
      <c r="M12" s="2027"/>
    </row>
    <row r="13" spans="1:33" ht="18" customHeight="1" thickTop="1">
      <c r="A13" s="1517">
        <v>2</v>
      </c>
      <c r="B13" s="1515" t="s">
        <v>592</v>
      </c>
      <c r="C13" s="725">
        <f ca="1">ROUND(C29*F13,0)</f>
        <v>1504</v>
      </c>
      <c r="D13" s="1522" t="s">
        <v>1652</v>
      </c>
      <c r="E13" s="1522" t="s">
        <v>591</v>
      </c>
      <c r="F13" s="2009">
        <f ca="1">INDIRECT("'数据-取费表'!y"&amp;$G$1)</f>
        <v>1</v>
      </c>
      <c r="G13" s="1665"/>
      <c r="H13" s="1517">
        <v>2</v>
      </c>
      <c r="I13" s="1515" t="s">
        <v>592</v>
      </c>
      <c r="J13" s="1509">
        <f ca="1">ROUND(J14*J15,0)</f>
        <v>0</v>
      </c>
      <c r="K13" s="1511" t="s">
        <v>1272</v>
      </c>
      <c r="L13" s="2025"/>
      <c r="M13" s="2026"/>
    </row>
    <row r="14" spans="1:33" ht="18" customHeight="1">
      <c r="A14" s="1365" t="s">
        <v>1360</v>
      </c>
      <c r="B14" s="717" t="s">
        <v>593</v>
      </c>
      <c r="C14" s="737">
        <f ca="1">INDIRECT("'数据-取费表'!m"&amp;$G$1)+INDIRECT("'数据-取费表'!t"&amp;$G$1)</f>
        <v>1126</v>
      </c>
      <c r="D14" s="903" t="s">
        <v>1274</v>
      </c>
      <c r="E14" s="902"/>
      <c r="F14" s="738"/>
      <c r="G14" s="1665"/>
      <c r="H14" s="1366" t="s">
        <v>1353</v>
      </c>
      <c r="I14" s="1822" t="s">
        <v>2100</v>
      </c>
      <c r="J14" s="49">
        <f ca="1">C29</f>
        <v>1504</v>
      </c>
      <c r="K14" s="22"/>
      <c r="L14" s="734"/>
      <c r="M14" s="735"/>
    </row>
    <row r="15" spans="1:33" s="1673" customFormat="1" ht="18" customHeight="1" thickBot="1">
      <c r="A15" s="1365" t="s">
        <v>1361</v>
      </c>
      <c r="B15" s="717" t="s">
        <v>595</v>
      </c>
      <c r="C15" s="49">
        <f ca="1">ROUND(C14*F15,0)</f>
        <v>56</v>
      </c>
      <c r="D15" s="739" t="s">
        <v>596</v>
      </c>
      <c r="E15" s="739" t="s">
        <v>597</v>
      </c>
      <c r="F15" s="740">
        <f>'数据-取费表'!B33</f>
        <v>0.05</v>
      </c>
      <c r="G15" s="2756"/>
      <c r="H15" s="2024" t="s">
        <v>1414</v>
      </c>
      <c r="I15" s="2019" t="s">
        <v>591</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5" t="s">
        <v>1362</v>
      </c>
      <c r="B16" s="717" t="s">
        <v>598</v>
      </c>
      <c r="C16" s="49">
        <f ca="1">ROUND(INDIRECT("'数据-取费表'!m"&amp;$G$1)*F16,0)</f>
        <v>0</v>
      </c>
      <c r="D16" s="717" t="s">
        <v>596</v>
      </c>
      <c r="E16" s="717" t="s">
        <v>597</v>
      </c>
      <c r="F16" s="742">
        <f ca="1">IF(INDIRECT("'数据-取费表'!c"&amp;$G$1)="住宅",'数据-取费表'!B34,0)</f>
        <v>0</v>
      </c>
      <c r="G16" s="1665"/>
      <c r="H16" s="1517" t="s">
        <v>1277</v>
      </c>
      <c r="I16" s="1515" t="s">
        <v>1278</v>
      </c>
      <c r="J16" s="725">
        <f ca="1">ROUND(J17+J22+J23+J24,0)</f>
        <v>3</v>
      </c>
      <c r="K16" s="1511" t="s">
        <v>600</v>
      </c>
      <c r="L16" s="906"/>
      <c r="M16" s="1993"/>
    </row>
    <row r="17" spans="1:33" s="1673" customFormat="1" ht="18" customHeight="1">
      <c r="A17" s="1365" t="s">
        <v>1412</v>
      </c>
      <c r="B17" s="717" t="s">
        <v>601</v>
      </c>
      <c r="C17" s="49">
        <f ca="1">ROUND(F17*(F43+INDIRECT("'数据-取费表'!S"&amp;$G$1))/10000,0)</f>
        <v>59</v>
      </c>
      <c r="D17" s="717" t="s">
        <v>602</v>
      </c>
      <c r="E17" s="717" t="s">
        <v>603</v>
      </c>
      <c r="F17" s="52">
        <f>'数据-取费表'!B35</f>
        <v>200</v>
      </c>
      <c r="G17" s="2756"/>
      <c r="H17" s="1366" t="s">
        <v>1353</v>
      </c>
      <c r="I17" s="717" t="s">
        <v>604</v>
      </c>
      <c r="J17" s="2551">
        <f ca="1">ROUND(IF(AND(项目基本情况!B11="自然人",项目基本情况!B10="北京市"),J6*M17/(1+'数据-取费表'!C42),J18+J19+J20),2)</f>
        <v>0.15</v>
      </c>
      <c r="K17" s="903" t="s">
        <v>605</v>
      </c>
      <c r="L17" s="904" t="s">
        <v>1283</v>
      </c>
      <c r="M17" s="2550"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5" t="s">
        <v>1413</v>
      </c>
      <c r="B18" s="717" t="s">
        <v>607</v>
      </c>
      <c r="C18" s="49">
        <f ca="1">ROUND(C14*F18,0)</f>
        <v>23</v>
      </c>
      <c r="D18" s="717" t="s">
        <v>596</v>
      </c>
      <c r="E18" s="717" t="s">
        <v>597</v>
      </c>
      <c r="F18" s="742">
        <f>'数据-取费表'!B36</f>
        <v>0.02</v>
      </c>
      <c r="G18" s="2756"/>
      <c r="H18" s="1365" t="s">
        <v>1360</v>
      </c>
      <c r="I18" s="717" t="s">
        <v>608</v>
      </c>
      <c r="J18" s="49">
        <f ca="1">ROUND(J6*M18/(1+'数据-取费表'!C42),2)</f>
        <v>0</v>
      </c>
      <c r="K18" s="904" t="s">
        <v>609</v>
      </c>
      <c r="L18" s="717" t="s">
        <v>597</v>
      </c>
      <c r="M18" s="742">
        <f>'数据-取费表'!B41</f>
        <v>5.5000000000000007E-2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6" t="s">
        <v>1353</v>
      </c>
      <c r="B19" s="717" t="s">
        <v>610</v>
      </c>
      <c r="C19" s="49">
        <f ca="1">SUM(C14:C18)</f>
        <v>1264</v>
      </c>
      <c r="D19" s="239" t="s">
        <v>611</v>
      </c>
      <c r="E19" s="912"/>
      <c r="F19" s="52"/>
      <c r="G19" s="1665"/>
      <c r="H19" s="1365" t="s">
        <v>1361</v>
      </c>
      <c r="I19" s="717" t="s">
        <v>612</v>
      </c>
      <c r="J19" s="49">
        <f ca="1">IF(K19="按租金收入计税",ROUND(J6*M19/(1+'数据-取费表'!C42),1),ROUND(C29*F33*0.7,2))</f>
        <v>0</v>
      </c>
      <c r="K19" s="743" t="s">
        <v>3237</v>
      </c>
      <c r="L19" s="717" t="s">
        <v>597</v>
      </c>
      <c r="M19" s="742">
        <f>IF(K19="按租金收入计税",'数据-取费表'!B51,'数据-取费表'!B50)</f>
        <v>0.12</v>
      </c>
    </row>
    <row r="20" spans="1:33" s="1673" customFormat="1" ht="18" customHeight="1">
      <c r="A20" s="1366" t="s">
        <v>1414</v>
      </c>
      <c r="B20" s="717" t="s">
        <v>613</v>
      </c>
      <c r="C20" s="49">
        <f ca="1">ROUND(C19*F20,0)</f>
        <v>25</v>
      </c>
      <c r="D20" s="744" t="s">
        <v>614</v>
      </c>
      <c r="E20" s="717" t="s">
        <v>597</v>
      </c>
      <c r="F20" s="742">
        <f>'数据-取费表'!B37</f>
        <v>0.02</v>
      </c>
      <c r="G20" s="2756"/>
      <c r="H20" s="1368" t="s">
        <v>1362</v>
      </c>
      <c r="I20" s="313" t="s">
        <v>1289</v>
      </c>
      <c r="J20" s="50">
        <f ca="1">ROUND(M20*M21/10000,2)</f>
        <v>0.15</v>
      </c>
      <c r="K20" s="746" t="s">
        <v>1290</v>
      </c>
      <c r="L20" s="717" t="s">
        <v>1291</v>
      </c>
      <c r="M20" s="585">
        <f>'数据-取费表'!B52</f>
        <v>1.5</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6" t="s">
        <v>1415</v>
      </c>
      <c r="B21" s="717" t="s">
        <v>618</v>
      </c>
      <c r="C21" s="49" t="s">
        <v>1293</v>
      </c>
      <c r="D21" s="744" t="s">
        <v>1653</v>
      </c>
      <c r="E21" s="717" t="s">
        <v>620</v>
      </c>
      <c r="F21" s="742">
        <f>'数据-取费表'!B38</f>
        <v>0.02</v>
      </c>
      <c r="G21" s="2756"/>
      <c r="H21" s="2008"/>
      <c r="I21" s="726"/>
      <c r="J21" s="65"/>
      <c r="K21" s="748"/>
      <c r="L21" s="717" t="s">
        <v>1295</v>
      </c>
      <c r="M21" s="718">
        <f ca="1">INDIRECT("'数据-取费表'!r"&amp;$G$1)</f>
        <v>997.63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6" t="s">
        <v>1416</v>
      </c>
      <c r="B22" s="717" t="s">
        <v>622</v>
      </c>
      <c r="C22" s="49"/>
      <c r="D22" s="2042" t="str">
        <f>IF(F23&lt;=1,"单利计息。","复利计息。")&amp;"建造成本、管理费用、销售费用产生的利息。"</f>
        <v>复利计息。建造成本、管理费用、销售费用产生的利息。</v>
      </c>
      <c r="E22" s="912"/>
      <c r="F22" s="52"/>
      <c r="G22" s="1665"/>
      <c r="H22" s="1366" t="s">
        <v>1414</v>
      </c>
      <c r="I22" s="717" t="s">
        <v>623</v>
      </c>
      <c r="J22" s="49">
        <f ca="1">ROUND(J14*M22,2)</f>
        <v>3.01</v>
      </c>
      <c r="K22" s="904" t="s">
        <v>1298</v>
      </c>
      <c r="L22" s="717" t="s">
        <v>597</v>
      </c>
      <c r="M22" s="749">
        <f ca="1">INDIRECT("'数据-取费表'!Ak"&amp;$G$1)</f>
        <v>2E-3</v>
      </c>
    </row>
    <row r="23" spans="1:33" s="1673" customFormat="1" ht="18" customHeight="1">
      <c r="A23" s="1365" t="s">
        <v>1360</v>
      </c>
      <c r="B23" s="717" t="s">
        <v>1782</v>
      </c>
      <c r="C23" s="49">
        <f ca="1">ROUND(IF('数据-取费表'!B22&lt;=1,(C19+C20)*F24*F23/2,(C19+C20)*(POWER((1+F24),F23/2)-1)),0)</f>
        <v>40</v>
      </c>
      <c r="D23" s="2041" t="str">
        <f>IF(F23&lt;=1,"(建造成本+管理费用)×利率×(建设周期÷2)","(建造成本+管理费用)×((1+利率)^(建设周期÷2)-1)")</f>
        <v>(建造成本+管理费用)×((1+利率)^(建设周期÷2)-1)</v>
      </c>
      <c r="E23" s="717" t="s">
        <v>1299</v>
      </c>
      <c r="F23" s="585">
        <f>'数据-取费表'!B20</f>
        <v>2</v>
      </c>
      <c r="G23" s="2756"/>
      <c r="H23" s="1366" t="s">
        <v>1415</v>
      </c>
      <c r="I23" s="717" t="s">
        <v>626</v>
      </c>
      <c r="J23" s="49">
        <f ca="1">ROUND(J13*M23,2)</f>
        <v>0</v>
      </c>
      <c r="K23" s="904" t="s">
        <v>1300</v>
      </c>
      <c r="L23" s="717" t="s">
        <v>597</v>
      </c>
      <c r="M23" s="750">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5" t="s">
        <v>1361</v>
      </c>
      <c r="B24" s="717" t="s">
        <v>1301</v>
      </c>
      <c r="C24" s="49">
        <f ca="1">ROUND(IF('数据-取费表'!B22&lt;=1,F21*F24*F23/2,F21*(POWER((1+F24),F23/2)-1)),4)</f>
        <v>5.9999999999999995E-4</v>
      </c>
      <c r="D24" s="2041" t="str">
        <f>IF(F23&lt;=1,"销售费用×利率×(建设周期÷2)","销售费用×((1+利率)^(建设周期÷2)-1)")</f>
        <v>销售费用×((1+利率)^(建设周期÷2)-1)</v>
      </c>
      <c r="E24" s="717" t="s">
        <v>1302</v>
      </c>
      <c r="F24" s="751">
        <f ca="1">'数据-取费表'!B40</f>
        <v>3.1E-2</v>
      </c>
      <c r="G24" s="2756"/>
      <c r="H24" s="2024" t="s">
        <v>1416</v>
      </c>
      <c r="I24" s="2019" t="s">
        <v>613</v>
      </c>
      <c r="J24" s="2017">
        <f ca="1">ROUND(J5*M24,2)</f>
        <v>0</v>
      </c>
      <c r="K24" s="2018" t="s">
        <v>1303</v>
      </c>
      <c r="L24" s="2019" t="s">
        <v>597</v>
      </c>
      <c r="M24" s="2015">
        <f ca="1">INDIRECT("'数据-取费表'!Am"&amp;$G$1)</f>
        <v>0.01</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7" t="s">
        <v>1369</v>
      </c>
      <c r="B25" s="717" t="s">
        <v>631</v>
      </c>
      <c r="C25" s="49"/>
      <c r="D25" s="239" t="s">
        <v>1304</v>
      </c>
      <c r="E25" s="912"/>
      <c r="F25" s="52"/>
      <c r="G25" s="1665"/>
      <c r="H25" s="1517" t="s">
        <v>1305</v>
      </c>
      <c r="I25" s="2293" t="s">
        <v>2097</v>
      </c>
      <c r="J25" s="725">
        <f ca="1">J5-J16</f>
        <v>-3</v>
      </c>
      <c r="K25" s="2021" t="s">
        <v>1306</v>
      </c>
      <c r="L25" s="2022"/>
      <c r="M25" s="2023"/>
    </row>
    <row r="26" spans="1:33" ht="18" customHeight="1">
      <c r="A26" s="1365" t="s">
        <v>1360</v>
      </c>
      <c r="B26" s="717" t="s">
        <v>1783</v>
      </c>
      <c r="C26" s="49">
        <f ca="1">ROUND((C19+C20)*F26,0)</f>
        <v>64</v>
      </c>
      <c r="D26" s="744" t="s">
        <v>1307</v>
      </c>
      <c r="E26" s="728" t="s">
        <v>649</v>
      </c>
      <c r="F26" s="727">
        <f ca="1">INDIRECT("'数据-取费表'!q"&amp;$G$1)</f>
        <v>0.05</v>
      </c>
      <c r="G26" s="1665"/>
      <c r="H26" s="2004" t="s">
        <v>1309</v>
      </c>
      <c r="I26" s="1823" t="s">
        <v>2102</v>
      </c>
      <c r="J26" s="716">
        <f ca="1">IF(J5&lt;&gt;0,ROUND(J25*(1-((1+M28)/(1+M26))^M27)/(M26-M28),0),0)</f>
        <v>0</v>
      </c>
      <c r="K26" s="746" t="s">
        <v>651</v>
      </c>
      <c r="L26" s="717" t="s">
        <v>1771</v>
      </c>
      <c r="M26" s="727">
        <f ca="1">INDIRECT("'数据-取费表'!I"&amp;$G$1)</f>
        <v>0.05</v>
      </c>
    </row>
    <row r="27" spans="1:33" ht="18" customHeight="1">
      <c r="A27" s="1365" t="s">
        <v>1361</v>
      </c>
      <c r="B27" s="717" t="s">
        <v>633</v>
      </c>
      <c r="C27" s="49">
        <f ca="1">ROUND(F21*F26,4)</f>
        <v>1E-3</v>
      </c>
      <c r="D27" s="744" t="s">
        <v>653</v>
      </c>
      <c r="E27" s="739"/>
      <c r="F27" s="740"/>
      <c r="G27" s="1665"/>
      <c r="H27" s="2005"/>
      <c r="I27" s="720"/>
      <c r="J27" s="721"/>
      <c r="K27" s="753" t="s">
        <v>654</v>
      </c>
      <c r="L27" s="717" t="s">
        <v>655</v>
      </c>
      <c r="M27" s="754">
        <f ca="1">INDIRECT("'数据-取费表'!ag"&amp;$G$1)</f>
        <v>0</v>
      </c>
    </row>
    <row r="28" spans="1:33" s="1673" customFormat="1" ht="18" customHeight="1">
      <c r="A28" s="1367" t="s">
        <v>1370</v>
      </c>
      <c r="B28" s="717" t="s">
        <v>634</v>
      </c>
      <c r="C28" s="49">
        <f>ROUND(F28/(1+'数据-取费表'!C42),4)</f>
        <v>5.2400000000000002E-2</v>
      </c>
      <c r="D28" s="744" t="s">
        <v>1654</v>
      </c>
      <c r="E28" s="717" t="s">
        <v>597</v>
      </c>
      <c r="F28" s="742">
        <f>'数据-取费表'!B41</f>
        <v>5.5000000000000007E-2</v>
      </c>
      <c r="G28" s="2756"/>
      <c r="H28" s="1517"/>
      <c r="I28" s="724"/>
      <c r="J28" s="725"/>
      <c r="K28" s="748"/>
      <c r="L28" s="717" t="s">
        <v>1315</v>
      </c>
      <c r="M28" s="727">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1655</v>
      </c>
      <c r="C29" s="2017">
        <f ca="1">ROUND((C19+C20+C23+C26)/(1-F21-C24-C27-C28),0)</f>
        <v>1504</v>
      </c>
      <c r="D29" s="2018"/>
      <c r="E29" s="2019"/>
      <c r="F29" s="2020"/>
      <c r="G29" s="2756"/>
      <c r="H29" s="755" t="s">
        <v>1316</v>
      </c>
      <c r="I29" s="756" t="s">
        <v>1317</v>
      </c>
      <c r="J29" s="757">
        <f ca="1">ROUND(J26/(1+F40)^F41,0)</f>
        <v>0</v>
      </c>
      <c r="K29" s="758" t="s">
        <v>1318</v>
      </c>
      <c r="L29" s="759"/>
      <c r="M29" s="760">
        <f ca="1">INDIRECT("'数据-取费表'!k"&amp;$G$1)</f>
        <v>2808.2200000000012</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1277</v>
      </c>
      <c r="B30" s="1515" t="s">
        <v>1278</v>
      </c>
      <c r="C30" s="725">
        <f ca="1">ROUND(C31+C36+C37+C38,0)</f>
        <v>11</v>
      </c>
      <c r="D30" s="1511" t="s">
        <v>600</v>
      </c>
      <c r="E30" s="906"/>
      <c r="F30" s="1993"/>
      <c r="G30" s="1665"/>
      <c r="H30" s="1674"/>
      <c r="I30" s="1675"/>
      <c r="J30" s="1676"/>
      <c r="K30" s="1633"/>
      <c r="L30" s="1677"/>
      <c r="M30" s="1678"/>
    </row>
    <row r="31" spans="1:33" ht="18" customHeight="1">
      <c r="A31" s="1366" t="s">
        <v>1353</v>
      </c>
      <c r="B31" s="717" t="s">
        <v>604</v>
      </c>
      <c r="C31" s="2551">
        <f ca="1">ROUND(IF(AND(项目基本情况!B11="自然人",项目基本情况!B10="北京市"),C6*F31/(1+'数据-取费表'!C42),C32+C33+C34),2)</f>
        <v>6.48</v>
      </c>
      <c r="D31" s="903" t="s">
        <v>605</v>
      </c>
      <c r="E31" s="904" t="s">
        <v>1322</v>
      </c>
      <c r="F31" s="2550" t="str">
        <f>IF(项目基本情况!B11="企业","——",IF(M47="住宅",IF(F6*F7*F8/12/(1+'数据-取费表'!F30)&gt;100000,4%,2.5%),IF(F6*F7*F8/12/(1+'数据-取费表'!F30)&gt;100000,12%,7%)))</f>
        <v>——</v>
      </c>
      <c r="G31" s="1665"/>
      <c r="H31" s="2753" t="s">
        <v>2274</v>
      </c>
      <c r="I31" s="1675"/>
      <c r="J31" s="1676"/>
      <c r="K31" s="1633"/>
      <c r="L31" s="1677"/>
      <c r="M31" s="1678"/>
    </row>
    <row r="32" spans="1:33" ht="18" customHeight="1">
      <c r="A32" s="1365" t="s">
        <v>1360</v>
      </c>
      <c r="B32" s="717" t="s">
        <v>608</v>
      </c>
      <c r="C32" s="49">
        <f ca="1">ROUND(C6*F32/(1+'数据-取费表'!C42),2)</f>
        <v>1.99</v>
      </c>
      <c r="D32" s="904" t="s">
        <v>609</v>
      </c>
      <c r="E32" s="717" t="s">
        <v>597</v>
      </c>
      <c r="F32" s="742">
        <f>'数据-取费表'!B41</f>
        <v>5.5000000000000007E-2</v>
      </c>
      <c r="G32" s="1665"/>
      <c r="H32" s="1679"/>
      <c r="I32" s="1680"/>
      <c r="J32" s="1681"/>
      <c r="K32" s="1682"/>
      <c r="L32" s="1683"/>
      <c r="M32" s="1684"/>
    </row>
    <row r="33" spans="1:18" ht="18" customHeight="1">
      <c r="A33" s="1365" t="s">
        <v>1361</v>
      </c>
      <c r="B33" s="717" t="s">
        <v>612</v>
      </c>
      <c r="C33" s="49">
        <f ca="1">IF(D33="按租金收入计税",ROUND(C6*F33/(1+'数据-取费表'!C42),2),IF(D33="按房产原值计税",ROUND(C29*F33*0.7,2),INDIRECT("'数据-取费表'!Aj"&amp;$G$1)))</f>
        <v>4.34</v>
      </c>
      <c r="D33" s="743" t="s">
        <v>3237</v>
      </c>
      <c r="E33" s="717" t="s">
        <v>597</v>
      </c>
      <c r="F33" s="742">
        <f>IF(D33="按租金收入计税",'数据-取费表'!B51,'数据-取费表'!B50)</f>
        <v>0.12</v>
      </c>
      <c r="G33" s="1665"/>
      <c r="H33" s="1685"/>
      <c r="I33" s="1685"/>
      <c r="J33" s="1685"/>
      <c r="K33" s="1686"/>
      <c r="L33" s="1685"/>
      <c r="M33" s="1685"/>
    </row>
    <row r="34" spans="1:18" ht="18" customHeight="1">
      <c r="A34" s="1368" t="s">
        <v>1362</v>
      </c>
      <c r="B34" s="313" t="s">
        <v>1289</v>
      </c>
      <c r="C34" s="50">
        <f ca="1">ROUND(F34*F35/10000,2)</f>
        <v>0.15</v>
      </c>
      <c r="D34" s="746" t="s">
        <v>1290</v>
      </c>
      <c r="E34" s="717" t="s">
        <v>1291</v>
      </c>
      <c r="F34" s="585">
        <f>'数据-取费表'!B52</f>
        <v>1.5</v>
      </c>
      <c r="G34" s="1665"/>
      <c r="H34" s="1674"/>
      <c r="I34" s="767" t="s">
        <v>1342</v>
      </c>
      <c r="J34" s="768"/>
      <c r="K34" s="1688"/>
      <c r="L34" s="1687"/>
      <c r="M34" s="1687"/>
    </row>
    <row r="35" spans="1:18" ht="18" customHeight="1">
      <c r="A35" s="747"/>
      <c r="B35" s="726"/>
      <c r="C35" s="65"/>
      <c r="D35" s="748"/>
      <c r="E35" s="717" t="s">
        <v>1295</v>
      </c>
      <c r="F35" s="718">
        <f ca="1">INDIRECT("'数据-取费表'!r"&amp;$G$1)</f>
        <v>997.63</v>
      </c>
      <c r="G35" s="1665"/>
      <c r="H35" s="1674"/>
      <c r="I35" s="769" t="s">
        <v>1343</v>
      </c>
      <c r="J35" s="770">
        <f ca="1">ROUND(C13*J36,0)</f>
        <v>105</v>
      </c>
      <c r="K35" s="1686"/>
      <c r="L35" s="1685"/>
      <c r="M35" s="1685"/>
    </row>
    <row r="36" spans="1:18" ht="18" customHeight="1">
      <c r="A36" s="1366" t="s">
        <v>1414</v>
      </c>
      <c r="B36" s="717" t="s">
        <v>623</v>
      </c>
      <c r="C36" s="49">
        <f ca="1">ROUND(C29*F36,2)</f>
        <v>3.01</v>
      </c>
      <c r="D36" s="904" t="s">
        <v>1332</v>
      </c>
      <c r="E36" s="717" t="s">
        <v>597</v>
      </c>
      <c r="F36" s="749">
        <f ca="1">INDIRECT("'数据-取费表'!Ak"&amp;$G$1)</f>
        <v>2E-3</v>
      </c>
      <c r="G36" s="1665"/>
      <c r="H36" s="1685"/>
      <c r="I36" s="771" t="s">
        <v>1344</v>
      </c>
      <c r="J36" s="772">
        <f ca="1">INDIRECT("'数据-取费表'!j"&amp;$G$1)</f>
        <v>7.0000000000000007E-2</v>
      </c>
      <c r="K36" s="1689"/>
      <c r="L36" s="1685"/>
      <c r="M36" s="1685"/>
    </row>
    <row r="37" spans="1:18" ht="18" customHeight="1">
      <c r="A37" s="1366" t="s">
        <v>1415</v>
      </c>
      <c r="B37" s="717" t="s">
        <v>626</v>
      </c>
      <c r="C37" s="49">
        <f ca="1">ROUND(C13*F37,2)</f>
        <v>1.5</v>
      </c>
      <c r="D37" s="904" t="s">
        <v>1300</v>
      </c>
      <c r="E37" s="717" t="s">
        <v>597</v>
      </c>
      <c r="F37" s="750">
        <f ca="1">INDIRECT("'数据-取费表'!Al"&amp;$G$1)</f>
        <v>1E-3</v>
      </c>
      <c r="G37" s="1665"/>
      <c r="H37" s="1685"/>
      <c r="I37" s="773" t="s">
        <v>1345</v>
      </c>
      <c r="J37" s="774"/>
      <c r="K37" s="1689"/>
      <c r="L37" s="1685"/>
      <c r="M37" s="1685"/>
    </row>
    <row r="38" spans="1:18" ht="18" customHeight="1" thickBot="1">
      <c r="A38" s="2024" t="s">
        <v>1416</v>
      </c>
      <c r="B38" s="2019" t="s">
        <v>613</v>
      </c>
      <c r="C38" s="2017">
        <f ca="1">ROUND(C5*F38,2)</f>
        <v>0.38</v>
      </c>
      <c r="D38" s="2018" t="s">
        <v>1303</v>
      </c>
      <c r="E38" s="2019" t="s">
        <v>597</v>
      </c>
      <c r="F38" s="2015">
        <f ca="1">INDIRECT("'数据-取费表'!Am"&amp;$G$1)</f>
        <v>0.01</v>
      </c>
      <c r="G38" s="1665"/>
      <c r="H38" s="1685"/>
      <c r="I38" s="775" t="s">
        <v>1346</v>
      </c>
      <c r="J38" s="776"/>
      <c r="K38" s="1690"/>
      <c r="L38" s="1685"/>
      <c r="M38" s="1685"/>
    </row>
    <row r="39" spans="1:18" ht="24.6" customHeight="1" thickTop="1">
      <c r="A39" s="1517" t="s">
        <v>1305</v>
      </c>
      <c r="B39" s="2293" t="s">
        <v>2097</v>
      </c>
      <c r="C39" s="725">
        <f ca="1">C5-C30</f>
        <v>27</v>
      </c>
      <c r="D39" s="2021" t="s">
        <v>1306</v>
      </c>
      <c r="E39" s="2022"/>
      <c r="F39" s="2023"/>
      <c r="G39" s="1665"/>
      <c r="H39" s="1685"/>
      <c r="I39" s="769" t="s">
        <v>1347</v>
      </c>
      <c r="J39" s="777">
        <f ca="1">ROUND(J35/C39,3)</f>
        <v>3.8889999999999998</v>
      </c>
      <c r="K39" s="1690"/>
      <c r="L39" s="1685"/>
      <c r="M39" s="1685"/>
    </row>
    <row r="40" spans="1:18" ht="18" customHeight="1">
      <c r="A40" s="714" t="s">
        <v>1309</v>
      </c>
      <c r="B40" s="1823" t="s">
        <v>1656</v>
      </c>
      <c r="C40" s="716">
        <f ca="1">ROUND(C39*(1-((1+F42)/(1+F40))^F41)/(F40-F42),0)</f>
        <v>615</v>
      </c>
      <c r="D40" s="746" t="s">
        <v>651</v>
      </c>
      <c r="E40" s="717" t="s">
        <v>1771</v>
      </c>
      <c r="F40" s="727">
        <f ca="1">INDIRECT("'数据-取费表'!I"&amp;$G$1)</f>
        <v>0.05</v>
      </c>
      <c r="G40" s="1665"/>
      <c r="H40" s="1665"/>
      <c r="I40" s="769" t="s">
        <v>1348</v>
      </c>
      <c r="J40" s="777">
        <f ca="1">1-J39</f>
        <v>-2.8889999999999998</v>
      </c>
      <c r="K40" s="1690"/>
      <c r="L40" s="1665"/>
      <c r="M40" s="1665"/>
    </row>
    <row r="41" spans="1:18" ht="18" customHeight="1">
      <c r="A41" s="719"/>
      <c r="B41" s="720"/>
      <c r="C41" s="721"/>
      <c r="D41" s="753" t="s">
        <v>1337</v>
      </c>
      <c r="E41" s="717" t="s">
        <v>655</v>
      </c>
      <c r="F41" s="754">
        <f ca="1">IF(INDIRECT("'数据-取费表'!af"&amp;$G$1)=0,INDIRECT("'数据-取费表'!ae"&amp;$G$1),INDIRECT("'数据-取费表'!af"&amp;$G$1))</f>
        <v>47.08</v>
      </c>
      <c r="G41" s="1665"/>
      <c r="H41" s="1633"/>
      <c r="I41" s="775" t="s">
        <v>1349</v>
      </c>
      <c r="J41" s="778"/>
      <c r="K41" s="1689"/>
      <c r="L41" s="1633"/>
      <c r="M41" s="1633"/>
    </row>
    <row r="42" spans="1:18" ht="18" customHeight="1">
      <c r="A42" s="723"/>
      <c r="B42" s="724"/>
      <c r="C42" s="725"/>
      <c r="D42" s="748"/>
      <c r="E42" s="717" t="s">
        <v>1315</v>
      </c>
      <c r="F42" s="727">
        <f ca="1">INDIRECT("'数据-取费表'!v"&amp;$G$1)</f>
        <v>1.4999999999999999E-2</v>
      </c>
      <c r="G42" s="1665"/>
      <c r="H42" s="1633"/>
      <c r="I42" s="779" t="s">
        <v>1350</v>
      </c>
      <c r="J42" s="777">
        <f ca="1">ROUND(C13/C40,3)</f>
        <v>2.4460000000000002</v>
      </c>
      <c r="K42" s="1689"/>
      <c r="L42" s="1633"/>
      <c r="M42" s="1633"/>
    </row>
    <row r="43" spans="1:18" ht="18" customHeight="1" thickBot="1">
      <c r="A43" s="755" t="s">
        <v>1316</v>
      </c>
      <c r="B43" s="756" t="s">
        <v>1339</v>
      </c>
      <c r="C43" s="757">
        <f ca="1">ROUND(C40*10000/F43,0)</f>
        <v>2190</v>
      </c>
      <c r="D43" s="758" t="s">
        <v>1340</v>
      </c>
      <c r="E43" s="759" t="s">
        <v>1341</v>
      </c>
      <c r="F43" s="760">
        <f ca="1">INDIRECT("'数据-取费表'!k"&amp;$G$1)</f>
        <v>2808.2200000000012</v>
      </c>
      <c r="G43" s="1665"/>
      <c r="H43" s="1633"/>
      <c r="I43" s="779" t="s">
        <v>1351</v>
      </c>
      <c r="J43" s="780">
        <f ca="1">1-J42</f>
        <v>-1.4460000000000002</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1650</v>
      </c>
      <c r="B46" s="1692"/>
      <c r="C46" s="1144">
        <f ca="1">C67-C40</f>
        <v>-705</v>
      </c>
      <c r="D46" s="2757"/>
      <c r="E46" s="2757"/>
      <c r="F46" s="2757"/>
      <c r="I46" s="1936" t="s">
        <v>1695</v>
      </c>
      <c r="J46" s="1937"/>
      <c r="K46" s="1938"/>
      <c r="L46" s="2371">
        <f>IF(OR(M47="住宅",D1="土地（套用方法）"),0,IF(L48&gt;J51,L60,J60))</f>
        <v>0</v>
      </c>
      <c r="M46" s="2758"/>
      <c r="O46" s="1950" t="s">
        <v>1762</v>
      </c>
      <c r="P46" s="1142"/>
      <c r="Q46" s="1327"/>
      <c r="R46" s="1142"/>
    </row>
    <row r="47" spans="1:18" s="1669" customFormat="1" ht="18" customHeight="1" thickBot="1">
      <c r="A47" s="3375">
        <v>1</v>
      </c>
      <c r="B47" s="3376" t="s">
        <v>583</v>
      </c>
      <c r="C47" s="3377">
        <f ca="1">C48+C52+C54</f>
        <v>0</v>
      </c>
      <c r="D47" s="3378"/>
      <c r="E47" s="3378"/>
      <c r="F47" s="3379"/>
      <c r="I47" s="2363" t="s">
        <v>1696</v>
      </c>
      <c r="J47" s="1939" t="s">
        <v>4062</v>
      </c>
      <c r="K47" s="2368" t="s">
        <v>1701</v>
      </c>
      <c r="L47" s="2372">
        <f ca="1">INDIRECT("'数据-取费表'!d"&amp;$G$1)</f>
        <v>50</v>
      </c>
      <c r="M47" s="1327" t="str">
        <f>IF(ISNUMBER(FIND("住宅",C1)),"住宅","非住宅")</f>
        <v>非住宅</v>
      </c>
      <c r="O47" s="1951" t="s">
        <v>1727</v>
      </c>
      <c r="P47" s="1952" t="s">
        <v>1728</v>
      </c>
      <c r="Q47" s="1953" t="s">
        <v>1729</v>
      </c>
      <c r="R47" s="1952" t="s">
        <v>1730</v>
      </c>
    </row>
    <row r="48" spans="1:18" s="1669" customFormat="1" ht="18" customHeight="1" thickBot="1">
      <c r="A48" s="2081" t="s">
        <v>1395</v>
      </c>
      <c r="B48" s="2082" t="s">
        <v>1819</v>
      </c>
      <c r="C48" s="1932">
        <f ca="1">ROUND(F48*F50*F49*(1-F51)/10000,0)</f>
        <v>0</v>
      </c>
      <c r="D48" s="1933" t="s">
        <v>584</v>
      </c>
      <c r="E48" s="1934" t="s">
        <v>1651</v>
      </c>
      <c r="F48" s="1935">
        <f ca="1">M6</f>
        <v>0</v>
      </c>
      <c r="G48" s="1696"/>
      <c r="I48" s="2360" t="s">
        <v>1697</v>
      </c>
      <c r="J48" s="1940" t="s">
        <v>1702</v>
      </c>
      <c r="K48" s="2369" t="s">
        <v>1703</v>
      </c>
      <c r="L48" s="1564">
        <f ca="1">INDIRECT("'数据-取费表'!f"&amp;$G$1)</f>
        <v>49.08</v>
      </c>
      <c r="M48" s="2758"/>
      <c r="O48" s="1954" t="s">
        <v>1731</v>
      </c>
      <c r="P48" s="1955" t="s">
        <v>1757</v>
      </c>
      <c r="Q48" s="1956">
        <f ca="1">C40+J29</f>
        <v>615</v>
      </c>
      <c r="R48" s="1955" t="s">
        <v>1732</v>
      </c>
    </row>
    <row r="49" spans="1:18" s="1669" customFormat="1" ht="18" customHeight="1" thickBot="1">
      <c r="A49" s="719"/>
      <c r="B49" s="720"/>
      <c r="C49" s="721"/>
      <c r="D49" s="722"/>
      <c r="E49" s="717" t="s">
        <v>586</v>
      </c>
      <c r="F49" s="718">
        <f ca="1">F7</f>
        <v>118</v>
      </c>
      <c r="G49" s="1696"/>
      <c r="H49" s="1699"/>
      <c r="I49" s="2360" t="s">
        <v>1698</v>
      </c>
      <c r="J49" s="1941"/>
      <c r="K49" s="2370" t="s">
        <v>1704</v>
      </c>
      <c r="L49" s="1563"/>
      <c r="M49" s="2758"/>
      <c r="O49" s="1954" t="s">
        <v>1733</v>
      </c>
      <c r="P49" s="1955" t="s">
        <v>1758</v>
      </c>
      <c r="Q49" s="1956" t="str">
        <f ca="1">J60</f>
        <v>0</v>
      </c>
      <c r="R49" s="1955" t="s">
        <v>1734</v>
      </c>
    </row>
    <row r="50" spans="1:18" s="1669" customFormat="1" ht="18" customHeight="1" thickBot="1">
      <c r="A50" s="719"/>
      <c r="B50" s="720"/>
      <c r="C50" s="721"/>
      <c r="D50" s="722"/>
      <c r="E50" s="717" t="s">
        <v>587</v>
      </c>
      <c r="F50" s="718">
        <f ca="1">F8</f>
        <v>12</v>
      </c>
      <c r="H50" s="1699"/>
      <c r="I50" s="2360" t="s">
        <v>1699</v>
      </c>
      <c r="J50" s="2367">
        <f>SUMPRODUCT((I63:I65=J47)*(J62:L62=J48)*(J63:L65))</f>
        <v>60</v>
      </c>
      <c r="K50" s="2370" t="s">
        <v>1705</v>
      </c>
      <c r="L50" s="1563"/>
      <c r="M50" s="2758"/>
      <c r="O50" s="1957" t="s">
        <v>1735</v>
      </c>
      <c r="P50" s="1955" t="s">
        <v>1759</v>
      </c>
      <c r="Q50" s="1956">
        <f ca="1">C29</f>
        <v>1504</v>
      </c>
      <c r="R50" s="1955" t="s">
        <v>1732</v>
      </c>
    </row>
    <row r="51" spans="1:18" s="1669" customFormat="1" ht="18" customHeight="1" thickBot="1">
      <c r="A51" s="719"/>
      <c r="B51" s="720"/>
      <c r="C51" s="721"/>
      <c r="D51" s="722"/>
      <c r="E51" s="717" t="s">
        <v>588</v>
      </c>
      <c r="F51" s="1931"/>
      <c r="H51" s="1699"/>
      <c r="I51" s="2364" t="s">
        <v>1700</v>
      </c>
      <c r="J51" s="1564">
        <f>IF(J49="",J50,J49+J50-YEAR('数据-取费表'!B2))</f>
        <v>60</v>
      </c>
      <c r="K51" s="2360" t="s">
        <v>1706</v>
      </c>
      <c r="L51" s="2373">
        <f ca="1">ROUND(-PV(INDIRECT("'数据-取费表'!h"&amp;$G$1),J51,(C39-C13*J36),0),0)</f>
        <v>-1616</v>
      </c>
      <c r="M51" s="2758"/>
      <c r="O51" s="1957" t="s">
        <v>1736</v>
      </c>
      <c r="P51" s="1955" t="s">
        <v>1737</v>
      </c>
      <c r="Q51" s="1958" t="e">
        <f ca="1">J58</f>
        <v>#VALUE!</v>
      </c>
      <c r="R51" s="1959"/>
    </row>
    <row r="52" spans="1:18" s="1669" customFormat="1" ht="18" customHeight="1" thickBot="1">
      <c r="A52" s="714" t="s">
        <v>1817</v>
      </c>
      <c r="B52" s="1996" t="s">
        <v>1801</v>
      </c>
      <c r="C52" s="732">
        <f ca="1">ROUND(IF(F52="押一",C48/12*F11,IF(F52="押二",C48/12*2*F11,IF(F52="押三",C48/12*3*F11,C53*F11))),0)</f>
        <v>0</v>
      </c>
      <c r="D52" s="2003" t="s">
        <v>2225</v>
      </c>
      <c r="E52" s="2000" t="s">
        <v>1806</v>
      </c>
      <c r="F52" s="2073"/>
      <c r="I52" s="2365" t="s">
        <v>1773</v>
      </c>
      <c r="J52" s="1942"/>
      <c r="K52" s="2365" t="s">
        <v>1772</v>
      </c>
      <c r="L52" s="1942"/>
      <c r="M52" s="2758"/>
      <c r="O52" s="1957" t="s">
        <v>1738</v>
      </c>
      <c r="P52" s="1955" t="s">
        <v>1739</v>
      </c>
      <c r="Q52" s="1958">
        <f>J52</f>
        <v>0</v>
      </c>
      <c r="R52" s="1959"/>
    </row>
    <row r="53" spans="1:18" s="1669" customFormat="1" ht="39.75" customHeight="1" thickBot="1">
      <c r="A53" s="719"/>
      <c r="B53" s="1997" t="s">
        <v>1854</v>
      </c>
      <c r="C53" s="2001"/>
      <c r="D53" s="2003"/>
      <c r="E53" s="2000"/>
      <c r="F53" s="733"/>
      <c r="I53" s="2366" t="s">
        <v>2229</v>
      </c>
      <c r="J53" s="2412">
        <f ca="1">IF(M47="住宅",IF(D1="——",MAX(J51,L48),MAX(J51,L48-'数据-取费表'!B20)),IF(D1="——",MIN(J51,L48),MIN(J51,L48-'数据-取费表'!B20)))</f>
        <v>47.08</v>
      </c>
      <c r="K53" s="3705" t="s">
        <v>2219</v>
      </c>
      <c r="L53" s="3706"/>
      <c r="M53" s="2758"/>
      <c r="O53" s="1957" t="s">
        <v>1740</v>
      </c>
      <c r="P53" s="1955" t="s">
        <v>1741</v>
      </c>
      <c r="Q53" s="1956">
        <f ca="1">J53</f>
        <v>47.08</v>
      </c>
      <c r="R53" s="1955" t="s">
        <v>1742</v>
      </c>
    </row>
    <row r="54" spans="1:18" s="1669" customFormat="1" ht="18" customHeight="1" thickBot="1">
      <c r="A54" s="2010" t="s">
        <v>1809</v>
      </c>
      <c r="B54" s="2011" t="s">
        <v>1802</v>
      </c>
      <c r="C54" s="2012"/>
      <c r="D54" s="2003"/>
      <c r="E54" s="2000"/>
      <c r="F54" s="733"/>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8"/>
      <c r="O54" s="1954" t="s">
        <v>1743</v>
      </c>
      <c r="P54" s="1955" t="s">
        <v>1760</v>
      </c>
      <c r="Q54" s="1956">
        <f ca="1">Q48+Q49</f>
        <v>615</v>
      </c>
      <c r="R54" s="1959" t="s">
        <v>1744</v>
      </c>
    </row>
    <row r="55" spans="1:18" s="1669" customFormat="1" ht="18" customHeight="1" thickTop="1" thickBot="1">
      <c r="A55" s="730">
        <v>2</v>
      </c>
      <c r="B55" s="731" t="s">
        <v>592</v>
      </c>
      <c r="C55" s="732">
        <f ca="1">C13</f>
        <v>1504</v>
      </c>
      <c r="D55" s="728"/>
      <c r="E55" s="728"/>
      <c r="F55" s="733"/>
      <c r="I55" s="2376" t="s">
        <v>1707</v>
      </c>
      <c r="J55" s="2349" t="e">
        <f ca="1">ROUND(IF(J47="钢混",J57/J50,1-(1-2%)*(J50-J57)/J50),3)</f>
        <v>#VALUE!</v>
      </c>
      <c r="K55" s="2377" t="s">
        <v>1708</v>
      </c>
      <c r="L55" s="1943"/>
      <c r="M55" s="2758"/>
      <c r="O55" s="1960" t="s">
        <v>1763</v>
      </c>
      <c r="P55" s="1142"/>
      <c r="Q55" s="1327"/>
      <c r="R55" s="1142"/>
    </row>
    <row r="56" spans="1:18" s="1669" customFormat="1" ht="42.75" customHeight="1" thickBot="1">
      <c r="A56" s="1367"/>
      <c r="B56" s="1822" t="s">
        <v>1655</v>
      </c>
      <c r="C56" s="49">
        <f ca="1">C29</f>
        <v>1504</v>
      </c>
      <c r="D56" s="904"/>
      <c r="E56" s="717"/>
      <c r="F56" s="742"/>
      <c r="I56" s="2378" t="s">
        <v>1709</v>
      </c>
      <c r="J56" s="2388" t="s">
        <v>3325</v>
      </c>
      <c r="K56" s="2360" t="s">
        <v>1714</v>
      </c>
      <c r="L56" s="1564" t="str">
        <f ca="1">IF(L48&lt;J51,"——",L48-J51)</f>
        <v>——</v>
      </c>
      <c r="M56" s="2758"/>
      <c r="O56" s="1951" t="s">
        <v>1727</v>
      </c>
      <c r="P56" s="1952" t="s">
        <v>1728</v>
      </c>
      <c r="Q56" s="1953" t="s">
        <v>1729</v>
      </c>
      <c r="R56" s="1952" t="s">
        <v>1730</v>
      </c>
    </row>
    <row r="57" spans="1:18" s="1669" customFormat="1" ht="28.5" customHeight="1" thickBot="1">
      <c r="A57" s="730" t="s">
        <v>1277</v>
      </c>
      <c r="B57" s="731" t="s">
        <v>599</v>
      </c>
      <c r="C57" s="732">
        <f ca="1">ROUND(C58+C63+C64+C65,0)</f>
        <v>5</v>
      </c>
      <c r="D57" s="22" t="s">
        <v>600</v>
      </c>
      <c r="E57" s="912"/>
      <c r="F57" s="52"/>
      <c r="I57" s="2379" t="s">
        <v>1710</v>
      </c>
      <c r="J57" s="2380" t="str">
        <f ca="1">IF(OR(M47="住宅",J51&lt;L48,J56="是"),"——",J51-L48)</f>
        <v>——</v>
      </c>
      <c r="K57" s="2360" t="s">
        <v>1715</v>
      </c>
      <c r="L57" s="1564" t="str">
        <f ca="1">IF(L48&lt;J51,"——",IF(L55="比较法",L49,IF(L55="基准地价",L50,L51)))</f>
        <v>——</v>
      </c>
      <c r="M57" s="2758"/>
      <c r="O57" s="1954" t="s">
        <v>1731</v>
      </c>
      <c r="P57" s="1955" t="s">
        <v>1757</v>
      </c>
      <c r="Q57" s="1956">
        <f ca="1">C40+J29</f>
        <v>615</v>
      </c>
      <c r="R57" s="1955" t="s">
        <v>1732</v>
      </c>
    </row>
    <row r="58" spans="1:18" s="1669" customFormat="1" ht="28.5" customHeight="1" thickBot="1">
      <c r="A58" s="1366" t="s">
        <v>1353</v>
      </c>
      <c r="B58" s="717" t="s">
        <v>604</v>
      </c>
      <c r="C58" s="2551">
        <f ca="1">ROUND(IF(AND(项目基本情况!B11="自然人",项目基本情况!B10="北京市"),C48*F58/(1+'数据-取费表'!C42),C59+C60+C61),2)</f>
        <v>0.15</v>
      </c>
      <c r="D58" s="903" t="s">
        <v>605</v>
      </c>
      <c r="E58" s="904" t="s">
        <v>637</v>
      </c>
      <c r="F58" s="2550" t="str">
        <f>IF(项目基本情况!B11="企业","——",IF('数据-取费表'!B10="住宅",IF(F48*F49*F50/12/(1+'数据-取费表'!F30)&gt;100000,4%,2.5%),IF(F48*F49*F50/12/(1+'数据-取费表'!F30)&gt;100000,12%,7%)))</f>
        <v>——</v>
      </c>
      <c r="I58" s="2379" t="s">
        <v>1711</v>
      </c>
      <c r="J58" s="2350" t="e">
        <f ca="1">IF(J55&lt;0.4,0.4,J55)</f>
        <v>#VALUE!</v>
      </c>
      <c r="K58" s="2360" t="s">
        <v>1716</v>
      </c>
      <c r="L58" s="1564" t="e">
        <f ca="1">ROUND(POWER(1+L52,L47-L48)*(POWER(1+L52,L48)-1)/(POWER(1+L52,L47)-1),4)</f>
        <v>#DIV/0!</v>
      </c>
      <c r="M58" s="2758"/>
      <c r="O58" s="1954" t="s">
        <v>1733</v>
      </c>
      <c r="P58" s="1955" t="s">
        <v>1764</v>
      </c>
      <c r="Q58" s="1956">
        <f ca="1">L60</f>
        <v>0</v>
      </c>
      <c r="R58" s="1959" t="s">
        <v>1766</v>
      </c>
    </row>
    <row r="59" spans="1:18" s="1669" customFormat="1" ht="28.5" customHeight="1" thickBot="1">
      <c r="A59" s="1365" t="s">
        <v>1360</v>
      </c>
      <c r="B59" s="717" t="s">
        <v>608</v>
      </c>
      <c r="C59" s="49">
        <f ca="1">ROUND(C47*F59/1.05,2)</f>
        <v>0</v>
      </c>
      <c r="D59" s="904" t="s">
        <v>609</v>
      </c>
      <c r="E59" s="717" t="s">
        <v>597</v>
      </c>
      <c r="F59" s="742">
        <f t="shared" ref="F59:F65" si="0">F32</f>
        <v>5.5000000000000007E-2</v>
      </c>
      <c r="I59" s="2379" t="s">
        <v>1712</v>
      </c>
      <c r="J59" s="2380" t="str">
        <f ca="1">IF(OR(M47="住宅",J51&lt;L48,J56="是"),"——",ROUND(C29*J58,0))</f>
        <v>——</v>
      </c>
      <c r="K59" s="2360"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8"/>
      <c r="O59" s="1957" t="s">
        <v>1735</v>
      </c>
      <c r="P59" s="1955" t="s">
        <v>1765</v>
      </c>
      <c r="Q59" s="1956">
        <f>IF(L55="比较法",L49,IF(L55="基准地价",L50,0))</f>
        <v>0</v>
      </c>
      <c r="R59" s="1955" t="s">
        <v>1732</v>
      </c>
    </row>
    <row r="60" spans="1:18" s="1669" customFormat="1" ht="18" customHeight="1" thickBot="1">
      <c r="A60" s="1365" t="s">
        <v>1361</v>
      </c>
      <c r="B60" s="717" t="s">
        <v>612</v>
      </c>
      <c r="C60" s="49">
        <f ca="1">IF(D60="按租金收入计税",ROUND(C48*F60/(1+'数据-取费表'!C42),2),IF(D60="按房产原值计税",ROUND(C56*F60*0.7,2),INDIRECT("'数据-取费表'!Aj"&amp;$G$1)))</f>
        <v>0</v>
      </c>
      <c r="D60" s="904" t="str">
        <f>D33</f>
        <v>按租金收入计税</v>
      </c>
      <c r="E60" s="717" t="s">
        <v>597</v>
      </c>
      <c r="F60" s="742">
        <f t="shared" si="0"/>
        <v>0.12</v>
      </c>
      <c r="I60" s="2381" t="s">
        <v>1713</v>
      </c>
      <c r="J60" s="2382" t="str">
        <f ca="1">IF(OR(M47="住宅",J51&lt;L48,J56="是"),"0",ROUND(J59/(1+J52)^J53,0))</f>
        <v>0</v>
      </c>
      <c r="K60" s="2383" t="s">
        <v>1718</v>
      </c>
      <c r="L60" s="2382">
        <f ca="1">IF(OR(M47="住宅",L48&lt;J51),0,ROUND(L57*(L58/L59-1),0))</f>
        <v>0</v>
      </c>
      <c r="M60" s="2758"/>
      <c r="O60" s="1957" t="s">
        <v>1736</v>
      </c>
      <c r="P60" s="1955" t="s">
        <v>1745</v>
      </c>
      <c r="Q60" s="1958">
        <f>L52</f>
        <v>0</v>
      </c>
      <c r="R60" s="1959"/>
    </row>
    <row r="61" spans="1:18" s="1669" customFormat="1" ht="18" customHeight="1" thickBot="1">
      <c r="A61" s="1368" t="s">
        <v>1362</v>
      </c>
      <c r="B61" s="313" t="s">
        <v>615</v>
      </c>
      <c r="C61" s="50">
        <f ca="1">ROUND(F61*F62/10000,2)</f>
        <v>0.15</v>
      </c>
      <c r="D61" s="746" t="s">
        <v>616</v>
      </c>
      <c r="E61" s="717" t="s">
        <v>617</v>
      </c>
      <c r="F61" s="585">
        <f t="shared" si="0"/>
        <v>1.5</v>
      </c>
      <c r="K61" s="1693"/>
      <c r="O61" s="1957" t="s">
        <v>1738</v>
      </c>
      <c r="P61" s="1955" t="s">
        <v>1746</v>
      </c>
      <c r="Q61" s="1956" t="e">
        <f ca="1">L58</f>
        <v>#DIV/0!</v>
      </c>
      <c r="R61" s="1959" t="s">
        <v>1747</v>
      </c>
    </row>
    <row r="62" spans="1:18" s="1669" customFormat="1" ht="15.75" thickBot="1">
      <c r="A62" s="747"/>
      <c r="B62" s="726"/>
      <c r="C62" s="65"/>
      <c r="D62" s="748"/>
      <c r="E62" s="717" t="s">
        <v>621</v>
      </c>
      <c r="F62" s="718">
        <f t="shared" ca="1" si="0"/>
        <v>997.63</v>
      </c>
      <c r="I62" s="2384" t="s">
        <v>1719</v>
      </c>
      <c r="J62" s="2385" t="s">
        <v>1720</v>
      </c>
      <c r="K62" s="2385" t="s">
        <v>1721</v>
      </c>
      <c r="L62" s="2385" t="s">
        <v>1702</v>
      </c>
      <c r="M62" s="2386" t="s">
        <v>2198</v>
      </c>
      <c r="O62" s="1957" t="s">
        <v>1740</v>
      </c>
      <c r="P62" s="1955" t="str">
        <f>K59</f>
        <v>建设期及建筑物耐用年限下的土地年期修正系数Kn</v>
      </c>
      <c r="Q62" s="1956" t="e">
        <f ca="1">L59</f>
        <v>#DIV/0!</v>
      </c>
      <c r="R62" s="1959" t="s">
        <v>1749</v>
      </c>
    </row>
    <row r="63" spans="1:18" s="1669" customFormat="1" ht="15.75" thickBot="1">
      <c r="A63" s="1366" t="s">
        <v>1414</v>
      </c>
      <c r="B63" s="717" t="s">
        <v>623</v>
      </c>
      <c r="C63" s="49">
        <f ca="1">ROUND(C56*F63,2)</f>
        <v>3.01</v>
      </c>
      <c r="D63" s="904" t="s">
        <v>1332</v>
      </c>
      <c r="E63" s="717" t="s">
        <v>597</v>
      </c>
      <c r="F63" s="749">
        <f t="shared" ca="1" si="0"/>
        <v>2E-3</v>
      </c>
      <c r="I63" s="2384" t="s">
        <v>1722</v>
      </c>
      <c r="J63" s="2385">
        <v>70</v>
      </c>
      <c r="K63" s="2385">
        <v>50</v>
      </c>
      <c r="L63" s="2385">
        <v>80</v>
      </c>
      <c r="M63" s="2387">
        <v>0.02</v>
      </c>
      <c r="O63" s="1954" t="s">
        <v>1743</v>
      </c>
      <c r="P63" s="1955" t="s">
        <v>1760</v>
      </c>
      <c r="Q63" s="1956">
        <f ca="1">Q57+Q58</f>
        <v>615</v>
      </c>
      <c r="R63" s="1959" t="s">
        <v>1744</v>
      </c>
    </row>
    <row r="64" spans="1:18" s="1669" customFormat="1" ht="16.5" thickBot="1">
      <c r="A64" s="1366" t="s">
        <v>1415</v>
      </c>
      <c r="B64" s="717" t="s">
        <v>626</v>
      </c>
      <c r="C64" s="49">
        <f ca="1">ROUND(C55*F64,2)</f>
        <v>1.5</v>
      </c>
      <c r="D64" s="904" t="s">
        <v>627</v>
      </c>
      <c r="E64" s="717" t="s">
        <v>597</v>
      </c>
      <c r="F64" s="750">
        <f t="shared" ca="1" si="0"/>
        <v>1E-3</v>
      </c>
      <c r="I64" s="2384" t="s">
        <v>1723</v>
      </c>
      <c r="J64" s="2385">
        <v>50</v>
      </c>
      <c r="K64" s="2385">
        <v>35</v>
      </c>
      <c r="L64" s="2385">
        <v>60</v>
      </c>
      <c r="M64" s="778">
        <v>0</v>
      </c>
      <c r="O64" s="1960" t="s">
        <v>1767</v>
      </c>
      <c r="P64" s="1142"/>
      <c r="Q64" s="1327"/>
      <c r="R64" s="1142"/>
    </row>
    <row r="65" spans="1:18" s="1669" customFormat="1" ht="15.75" thickBot="1">
      <c r="A65" s="1366" t="s">
        <v>1416</v>
      </c>
      <c r="B65" s="717" t="s">
        <v>613</v>
      </c>
      <c r="C65" s="49">
        <f ca="1">ROUND(C47*F65,2)</f>
        <v>0</v>
      </c>
      <c r="D65" s="904" t="s">
        <v>630</v>
      </c>
      <c r="E65" s="717" t="s">
        <v>597</v>
      </c>
      <c r="F65" s="727">
        <f t="shared" ca="1" si="0"/>
        <v>0.01</v>
      </c>
      <c r="I65" s="2384" t="s">
        <v>1724</v>
      </c>
      <c r="J65" s="2385">
        <v>40</v>
      </c>
      <c r="K65" s="2385">
        <v>30</v>
      </c>
      <c r="L65" s="2385">
        <v>50</v>
      </c>
      <c r="M65" s="2387">
        <v>0.02</v>
      </c>
      <c r="O65" s="1951" t="s">
        <v>1727</v>
      </c>
      <c r="P65" s="1952" t="s">
        <v>1728</v>
      </c>
      <c r="Q65" s="1953" t="s">
        <v>1729</v>
      </c>
      <c r="R65" s="1952" t="s">
        <v>1730</v>
      </c>
    </row>
    <row r="66" spans="1:18" s="1669" customFormat="1" ht="24.75" thickBot="1">
      <c r="A66" s="730" t="s">
        <v>1305</v>
      </c>
      <c r="B66" s="2294" t="s">
        <v>2097</v>
      </c>
      <c r="C66" s="732">
        <f ca="1">C47-C57</f>
        <v>-5</v>
      </c>
      <c r="D66" s="903" t="s">
        <v>647</v>
      </c>
      <c r="E66" s="901"/>
      <c r="F66" s="752"/>
      <c r="K66" s="1693"/>
      <c r="O66" s="1954" t="s">
        <v>1731</v>
      </c>
      <c r="P66" s="1955" t="s">
        <v>1757</v>
      </c>
      <c r="Q66" s="1956">
        <f ca="1">C40+J29</f>
        <v>615</v>
      </c>
      <c r="R66" s="1955" t="s">
        <v>1732</v>
      </c>
    </row>
    <row r="67" spans="1:18" s="1669" customFormat="1" ht="20.25" thickBot="1">
      <c r="A67" s="714" t="s">
        <v>1309</v>
      </c>
      <c r="B67" s="1823" t="s">
        <v>1656</v>
      </c>
      <c r="C67" s="716">
        <f ca="1">ROUND(C66*(1-((1+F69)/(1+F67))^F68)/(F67-F69),0)</f>
        <v>-90</v>
      </c>
      <c r="D67" s="746" t="s">
        <v>651</v>
      </c>
      <c r="E67" s="717" t="s">
        <v>652</v>
      </c>
      <c r="F67" s="727">
        <f ca="1">F40</f>
        <v>0.05</v>
      </c>
      <c r="K67" s="1693"/>
      <c r="O67" s="1954" t="s">
        <v>1733</v>
      </c>
      <c r="P67" s="1955" t="s">
        <v>1764</v>
      </c>
      <c r="Q67" s="1956">
        <f ca="1">L60</f>
        <v>0</v>
      </c>
      <c r="R67" s="1959" t="s">
        <v>1766</v>
      </c>
    </row>
    <row r="68" spans="1:18" ht="21.75" thickBot="1">
      <c r="A68" s="719"/>
      <c r="B68" s="720"/>
      <c r="C68" s="721"/>
      <c r="D68" s="753" t="s">
        <v>1337</v>
      </c>
      <c r="E68" s="717" t="s">
        <v>655</v>
      </c>
      <c r="F68" s="754">
        <f ca="1">F41</f>
        <v>47.08</v>
      </c>
      <c r="O68" s="1957" t="s">
        <v>1735</v>
      </c>
      <c r="P68" s="1955" t="s">
        <v>1765</v>
      </c>
      <c r="Q68" s="1961">
        <f ca="1">L51</f>
        <v>-1616</v>
      </c>
      <c r="R68" s="1962" t="s">
        <v>1768</v>
      </c>
    </row>
    <row r="69" spans="1:18" ht="20.25" thickBot="1">
      <c r="A69" s="723"/>
      <c r="B69" s="724"/>
      <c r="C69" s="725"/>
      <c r="D69" s="748"/>
      <c r="E69" s="717" t="s">
        <v>657</v>
      </c>
      <c r="F69" s="1931"/>
      <c r="O69" s="1957" t="s">
        <v>1736</v>
      </c>
      <c r="P69" s="1963" t="s">
        <v>1750</v>
      </c>
      <c r="Q69" s="1956">
        <f ca="1">ROUND(Q70-Q71*Q72,0)</f>
        <v>-78</v>
      </c>
      <c r="R69" s="1959"/>
    </row>
    <row r="70" spans="1:18" ht="15.75" thickBot="1">
      <c r="A70" s="755" t="s">
        <v>1316</v>
      </c>
      <c r="B70" s="756" t="s">
        <v>1339</v>
      </c>
      <c r="C70" s="757">
        <f ca="1">ROUND(C67*10000/F70,0)</f>
        <v>-320</v>
      </c>
      <c r="D70" s="758" t="s">
        <v>1340</v>
      </c>
      <c r="E70" s="759" t="s">
        <v>1341</v>
      </c>
      <c r="F70" s="760">
        <f ca="1">F43</f>
        <v>2808.2200000000012</v>
      </c>
      <c r="O70" s="1957" t="s">
        <v>1751</v>
      </c>
      <c r="P70" s="1963" t="s">
        <v>1752</v>
      </c>
      <c r="Q70" s="1956">
        <f ca="1">C39</f>
        <v>27</v>
      </c>
      <c r="R70" s="1955" t="s">
        <v>1732</v>
      </c>
    </row>
    <row r="71" spans="1:18" ht="15.75" thickBot="1">
      <c r="O71" s="1957" t="s">
        <v>1753</v>
      </c>
      <c r="P71" s="1963" t="s">
        <v>1754</v>
      </c>
      <c r="Q71" s="1956">
        <f ca="1">C13</f>
        <v>1504</v>
      </c>
      <c r="R71" s="1955" t="s">
        <v>1732</v>
      </c>
    </row>
    <row r="72" spans="1:18" ht="15.75" thickBot="1">
      <c r="O72" s="1957" t="s">
        <v>1755</v>
      </c>
      <c r="P72" s="1963" t="s">
        <v>1756</v>
      </c>
      <c r="Q72" s="1958">
        <f ca="1">J36</f>
        <v>7.0000000000000007E-2</v>
      </c>
      <c r="R72" s="1959"/>
    </row>
    <row r="73" spans="1:18" ht="15.75" thickBot="1">
      <c r="O73" s="1957" t="s">
        <v>1738</v>
      </c>
      <c r="P73" s="1955" t="s">
        <v>1745</v>
      </c>
      <c r="Q73" s="1958">
        <f>L52</f>
        <v>0</v>
      </c>
      <c r="R73" s="1959"/>
    </row>
    <row r="74" spans="1:18" ht="20.25" thickBot="1">
      <c r="O74" s="1957" t="s">
        <v>1740</v>
      </c>
      <c r="P74" s="1955" t="s">
        <v>1746</v>
      </c>
      <c r="Q74" s="1956" t="e">
        <f ca="1">L58</f>
        <v>#DIV/0!</v>
      </c>
      <c r="R74" s="1959" t="s">
        <v>1747</v>
      </c>
    </row>
    <row r="75" spans="1:18" ht="15.75" thickBot="1">
      <c r="O75" s="1957" t="s">
        <v>1769</v>
      </c>
      <c r="P75" s="1955" t="str">
        <f>K59</f>
        <v>建设期及建筑物耐用年限下的土地年期修正系数Kn</v>
      </c>
      <c r="Q75" s="1956" t="e">
        <f ca="1">L59</f>
        <v>#DIV/0!</v>
      </c>
      <c r="R75" s="1959" t="s">
        <v>1749</v>
      </c>
    </row>
    <row r="76" spans="1:18" ht="15.75" thickBot="1">
      <c r="O76" s="1954" t="s">
        <v>1743</v>
      </c>
      <c r="P76" s="1955" t="s">
        <v>1760</v>
      </c>
      <c r="Q76" s="1956">
        <f ca="1">Q66+Q67</f>
        <v>615</v>
      </c>
      <c r="R76" s="1959"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01" priority="3">
      <formula>$F$10="自定义"</formula>
    </cfRule>
  </conditionalFormatting>
  <conditionalFormatting sqref="C53">
    <cfRule type="expression" dxfId="100" priority="1">
      <formula>$F$52="自定义"</formula>
    </cfRule>
  </conditionalFormatting>
  <conditionalFormatting sqref="I55">
    <cfRule type="expression" dxfId="99" priority="7">
      <formula>$J$51&gt;$L$48</formula>
    </cfRule>
  </conditionalFormatting>
  <conditionalFormatting sqref="I60">
    <cfRule type="expression" dxfId="98" priority="5">
      <formula>$J$51&gt;$L$48</formula>
    </cfRule>
  </conditionalFormatting>
  <conditionalFormatting sqref="J11">
    <cfRule type="expression" dxfId="97" priority="2">
      <formula>$M$10="自定义"</formula>
    </cfRule>
  </conditionalFormatting>
  <conditionalFormatting sqref="K55">
    <cfRule type="expression" dxfId="96" priority="6">
      <formula>$L$48&gt;$J$51</formula>
    </cfRule>
  </conditionalFormatting>
  <conditionalFormatting sqref="K60">
    <cfRule type="expression" dxfId="95"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4"/>
  <sheetViews>
    <sheetView topLeftCell="A19" zoomScale="80" zoomScaleNormal="80" workbookViewId="0">
      <selection activeCell="C40" sqref="C40"/>
    </sheetView>
  </sheetViews>
  <sheetFormatPr defaultRowHeight="13.15" customHeight="1"/>
  <cols>
    <col min="1" max="1" width="9.5" style="2821" customWidth="1"/>
    <col min="2" max="2" width="8.875" style="2821"/>
    <col min="3" max="5" width="12.875" style="2821" customWidth="1"/>
    <col min="6" max="6" width="47.5" style="2821" customWidth="1"/>
    <col min="7" max="7" width="13" style="2815" customWidth="1"/>
    <col min="8" max="8" width="8.875" style="2815"/>
    <col min="9" max="9" width="8.875" style="2816"/>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2435</v>
      </c>
      <c r="B1" s="2811"/>
      <c r="C1" s="2824"/>
      <c r="D1" s="2824"/>
      <c r="E1" s="2812"/>
      <c r="F1" s="2813"/>
      <c r="G1" s="2814"/>
      <c r="J1" s="2817" t="s">
        <v>2292</v>
      </c>
      <c r="K1" s="2818"/>
      <c r="L1" s="2818"/>
      <c r="M1" s="2818"/>
      <c r="N1" s="2818"/>
      <c r="O1" s="2818"/>
      <c r="P1" s="2818"/>
      <c r="Q1" s="2818"/>
      <c r="R1" s="2819"/>
      <c r="S1" s="2820"/>
      <c r="T1" s="2820"/>
      <c r="U1" s="2820"/>
    </row>
    <row r="2" spans="1:22" s="2833" customFormat="1" ht="13.15" customHeight="1">
      <c r="A2" s="2822" t="s">
        <v>2293</v>
      </c>
      <c r="B2" s="2823">
        <f ca="1">C40</f>
        <v>6677.7849501170513</v>
      </c>
      <c r="C2" s="2824" t="s">
        <v>2294</v>
      </c>
      <c r="D2" s="2824"/>
      <c r="E2" s="2825"/>
      <c r="F2" s="2826"/>
      <c r="G2" s="2827"/>
      <c r="H2" s="2828"/>
      <c r="I2" s="2829"/>
      <c r="J2" s="3707" t="s">
        <v>2295</v>
      </c>
      <c r="K2" s="3708"/>
      <c r="L2" s="2830" t="s">
        <v>2296</v>
      </c>
      <c r="M2" s="2830" t="s">
        <v>2297</v>
      </c>
      <c r="N2" s="2830" t="s">
        <v>2298</v>
      </c>
      <c r="O2" s="2830" t="s">
        <v>2299</v>
      </c>
      <c r="P2" s="2830" t="s">
        <v>2300</v>
      </c>
      <c r="Q2" s="2831" t="s">
        <v>2301</v>
      </c>
      <c r="R2" s="2832" t="s">
        <v>2302</v>
      </c>
      <c r="S2" s="2820"/>
      <c r="T2" s="2820"/>
      <c r="U2" s="2820"/>
      <c r="V2" s="2829"/>
    </row>
    <row r="3" spans="1:22" s="2833" customFormat="1" ht="13.15" customHeight="1">
      <c r="A3" s="2834" t="s">
        <v>2303</v>
      </c>
      <c r="B3" s="2835">
        <f ca="1">ROUND(B2*10000/B4,0)</f>
        <v>11324</v>
      </c>
      <c r="C3" s="2824" t="s">
        <v>2304</v>
      </c>
      <c r="D3" s="2824"/>
      <c r="E3" s="2825"/>
      <c r="F3" s="2826"/>
      <c r="G3" s="2827"/>
      <c r="H3" s="2828"/>
      <c r="I3" s="2829"/>
      <c r="J3" s="3709" t="s">
        <v>2305</v>
      </c>
      <c r="K3" s="3710"/>
      <c r="L3" s="2836"/>
      <c r="M3" s="2836"/>
      <c r="N3" s="2836"/>
      <c r="O3" s="2836"/>
      <c r="P3" s="2836"/>
      <c r="Q3" s="2837"/>
      <c r="R3" s="2838">
        <f>SUM(L3:Q3)</f>
        <v>0</v>
      </c>
      <c r="S3" s="2820"/>
      <c r="T3" s="2820"/>
      <c r="U3" s="2820"/>
      <c r="V3" s="2829"/>
    </row>
    <row r="4" spans="1:22" s="2833" customFormat="1" ht="13.15" customHeight="1">
      <c r="A4" s="2839" t="s">
        <v>2306</v>
      </c>
      <c r="B4" s="2840">
        <f>'数据-汇总表'!F20</f>
        <v>5896.96</v>
      </c>
      <c r="C4" s="2824"/>
      <c r="D4" s="2824"/>
      <c r="E4" s="2825"/>
      <c r="F4" s="2826"/>
      <c r="G4" s="2827"/>
      <c r="H4" s="2828"/>
      <c r="I4" s="2829"/>
      <c r="J4" s="3709" t="s">
        <v>2307</v>
      </c>
      <c r="K4" s="3710"/>
      <c r="L4" s="2841"/>
      <c r="M4" s="2841"/>
      <c r="N4" s="2841"/>
      <c r="O4" s="2841"/>
      <c r="P4" s="2841"/>
      <c r="Q4" s="2842"/>
      <c r="R4" s="2843">
        <f>SUM(L4:Q4)</f>
        <v>0</v>
      </c>
      <c r="S4" s="2820"/>
      <c r="T4" s="2820"/>
      <c r="U4" s="2820"/>
      <c r="V4" s="2829"/>
    </row>
    <row r="5" spans="1:22" s="2833" customFormat="1" ht="13.15" customHeight="1" thickBot="1">
      <c r="A5" s="2844" t="s">
        <v>2308</v>
      </c>
      <c r="B5" s="2845">
        <f ca="1">不动产收益法!F35</f>
        <v>2094.91</v>
      </c>
      <c r="C5" s="2824"/>
      <c r="D5" s="2846"/>
      <c r="E5" s="2826"/>
      <c r="F5" s="2826"/>
      <c r="G5" s="2827"/>
      <c r="H5" s="2828"/>
      <c r="I5" s="2829"/>
      <c r="J5" s="2847" t="s">
        <v>2309</v>
      </c>
      <c r="K5" s="2848"/>
      <c r="L5" s="2848"/>
      <c r="M5" s="2849"/>
      <c r="N5" s="2849"/>
      <c r="O5" s="2849"/>
      <c r="P5" s="2849"/>
      <c r="Q5" s="2849"/>
      <c r="R5" s="2832">
        <f>SUM(R14,R19,R24,R25,R27,R28)</f>
        <v>775</v>
      </c>
      <c r="S5" s="2820"/>
      <c r="T5" s="2820" t="s">
        <v>2310</v>
      </c>
      <c r="U5" s="2820" t="e">
        <f>ROUND(R5*10000/365/R3,1)</f>
        <v>#DIV/0!</v>
      </c>
      <c r="V5" s="2829"/>
    </row>
    <row r="6" spans="1:22" s="2833" customFormat="1" ht="13.15" customHeight="1" thickBot="1">
      <c r="A6" s="3711" t="s">
        <v>2311</v>
      </c>
      <c r="B6" s="3712"/>
      <c r="C6" s="3713"/>
      <c r="D6" s="2850">
        <f>R5</f>
        <v>775</v>
      </c>
      <c r="E6" s="2851"/>
      <c r="F6" s="2852"/>
      <c r="G6" s="2853"/>
      <c r="H6" s="2828"/>
      <c r="I6" s="2829"/>
      <c r="J6" s="3714">
        <v>1</v>
      </c>
      <c r="K6" s="3715" t="s">
        <v>2312</v>
      </c>
      <c r="L6" s="2854" t="s">
        <v>2313</v>
      </c>
      <c r="M6" s="2855" t="s">
        <v>2314</v>
      </c>
      <c r="N6" s="2855" t="s">
        <v>2315</v>
      </c>
      <c r="O6" s="2855" t="s">
        <v>2316</v>
      </c>
      <c r="P6" s="2855" t="s">
        <v>2317</v>
      </c>
      <c r="Q6" s="2855" t="s">
        <v>2318</v>
      </c>
      <c r="R6" s="2838" t="s">
        <v>2319</v>
      </c>
      <c r="S6" s="2820"/>
      <c r="T6" s="2820" t="s">
        <v>2320</v>
      </c>
      <c r="U6" s="2820"/>
      <c r="V6" s="2829"/>
    </row>
    <row r="7" spans="1:22" s="2833" customFormat="1" ht="13.15" customHeight="1">
      <c r="A7" s="2856" t="s">
        <v>2321</v>
      </c>
      <c r="B7" s="2857"/>
      <c r="C7" s="2858"/>
      <c r="D7" s="2859">
        <f ca="1">SUM(D9,D10,D11,D17,0)</f>
        <v>392.31</v>
      </c>
      <c r="E7" s="3448">
        <f ca="1">E9+E10+E11+E17</f>
        <v>0.50620645161290323</v>
      </c>
      <c r="F7" s="2860"/>
      <c r="G7" s="2861"/>
      <c r="H7" s="2828"/>
      <c r="I7" s="2829"/>
      <c r="J7" s="3714"/>
      <c r="K7" s="3716"/>
      <c r="L7" s="2862" t="s">
        <v>2322</v>
      </c>
      <c r="M7" s="2863"/>
      <c r="N7" s="2840"/>
      <c r="O7" s="2864"/>
      <c r="P7" s="2864"/>
      <c r="Q7" s="2865">
        <v>365</v>
      </c>
      <c r="R7" s="2866">
        <f>ROUND(M7*N7*O7*P7*Q7/10000,0)</f>
        <v>0</v>
      </c>
      <c r="S7" s="2820"/>
      <c r="T7" s="2820" t="s">
        <v>2323</v>
      </c>
      <c r="U7" s="2820"/>
      <c r="V7" s="2829"/>
    </row>
    <row r="8" spans="1:22" s="2833" customFormat="1" ht="13.15" customHeight="1">
      <c r="A8" s="2867" t="s">
        <v>2324</v>
      </c>
      <c r="B8" s="3718" t="s">
        <v>2325</v>
      </c>
      <c r="C8" s="3719"/>
      <c r="D8" s="2868" t="s">
        <v>2326</v>
      </c>
      <c r="E8" s="2869" t="s">
        <v>2327</v>
      </c>
      <c r="F8" s="2870" t="s">
        <v>2328</v>
      </c>
      <c r="G8" s="2871"/>
      <c r="H8" s="2828"/>
      <c r="I8" s="2829"/>
      <c r="J8" s="3714"/>
      <c r="K8" s="3716"/>
      <c r="L8" s="2862" t="s">
        <v>2329</v>
      </c>
      <c r="M8" s="2863"/>
      <c r="N8" s="2840"/>
      <c r="O8" s="2864"/>
      <c r="P8" s="2864"/>
      <c r="Q8" s="2865">
        <v>365</v>
      </c>
      <c r="R8" s="2866">
        <f t="shared" ref="R8:R13" si="0">ROUND(M8*N8*O8*P8*Q8/10000,0)</f>
        <v>0</v>
      </c>
      <c r="S8" s="2820"/>
      <c r="T8" s="2820" t="s">
        <v>2330</v>
      </c>
      <c r="U8" s="2820"/>
      <c r="V8" s="2829"/>
    </row>
    <row r="9" spans="1:22" s="2833" customFormat="1" ht="13.15" customHeight="1">
      <c r="A9" s="2867">
        <v>1</v>
      </c>
      <c r="B9" s="3718" t="s">
        <v>2331</v>
      </c>
      <c r="C9" s="3719"/>
      <c r="D9" s="2868">
        <f>ROUND(D6*E9,0)</f>
        <v>116</v>
      </c>
      <c r="E9" s="2872">
        <v>0.15</v>
      </c>
      <c r="F9" s="2873" t="s">
        <v>2332</v>
      </c>
      <c r="G9" s="2853"/>
      <c r="H9" s="2828"/>
      <c r="I9" s="2829"/>
      <c r="J9" s="3714"/>
      <c r="K9" s="3716"/>
      <c r="L9" s="2862" t="s">
        <v>2333</v>
      </c>
      <c r="M9" s="2863"/>
      <c r="N9" s="2840"/>
      <c r="O9" s="2864"/>
      <c r="P9" s="2864"/>
      <c r="Q9" s="2865">
        <v>365</v>
      </c>
      <c r="R9" s="2866">
        <f t="shared" si="0"/>
        <v>0</v>
      </c>
      <c r="S9" s="2820"/>
      <c r="T9" s="2820"/>
      <c r="U9" s="2820"/>
      <c r="V9" s="2829"/>
    </row>
    <row r="10" spans="1:22" s="2833" customFormat="1" ht="13.15" customHeight="1">
      <c r="A10" s="2867">
        <v>2</v>
      </c>
      <c r="B10" s="3718" t="s">
        <v>2334</v>
      </c>
      <c r="C10" s="3719"/>
      <c r="D10" s="2868">
        <f>ROUND(D6*E10,0)</f>
        <v>155</v>
      </c>
      <c r="E10" s="2872">
        <v>0.2</v>
      </c>
      <c r="F10" s="2873" t="s">
        <v>2335</v>
      </c>
      <c r="G10" s="2853"/>
      <c r="H10" s="2828"/>
      <c r="I10" s="2829"/>
      <c r="J10" s="3714"/>
      <c r="K10" s="3716"/>
      <c r="L10" s="2862" t="s">
        <v>2336</v>
      </c>
      <c r="M10" s="2863">
        <v>106</v>
      </c>
      <c r="N10" s="2840">
        <v>200</v>
      </c>
      <c r="O10" s="2864">
        <v>1</v>
      </c>
      <c r="P10" s="2864">
        <v>0.5</v>
      </c>
      <c r="Q10" s="2865">
        <v>365</v>
      </c>
      <c r="R10" s="2866">
        <f t="shared" si="0"/>
        <v>387</v>
      </c>
      <c r="S10" s="2820"/>
      <c r="T10" s="2820"/>
      <c r="U10" s="2820"/>
      <c r="V10" s="2829"/>
    </row>
    <row r="11" spans="1:22" s="2833" customFormat="1" ht="13.15" customHeight="1">
      <c r="A11" s="2867">
        <v>3</v>
      </c>
      <c r="B11" s="3718" t="s">
        <v>2337</v>
      </c>
      <c r="C11" s="3719"/>
      <c r="D11" s="2868">
        <f ca="1">D12+D14+D15+D16</f>
        <v>82.31</v>
      </c>
      <c r="E11" s="2874">
        <f ca="1">D11/D6</f>
        <v>0.10620645161290324</v>
      </c>
      <c r="F11" s="2870"/>
      <c r="G11" s="2871"/>
      <c r="H11" s="2828"/>
      <c r="I11" s="2829"/>
      <c r="J11" s="3714"/>
      <c r="K11" s="3716"/>
      <c r="L11" s="2862" t="s">
        <v>2338</v>
      </c>
      <c r="M11" s="2863"/>
      <c r="N11" s="2840"/>
      <c r="O11" s="2864"/>
      <c r="P11" s="2864"/>
      <c r="Q11" s="2865">
        <v>365</v>
      </c>
      <c r="R11" s="2866">
        <f t="shared" si="0"/>
        <v>0</v>
      </c>
      <c r="S11" s="2820"/>
      <c r="T11" s="2820"/>
      <c r="U11" s="2820"/>
      <c r="V11" s="2829"/>
    </row>
    <row r="12" spans="1:22" s="2833" customFormat="1" ht="13.15" customHeight="1">
      <c r="A12" s="2875" t="s">
        <v>2339</v>
      </c>
      <c r="B12" s="3720" t="s">
        <v>2340</v>
      </c>
      <c r="C12" s="3721"/>
      <c r="D12" s="2876">
        <f ca="1">ROUND(D13*1.2%*(1-30%),0)</f>
        <v>39</v>
      </c>
      <c r="E12" s="2877">
        <v>1.2E-2</v>
      </c>
      <c r="F12" s="2870" t="s">
        <v>2341</v>
      </c>
      <c r="G12" s="2871"/>
      <c r="H12" s="2828"/>
      <c r="I12" s="2829"/>
      <c r="J12" s="3714"/>
      <c r="K12" s="3716"/>
      <c r="L12" s="2862" t="s">
        <v>2342</v>
      </c>
      <c r="M12" s="2863"/>
      <c r="N12" s="2840"/>
      <c r="O12" s="2864"/>
      <c r="P12" s="2864"/>
      <c r="Q12" s="2865">
        <v>365</v>
      </c>
      <c r="R12" s="2866">
        <f t="shared" si="0"/>
        <v>0</v>
      </c>
      <c r="S12" s="2820"/>
      <c r="T12" s="2820"/>
      <c r="U12" s="2820"/>
      <c r="V12" s="2829"/>
    </row>
    <row r="13" spans="1:22" s="2833" customFormat="1" ht="13.15" customHeight="1">
      <c r="A13" s="2875"/>
      <c r="B13" s="2878"/>
      <c r="C13" s="2879" t="s">
        <v>2343</v>
      </c>
      <c r="D13" s="2880">
        <f ca="1">不动产收益法!C29</f>
        <v>4648</v>
      </c>
      <c r="E13" s="2881"/>
      <c r="F13" s="2870"/>
      <c r="G13" s="2871"/>
      <c r="H13" s="2828"/>
      <c r="I13" s="2829"/>
      <c r="J13" s="3714"/>
      <c r="K13" s="3716"/>
      <c r="L13" s="2862" t="s">
        <v>2344</v>
      </c>
      <c r="M13" s="2863"/>
      <c r="N13" s="2840"/>
      <c r="O13" s="2864"/>
      <c r="P13" s="2864"/>
      <c r="Q13" s="2865">
        <v>365</v>
      </c>
      <c r="R13" s="2866">
        <f t="shared" si="0"/>
        <v>0</v>
      </c>
      <c r="S13" s="2820"/>
      <c r="T13" s="2820"/>
      <c r="U13" s="2820"/>
      <c r="V13" s="2829"/>
    </row>
    <row r="14" spans="1:22" s="2833" customFormat="1" ht="13.15" customHeight="1">
      <c r="A14" s="2875" t="s">
        <v>2345</v>
      </c>
      <c r="B14" s="3720" t="s">
        <v>2346</v>
      </c>
      <c r="C14" s="3721"/>
      <c r="D14" s="3411">
        <f ca="1">ROUND(E14*B5/10000,2)</f>
        <v>0.31</v>
      </c>
      <c r="E14" s="3447">
        <f>'数据-取费表'!B59</f>
        <v>1.5</v>
      </c>
      <c r="F14" s="2870" t="s">
        <v>2347</v>
      </c>
      <c r="G14" s="2871"/>
      <c r="H14" s="2828"/>
      <c r="I14" s="2829"/>
      <c r="J14" s="3714"/>
      <c r="K14" s="3717"/>
      <c r="L14" s="2882" t="s">
        <v>2348</v>
      </c>
      <c r="M14" s="2883">
        <f>SUM(M7:M13)</f>
        <v>106</v>
      </c>
      <c r="N14" s="2883">
        <f>ROUND((N7*M7+N8*M8+N9*M9+N10*M10+N11*M11+N12*M12+N13*M13)/M14,0)</f>
        <v>200</v>
      </c>
      <c r="O14" s="2884"/>
      <c r="P14" s="2884"/>
      <c r="Q14" s="2885"/>
      <c r="R14" s="2832">
        <f>SUM(R7:R13)</f>
        <v>387</v>
      </c>
      <c r="S14" s="2820"/>
      <c r="T14" s="2820"/>
      <c r="U14" s="2820"/>
      <c r="V14" s="2829"/>
    </row>
    <row r="15" spans="1:22" s="2833" customFormat="1" ht="13.15" customHeight="1">
      <c r="A15" s="2875" t="s">
        <v>2349</v>
      </c>
      <c r="B15" s="3720" t="s">
        <v>2350</v>
      </c>
      <c r="C15" s="3721"/>
      <c r="D15" s="2876">
        <f>ROUND(D6*E15,0)</f>
        <v>43</v>
      </c>
      <c r="E15" s="2877">
        <v>5.5E-2</v>
      </c>
      <c r="F15" s="2870" t="s">
        <v>2351</v>
      </c>
      <c r="G15" s="2853"/>
      <c r="H15" s="2828"/>
      <c r="I15" s="2829"/>
      <c r="J15" s="3714">
        <v>2</v>
      </c>
      <c r="K15" s="3715" t="s">
        <v>2352</v>
      </c>
      <c r="L15" s="2862" t="s">
        <v>2353</v>
      </c>
      <c r="M15" s="2863" t="s">
        <v>2354</v>
      </c>
      <c r="N15" s="2863" t="s">
        <v>2355</v>
      </c>
      <c r="O15" s="2864" t="s">
        <v>2356</v>
      </c>
      <c r="P15" s="2864" t="s">
        <v>2357</v>
      </c>
      <c r="Q15" s="2840" t="s">
        <v>2358</v>
      </c>
      <c r="R15" s="2886" t="s">
        <v>2359</v>
      </c>
      <c r="S15" s="2820"/>
      <c r="T15" s="2820"/>
      <c r="U15" s="2820"/>
      <c r="V15" s="2829"/>
    </row>
    <row r="16" spans="1:22" s="2833" customFormat="1" ht="13.15" customHeight="1">
      <c r="A16" s="2875" t="s">
        <v>2360</v>
      </c>
      <c r="B16" s="3720" t="s">
        <v>2361</v>
      </c>
      <c r="C16" s="3721"/>
      <c r="D16" s="2887">
        <f>D6*E16</f>
        <v>0</v>
      </c>
      <c r="E16" s="2888"/>
      <c r="F16" s="2873" t="s">
        <v>2362</v>
      </c>
      <c r="G16" s="2853"/>
      <c r="H16" s="2828"/>
      <c r="I16" s="2829"/>
      <c r="J16" s="3714"/>
      <c r="K16" s="3716"/>
      <c r="L16" s="2862" t="s">
        <v>2363</v>
      </c>
      <c r="M16" s="2863"/>
      <c r="N16" s="2863"/>
      <c r="O16" s="2864"/>
      <c r="P16" s="2865">
        <v>365</v>
      </c>
      <c r="Q16" s="2840"/>
      <c r="R16" s="2886">
        <f>ROUND(M16*N16*O16*P16/10000,0)</f>
        <v>0</v>
      </c>
      <c r="S16" s="2820"/>
      <c r="T16" s="2820"/>
      <c r="U16" s="2820"/>
      <c r="V16" s="2829"/>
    </row>
    <row r="17" spans="1:22" s="2833" customFormat="1" ht="12.75" customHeight="1" thickBot="1">
      <c r="A17" s="2889">
        <v>4</v>
      </c>
      <c r="B17" s="3722" t="s">
        <v>2364</v>
      </c>
      <c r="C17" s="3723"/>
      <c r="D17" s="2890">
        <f>ROUND(D6*E17,0)</f>
        <v>39</v>
      </c>
      <c r="E17" s="2891">
        <v>0.05</v>
      </c>
      <c r="F17" s="2892" t="s">
        <v>2365</v>
      </c>
      <c r="G17" s="2853"/>
      <c r="H17" s="2828"/>
      <c r="I17" s="2829"/>
      <c r="J17" s="3714"/>
      <c r="K17" s="3716"/>
      <c r="L17" s="2862" t="s">
        <v>2366</v>
      </c>
      <c r="M17" s="2863"/>
      <c r="N17" s="2863"/>
      <c r="O17" s="2864"/>
      <c r="P17" s="2865">
        <v>365</v>
      </c>
      <c r="Q17" s="2840"/>
      <c r="R17" s="2886">
        <f>ROUND(M17*N17*O17*P17/10000,0)</f>
        <v>0</v>
      </c>
      <c r="S17" s="2820"/>
      <c r="T17" s="2820"/>
      <c r="U17" s="2820"/>
      <c r="V17" s="2829"/>
    </row>
    <row r="18" spans="1:22" s="2833" customFormat="1" ht="13.15" customHeight="1" thickBot="1">
      <c r="A18" s="2856" t="s">
        <v>2367</v>
      </c>
      <c r="B18" s="2857"/>
      <c r="C18" s="2857"/>
      <c r="D18" s="2893">
        <f>ROUND(D6*E18,0)</f>
        <v>39</v>
      </c>
      <c r="E18" s="2894">
        <v>0.05</v>
      </c>
      <c r="F18" s="2895" t="s">
        <v>2368</v>
      </c>
      <c r="G18" s="2853"/>
      <c r="H18" s="2828"/>
      <c r="I18" s="2829"/>
      <c r="J18" s="3714"/>
      <c r="K18" s="3716"/>
      <c r="L18" s="2862" t="s">
        <v>2369</v>
      </c>
      <c r="M18" s="2863"/>
      <c r="N18" s="2863"/>
      <c r="O18" s="2864"/>
      <c r="P18" s="2865">
        <v>365</v>
      </c>
      <c r="Q18" s="2840"/>
      <c r="R18" s="2886">
        <f>ROUND(M18*N18*O18*P18/10000,0)</f>
        <v>0</v>
      </c>
      <c r="S18" s="2820"/>
      <c r="T18" s="2820"/>
      <c r="U18" s="2820"/>
      <c r="V18" s="2829"/>
    </row>
    <row r="19" spans="1:22" s="2833" customFormat="1" ht="13.15" customHeight="1" thickBot="1">
      <c r="A19" s="2896" t="s">
        <v>2370</v>
      </c>
      <c r="B19" s="2851"/>
      <c r="C19" s="2851"/>
      <c r="D19" s="2851"/>
      <c r="E19" s="2851"/>
      <c r="F19" s="2852"/>
      <c r="G19" s="2871"/>
      <c r="H19" s="2828"/>
      <c r="I19" s="2829"/>
      <c r="J19" s="3714"/>
      <c r="K19" s="3717"/>
      <c r="L19" s="2882" t="s">
        <v>2348</v>
      </c>
      <c r="M19" s="2883"/>
      <c r="N19" s="2883">
        <f>SUM(N16:N18)</f>
        <v>0</v>
      </c>
      <c r="O19" s="2884"/>
      <c r="P19" s="2897" t="s">
        <v>4036</v>
      </c>
      <c r="Q19" s="2864">
        <v>0.5</v>
      </c>
      <c r="R19" s="2898">
        <f>ROUND(IF(P19="按比例",R14*Q19,SUM(R16:R18)),0)</f>
        <v>194</v>
      </c>
      <c r="S19" s="2820"/>
      <c r="T19" s="2820"/>
      <c r="U19" s="2820"/>
      <c r="V19" s="2829"/>
    </row>
    <row r="20" spans="1:22" s="2833" customFormat="1" ht="13.15" customHeight="1">
      <c r="A20" s="2856"/>
      <c r="B20" s="2857"/>
      <c r="C20" s="2857"/>
      <c r="D20" s="2857"/>
      <c r="E20" s="2857"/>
      <c r="F20" s="2899"/>
      <c r="G20" s="2871"/>
      <c r="H20" s="2828"/>
      <c r="I20" s="2829"/>
      <c r="J20" s="3714">
        <v>3</v>
      </c>
      <c r="K20" s="3715" t="s">
        <v>2371</v>
      </c>
      <c r="L20" s="2862" t="s">
        <v>2372</v>
      </c>
      <c r="M20" s="2863" t="s">
        <v>2373</v>
      </c>
      <c r="N20" s="2900" t="s">
        <v>2374</v>
      </c>
      <c r="O20" s="2864" t="s">
        <v>2375</v>
      </c>
      <c r="P20" s="2865" t="s">
        <v>2376</v>
      </c>
      <c r="Q20" s="2840" t="s">
        <v>2377</v>
      </c>
      <c r="R20" s="2886" t="s">
        <v>2319</v>
      </c>
      <c r="S20" s="2820"/>
      <c r="T20" s="2820"/>
      <c r="U20" s="2820"/>
      <c r="V20" s="2829"/>
    </row>
    <row r="21" spans="1:22" s="2833" customFormat="1" ht="13.15" customHeight="1">
      <c r="A21" s="2856"/>
      <c r="B21" s="2857"/>
      <c r="C21" s="2901" t="s">
        <v>2378</v>
      </c>
      <c r="D21" s="2902" t="s">
        <v>2379</v>
      </c>
      <c r="E21" s="2903" t="s">
        <v>2380</v>
      </c>
      <c r="F21" s="2899"/>
      <c r="G21" s="2871"/>
      <c r="H21" s="2828"/>
      <c r="I21" s="2829"/>
      <c r="J21" s="3714"/>
      <c r="K21" s="3716"/>
      <c r="L21" s="2862" t="s">
        <v>2381</v>
      </c>
      <c r="M21" s="2863"/>
      <c r="N21" s="2863"/>
      <c r="O21" s="2864"/>
      <c r="P21" s="2865">
        <v>365</v>
      </c>
      <c r="Q21" s="2840"/>
      <c r="R21" s="2904">
        <f>ROUND(M21*N21*O21*P21/10000,0)</f>
        <v>0</v>
      </c>
      <c r="S21" s="2820"/>
      <c r="T21" s="2820"/>
      <c r="U21" s="2820"/>
      <c r="V21" s="2829"/>
    </row>
    <row r="22" spans="1:22" s="2833" customFormat="1" ht="13.15" customHeight="1">
      <c r="A22" s="2856"/>
      <c r="B22" s="2857"/>
      <c r="C22" s="2905" t="s">
        <v>2382</v>
      </c>
      <c r="D22" s="2906" t="s">
        <v>2383</v>
      </c>
      <c r="E22" s="2907" t="s">
        <v>2384</v>
      </c>
      <c r="F22" s="2899"/>
      <c r="G22" s="2820"/>
      <c r="H22" s="2828"/>
      <c r="I22" s="2829"/>
      <c r="J22" s="3714"/>
      <c r="K22" s="3716"/>
      <c r="L22" s="2862" t="s">
        <v>2385</v>
      </c>
      <c r="M22" s="2863"/>
      <c r="N22" s="2863"/>
      <c r="O22" s="2864"/>
      <c r="P22" s="2865">
        <v>365</v>
      </c>
      <c r="Q22" s="2840"/>
      <c r="R22" s="2904">
        <f>ROUND(M22*N22*O22*P22/10000,0)</f>
        <v>0</v>
      </c>
      <c r="S22" s="2820"/>
      <c r="T22" s="2820"/>
      <c r="U22" s="2820"/>
      <c r="V22" s="2829"/>
    </row>
    <row r="23" spans="1:22" s="2833" customFormat="1" ht="13.15" customHeight="1">
      <c r="A23" s="2908">
        <v>1</v>
      </c>
      <c r="B23" s="2909" t="s">
        <v>2386</v>
      </c>
      <c r="C23" s="2910">
        <f>D6</f>
        <v>775</v>
      </c>
      <c r="D23" s="2911">
        <f>C23*(1+D24)</f>
        <v>852.50000000000011</v>
      </c>
      <c r="E23" s="2912">
        <f>D23*(1+E24)</f>
        <v>929.22500000000014</v>
      </c>
      <c r="F23" s="2913"/>
      <c r="G23" s="2914"/>
      <c r="H23" s="2828"/>
      <c r="I23" s="2829"/>
      <c r="J23" s="3714"/>
      <c r="K23" s="3716"/>
      <c r="L23" s="2862" t="s">
        <v>2387</v>
      </c>
      <c r="M23" s="2863"/>
      <c r="N23" s="2863"/>
      <c r="O23" s="2864"/>
      <c r="P23" s="2865">
        <v>365</v>
      </c>
      <c r="Q23" s="2840"/>
      <c r="R23" s="2904">
        <f>ROUND(M23*N23*O23*P23/10000,0)</f>
        <v>0</v>
      </c>
      <c r="S23" s="2820"/>
      <c r="T23" s="2820"/>
      <c r="U23" s="2820"/>
      <c r="V23" s="2829"/>
    </row>
    <row r="24" spans="1:22" s="2833" customFormat="1" ht="13.15" customHeight="1">
      <c r="A24" s="2915"/>
      <c r="B24" s="2916" t="s">
        <v>2388</v>
      </c>
      <c r="C24" s="2917"/>
      <c r="D24" s="2918">
        <v>0.1</v>
      </c>
      <c r="E24" s="2919">
        <v>0.09</v>
      </c>
      <c r="F24" s="2920"/>
      <c r="G24" s="2914"/>
      <c r="H24" s="2828"/>
      <c r="I24" s="2829"/>
      <c r="J24" s="3714"/>
      <c r="K24" s="3717"/>
      <c r="L24" s="2882" t="s">
        <v>2348</v>
      </c>
      <c r="M24" s="2883">
        <f>SUM(M21:M23)</f>
        <v>0</v>
      </c>
      <c r="N24" s="2883"/>
      <c r="O24" s="2884"/>
      <c r="P24" s="2897" t="s">
        <v>4036</v>
      </c>
      <c r="Q24" s="2864">
        <v>0.4</v>
      </c>
      <c r="R24" s="2898">
        <f>ROUND(IF(P24="按比例",R14*Q24,SUM(R21:R23)),0)</f>
        <v>155</v>
      </c>
      <c r="S24" s="2820"/>
      <c r="T24" s="2820"/>
      <c r="U24" s="2820"/>
      <c r="V24" s="2829"/>
    </row>
    <row r="25" spans="1:22" s="2927" customFormat="1" ht="13.15" customHeight="1">
      <c r="A25" s="2915"/>
      <c r="B25" s="2916"/>
      <c r="C25" s="2917"/>
      <c r="D25" s="2918"/>
      <c r="E25" s="2919"/>
      <c r="F25" s="2920"/>
      <c r="G25" s="2820"/>
      <c r="H25" s="2828"/>
      <c r="I25" s="2829"/>
      <c r="J25" s="2921">
        <v>4</v>
      </c>
      <c r="K25" s="2922" t="s">
        <v>2389</v>
      </c>
      <c r="L25" s="2923"/>
      <c r="M25" s="2923"/>
      <c r="N25" s="2923"/>
      <c r="O25" s="2923"/>
      <c r="P25" s="2924"/>
      <c r="Q25" s="2925">
        <v>0.1</v>
      </c>
      <c r="R25" s="2898">
        <f>ROUND(R14*Q25,0)</f>
        <v>39</v>
      </c>
      <c r="S25" s="2820"/>
      <c r="T25" s="2820"/>
      <c r="U25" s="2820"/>
      <c r="V25" s="2926"/>
    </row>
    <row r="26" spans="1:22" s="2927" customFormat="1" ht="13.15" customHeight="1">
      <c r="A26" s="2908">
        <v>2</v>
      </c>
      <c r="B26" s="2909" t="s">
        <v>2390</v>
      </c>
      <c r="C26" s="2910">
        <f ca="1">D7</f>
        <v>392.31</v>
      </c>
      <c r="D26" s="2911">
        <f ca="1">D23*D27</f>
        <v>431.54100000000005</v>
      </c>
      <c r="E26" s="2912">
        <f ca="1">E23*E27</f>
        <v>470.3796900000001</v>
      </c>
      <c r="F26" s="2913"/>
      <c r="G26" s="2914"/>
      <c r="H26" s="2828"/>
      <c r="I26" s="2829"/>
      <c r="J26" s="3724">
        <v>5</v>
      </c>
      <c r="K26" s="2928" t="s">
        <v>2391</v>
      </c>
      <c r="L26" s="2929"/>
      <c r="M26" s="2930"/>
      <c r="N26" s="2931" t="s">
        <v>2392</v>
      </c>
      <c r="O26" s="2931" t="s">
        <v>2393</v>
      </c>
      <c r="P26" s="2932" t="s">
        <v>2394</v>
      </c>
      <c r="Q26" s="2932" t="s">
        <v>2395</v>
      </c>
      <c r="R26" s="2838" t="s">
        <v>2396</v>
      </c>
      <c r="S26" s="2871"/>
      <c r="T26" s="2871"/>
      <c r="U26" s="2871"/>
      <c r="V26" s="2926"/>
    </row>
    <row r="27" spans="1:22" s="2833" customFormat="1" ht="13.15" customHeight="1">
      <c r="A27" s="2915"/>
      <c r="B27" s="2916" t="s">
        <v>2397</v>
      </c>
      <c r="C27" s="2933">
        <f ca="1">E7</f>
        <v>0.50620645161290323</v>
      </c>
      <c r="D27" s="2918">
        <f ca="1">C27</f>
        <v>0.50620645161290323</v>
      </c>
      <c r="E27" s="2919">
        <f ca="1">C27</f>
        <v>0.50620645161290323</v>
      </c>
      <c r="F27" s="2920"/>
      <c r="G27" s="2914"/>
      <c r="H27" s="2934"/>
      <c r="I27" s="2926"/>
      <c r="J27" s="3725"/>
      <c r="K27" s="2935"/>
      <c r="L27" s="2936"/>
      <c r="M27" s="2937"/>
      <c r="N27" s="2938"/>
      <c r="O27" s="2938"/>
      <c r="P27" s="2938"/>
      <c r="Q27" s="2939"/>
      <c r="R27" s="2898">
        <f>ROUND(O27*N27*P27*(1-Q27)/10000,0)</f>
        <v>0</v>
      </c>
      <c r="S27" s="2820"/>
      <c r="T27" s="2820"/>
      <c r="U27" s="2820"/>
      <c r="V27" s="2829"/>
    </row>
    <row r="28" spans="1:22" s="2927" customFormat="1" ht="13.15" customHeight="1" thickBot="1">
      <c r="A28" s="2915"/>
      <c r="B28" s="2916"/>
      <c r="C28" s="2933"/>
      <c r="D28" s="2918"/>
      <c r="E28" s="2919" t="s">
        <v>2398</v>
      </c>
      <c r="F28" s="2920"/>
      <c r="G28" s="2820"/>
      <c r="H28" s="2934"/>
      <c r="I28" s="2926"/>
      <c r="J28" s="2940">
        <v>6</v>
      </c>
      <c r="K28" s="2941" t="s">
        <v>2399</v>
      </c>
      <c r="L28" s="2942" t="s">
        <v>2400</v>
      </c>
      <c r="M28" s="2943"/>
      <c r="N28" s="2942" t="s">
        <v>2401</v>
      </c>
      <c r="O28" s="2944"/>
      <c r="P28" s="2942" t="s">
        <v>2402</v>
      </c>
      <c r="Q28" s="2945">
        <v>1.4999999999999999E-2</v>
      </c>
      <c r="R28" s="2946"/>
      <c r="S28" s="2820"/>
      <c r="T28" s="2820"/>
      <c r="U28" s="2820"/>
      <c r="V28" s="2926"/>
    </row>
    <row r="29" spans="1:22" s="2927" customFormat="1" ht="13.15" customHeight="1">
      <c r="A29" s="2908">
        <v>3</v>
      </c>
      <c r="B29" s="2909" t="s">
        <v>2403</v>
      </c>
      <c r="C29" s="2910">
        <f>C23*C30</f>
        <v>38.75</v>
      </c>
      <c r="D29" s="2911">
        <f>D23*C30</f>
        <v>42.625000000000007</v>
      </c>
      <c r="E29" s="2912">
        <f>E23*C30</f>
        <v>46.461250000000007</v>
      </c>
      <c r="F29" s="2913"/>
      <c r="G29" s="2914"/>
      <c r="H29" s="2828"/>
      <c r="I29" s="2829"/>
      <c r="J29" s="2820"/>
      <c r="K29" s="2820"/>
      <c r="L29" s="2820"/>
      <c r="M29" s="2820"/>
      <c r="N29" s="2820"/>
      <c r="O29" s="2820"/>
      <c r="P29" s="2820"/>
      <c r="Q29" s="2820"/>
      <c r="R29" s="2820"/>
      <c r="S29" s="2820"/>
      <c r="T29" s="2820"/>
      <c r="U29" s="2820"/>
      <c r="V29" s="2926"/>
    </row>
    <row r="30" spans="1:22" s="2833" customFormat="1" ht="13.15" customHeight="1" thickBot="1">
      <c r="A30" s="2915"/>
      <c r="B30" s="2916" t="s">
        <v>2404</v>
      </c>
      <c r="C30" s="2933">
        <f>E18</f>
        <v>0.05</v>
      </c>
      <c r="D30" s="2947"/>
      <c r="E30" s="2881"/>
      <c r="F30" s="2920"/>
      <c r="G30" s="2914"/>
      <c r="H30" s="2934"/>
      <c r="I30" s="2926"/>
      <c r="J30" s="2820"/>
      <c r="K30" s="2820"/>
      <c r="L30" s="2820"/>
      <c r="M30" s="2820"/>
      <c r="N30" s="2820"/>
      <c r="O30" s="2820"/>
      <c r="P30" s="2820"/>
      <c r="Q30" s="2820"/>
      <c r="R30" s="2820"/>
      <c r="S30" s="2820"/>
      <c r="T30" s="2820"/>
      <c r="U30" s="2820"/>
      <c r="V30" s="2829"/>
    </row>
    <row r="31" spans="1:22" s="2927" customFormat="1" ht="13.15" customHeight="1">
      <c r="A31" s="2915"/>
      <c r="B31" s="2916"/>
      <c r="C31" s="2948"/>
      <c r="D31" s="2947"/>
      <c r="E31" s="2881"/>
      <c r="F31" s="2920"/>
      <c r="G31" s="2820"/>
      <c r="H31" s="2934"/>
      <c r="I31" s="2926"/>
      <c r="J31" s="2817" t="s">
        <v>2405</v>
      </c>
      <c r="K31" s="2818"/>
      <c r="L31" s="2818"/>
      <c r="M31" s="2818"/>
      <c r="N31" s="2818"/>
      <c r="O31" s="2818"/>
      <c r="P31" s="2818"/>
      <c r="Q31" s="2818"/>
      <c r="R31" s="2819"/>
      <c r="S31" s="2820"/>
      <c r="T31" s="2820"/>
      <c r="U31" s="2820"/>
      <c r="V31" s="2926"/>
    </row>
    <row r="32" spans="1:22" s="2927" customFormat="1" ht="13.15" customHeight="1">
      <c r="A32" s="2908">
        <v>4</v>
      </c>
      <c r="B32" s="2909" t="s">
        <v>2406</v>
      </c>
      <c r="C32" s="2910">
        <f ca="1">C23-C26-C29</f>
        <v>343.94</v>
      </c>
      <c r="D32" s="2911">
        <f ca="1">D23-D26-D29</f>
        <v>378.33400000000006</v>
      </c>
      <c r="E32" s="2912">
        <f ca="1">E23-E26-E29</f>
        <v>412.38406000000003</v>
      </c>
      <c r="F32" s="2913"/>
      <c r="G32" s="2820"/>
      <c r="H32" s="2828"/>
      <c r="I32" s="2829"/>
      <c r="J32" s="3707" t="s">
        <v>2407</v>
      </c>
      <c r="K32" s="3708"/>
      <c r="L32" s="2830" t="s">
        <v>2408</v>
      </c>
      <c r="M32" s="2830" t="s">
        <v>2297</v>
      </c>
      <c r="N32" s="2830" t="s">
        <v>2298</v>
      </c>
      <c r="O32" s="2830" t="s">
        <v>2299</v>
      </c>
      <c r="P32" s="2830" t="s">
        <v>2300</v>
      </c>
      <c r="Q32" s="2831" t="s">
        <v>2409</v>
      </c>
      <c r="R32" s="2949" t="s">
        <v>2410</v>
      </c>
      <c r="S32" s="2820"/>
      <c r="T32" s="2820"/>
      <c r="U32" s="2820"/>
      <c r="V32" s="2926"/>
    </row>
    <row r="33" spans="1:23" s="2833" customFormat="1" ht="13.15" customHeight="1">
      <c r="A33" s="2908"/>
      <c r="B33" s="2909"/>
      <c r="C33" s="2910"/>
      <c r="D33" s="2950"/>
      <c r="E33" s="2951"/>
      <c r="F33" s="2913"/>
      <c r="G33" s="2820"/>
      <c r="H33" s="2934"/>
      <c r="I33" s="2926"/>
      <c r="J33" s="3709" t="s">
        <v>2411</v>
      </c>
      <c r="K33" s="3710"/>
      <c r="L33" s="2836"/>
      <c r="M33" s="2836"/>
      <c r="N33" s="2836"/>
      <c r="O33" s="2836"/>
      <c r="P33" s="2836"/>
      <c r="Q33" s="2837"/>
      <c r="R33" s="2952">
        <f>SUM(L33:Q33)</f>
        <v>0</v>
      </c>
      <c r="S33" s="2820"/>
      <c r="T33" s="2820"/>
      <c r="U33" s="2820"/>
      <c r="V33" s="2829"/>
    </row>
    <row r="34" spans="1:23" s="2833" customFormat="1" ht="13.15" customHeight="1">
      <c r="A34" s="2908">
        <v>5</v>
      </c>
      <c r="B34" s="2909" t="s">
        <v>2412</v>
      </c>
      <c r="C34" s="2953">
        <f>'数据-取费表'!I7</f>
        <v>5.5E-2</v>
      </c>
      <c r="D34" s="2954">
        <f>C34</f>
        <v>5.5E-2</v>
      </c>
      <c r="E34" s="2955">
        <f>C34</f>
        <v>5.5E-2</v>
      </c>
      <c r="F34" s="2913"/>
      <c r="G34" s="2820"/>
      <c r="H34" s="2934"/>
      <c r="I34" s="2926"/>
      <c r="J34" s="3709" t="s">
        <v>2413</v>
      </c>
      <c r="K34" s="3710"/>
      <c r="L34" s="2841"/>
      <c r="M34" s="2841"/>
      <c r="N34" s="2841"/>
      <c r="O34" s="2841"/>
      <c r="P34" s="2841"/>
      <c r="Q34" s="2842"/>
      <c r="R34" s="2956">
        <f>SUM(L34:Q34)</f>
        <v>0</v>
      </c>
      <c r="S34" s="2820"/>
      <c r="T34" s="2820"/>
      <c r="U34" s="2820" t="e">
        <f>ROUND(R35*10000/365/R33,1)</f>
        <v>#DIV/0!</v>
      </c>
      <c r="V34" s="2829"/>
    </row>
    <row r="35" spans="1:23" s="2833" customFormat="1" ht="13.15" customHeight="1">
      <c r="A35" s="2908">
        <v>6</v>
      </c>
      <c r="B35" s="2909" t="s">
        <v>2414</v>
      </c>
      <c r="C35" s="2957">
        <v>2.5000000000000001E-2</v>
      </c>
      <c r="D35" s="2958">
        <v>0.02</v>
      </c>
      <c r="E35" s="2959">
        <v>0.01</v>
      </c>
      <c r="F35" s="2913"/>
      <c r="G35" s="2960"/>
      <c r="H35" s="2828"/>
      <c r="I35" s="2926"/>
      <c r="J35" s="2847" t="s">
        <v>2415</v>
      </c>
      <c r="K35" s="2848"/>
      <c r="L35" s="2848"/>
      <c r="M35" s="2849"/>
      <c r="N35" s="2849"/>
      <c r="O35" s="2849"/>
      <c r="P35" s="2849"/>
      <c r="Q35" s="2849"/>
      <c r="R35" s="2961">
        <f>R40+R41+R43</f>
        <v>0</v>
      </c>
      <c r="S35" s="2820"/>
      <c r="T35" s="2820" t="s">
        <v>2416</v>
      </c>
      <c r="U35" s="2820"/>
      <c r="V35" s="2829"/>
    </row>
    <row r="36" spans="1:23" s="2833" customFormat="1" ht="13.15" customHeight="1" thickBot="1">
      <c r="A36" s="2908">
        <v>7</v>
      </c>
      <c r="B36" s="2962" t="s">
        <v>2417</v>
      </c>
      <c r="C36" s="2963">
        <v>5</v>
      </c>
      <c r="D36" s="2964">
        <v>5</v>
      </c>
      <c r="E36" s="2965">
        <f>项目基本情况!D19-'不动产收益法-酒店模型'!D36-'不动产收益法-酒店模型'!C36</f>
        <v>29.07</v>
      </c>
      <c r="F36" s="2966">
        <f>C36+D36+E36</f>
        <v>39.07</v>
      </c>
      <c r="G36" s="2820"/>
      <c r="H36" s="2828"/>
      <c r="I36" s="2829"/>
      <c r="J36" s="3714">
        <v>1</v>
      </c>
      <c r="K36" s="3715" t="s">
        <v>2418</v>
      </c>
      <c r="L36" s="2854"/>
      <c r="M36" s="2855"/>
      <c r="N36" s="2855"/>
      <c r="O36" s="2855"/>
      <c r="P36" s="2855"/>
      <c r="Q36" s="2855"/>
      <c r="R36" s="2838" t="s">
        <v>2319</v>
      </c>
      <c r="S36" s="2820"/>
      <c r="T36" s="2820" t="s">
        <v>2320</v>
      </c>
      <c r="U36" s="2820"/>
      <c r="V36" s="2829"/>
    </row>
    <row r="37" spans="1:23" s="2833" customFormat="1" ht="13.15" customHeight="1">
      <c r="A37" s="2908"/>
      <c r="B37" s="2909"/>
      <c r="C37" s="2909"/>
      <c r="D37" s="2909"/>
      <c r="E37" s="2909"/>
      <c r="F37" s="2913"/>
      <c r="G37" s="2820"/>
      <c r="H37" s="2828"/>
      <c r="I37" s="2829"/>
      <c r="J37" s="3714"/>
      <c r="K37" s="3716"/>
      <c r="L37" s="2862"/>
      <c r="M37" s="2863"/>
      <c r="N37" s="2840"/>
      <c r="O37" s="2864"/>
      <c r="P37" s="2864"/>
      <c r="Q37" s="2865"/>
      <c r="R37" s="2866"/>
      <c r="S37" s="2820"/>
      <c r="T37" s="2820" t="s">
        <v>2323</v>
      </c>
      <c r="U37" s="2820"/>
      <c r="V37" s="2829"/>
    </row>
    <row r="38" spans="1:23" s="2833" customFormat="1" ht="13.15" customHeight="1">
      <c r="A38" s="2908">
        <v>8</v>
      </c>
      <c r="B38" s="2909"/>
      <c r="C38" s="2868">
        <f ca="1">ROUND(C32*(1-((1+C35)/(1+C34))^C36)/(C34-C35),0)</f>
        <v>1540</v>
      </c>
      <c r="D38" s="2868">
        <f ca="1">IF(D23=0,0,ROUND(D32*(1-((1+D35)/(1+D34))^D36)/(D34-D35),0))</f>
        <v>1678</v>
      </c>
      <c r="E38" s="2868">
        <f ca="1">IF(E23=0,0,ROUND(E32*(1-((1+E35)/(1+E34))^E36)/(E34-E35),0))</f>
        <v>6583</v>
      </c>
      <c r="F38" s="2913"/>
      <c r="G38" s="2820"/>
      <c r="H38" s="2828"/>
      <c r="I38" s="2829"/>
      <c r="J38" s="3714"/>
      <c r="K38" s="3716"/>
      <c r="L38" s="2862"/>
      <c r="M38" s="2863"/>
      <c r="N38" s="2840"/>
      <c r="O38" s="2864"/>
      <c r="P38" s="2864"/>
      <c r="Q38" s="2865"/>
      <c r="R38" s="2866"/>
      <c r="S38" s="2820"/>
      <c r="T38" s="2820" t="s">
        <v>2330</v>
      </c>
      <c r="U38" s="2820"/>
      <c r="V38" s="2829"/>
    </row>
    <row r="39" spans="1:23" s="2833" customFormat="1" ht="13.15" customHeight="1">
      <c r="A39" s="2908">
        <v>9</v>
      </c>
      <c r="B39" s="2909" t="s">
        <v>2419</v>
      </c>
      <c r="C39" s="2876">
        <f ca="1">C38</f>
        <v>1540</v>
      </c>
      <c r="D39" s="2909">
        <f ca="1">D38/(1+D34)^C36</f>
        <v>1283.8954457451132</v>
      </c>
      <c r="E39" s="2909">
        <f ca="1">E38/(1+E34)^(C36+D36)</f>
        <v>3853.8895043719376</v>
      </c>
      <c r="F39" s="2913"/>
      <c r="G39" s="2829"/>
      <c r="H39" s="2828"/>
      <c r="I39" s="2829"/>
      <c r="J39" s="3714"/>
      <c r="K39" s="3716"/>
      <c r="L39" s="2862"/>
      <c r="M39" s="2863"/>
      <c r="N39" s="2840"/>
      <c r="O39" s="2864"/>
      <c r="P39" s="2864"/>
      <c r="Q39" s="2865"/>
      <c r="R39" s="2866"/>
      <c r="S39" s="2820"/>
      <c r="T39" s="2820"/>
      <c r="U39" s="2820"/>
      <c r="V39" s="2829"/>
    </row>
    <row r="40" spans="1:23" s="2833" customFormat="1" ht="13.15" customHeight="1">
      <c r="A40" s="2967">
        <v>10</v>
      </c>
      <c r="B40" s="2909" t="s">
        <v>2420</v>
      </c>
      <c r="C40" s="2968">
        <f ca="1">C39+D39+E39</f>
        <v>6677.7849501170513</v>
      </c>
      <c r="D40" s="2969"/>
      <c r="E40" s="2969"/>
      <c r="F40" s="2970"/>
      <c r="G40" s="2820"/>
      <c r="H40" s="2828"/>
      <c r="I40" s="2829"/>
      <c r="J40" s="3714"/>
      <c r="K40" s="3717"/>
      <c r="L40" s="2882" t="s">
        <v>2421</v>
      </c>
      <c r="M40" s="2883"/>
      <c r="N40" s="2883"/>
      <c r="O40" s="2884"/>
      <c r="P40" s="2884"/>
      <c r="Q40" s="2885"/>
      <c r="R40" s="2832">
        <f>SUM(R37:R39)</f>
        <v>0</v>
      </c>
      <c r="S40" s="2820"/>
      <c r="T40" s="2820"/>
      <c r="U40" s="2820"/>
      <c r="V40" s="2829"/>
    </row>
    <row r="41" spans="1:23" s="2833" customFormat="1" ht="13.15" customHeight="1" thickBot="1">
      <c r="A41" s="2971">
        <v>11</v>
      </c>
      <c r="B41" s="2972" t="s">
        <v>2422</v>
      </c>
      <c r="C41" s="2972">
        <f ca="1">ROUND(C40*10000/B4,0)</f>
        <v>11324</v>
      </c>
      <c r="D41" s="2973"/>
      <c r="E41" s="2973"/>
      <c r="F41" s="2974"/>
      <c r="G41" s="2828"/>
      <c r="H41" s="2828"/>
      <c r="I41" s="2829"/>
      <c r="J41" s="2921">
        <v>2</v>
      </c>
      <c r="K41" s="2922" t="s">
        <v>2423</v>
      </c>
      <c r="L41" s="2923"/>
      <c r="M41" s="2923"/>
      <c r="N41" s="2923"/>
      <c r="O41" s="2923"/>
      <c r="P41" s="2924"/>
      <c r="Q41" s="2925"/>
      <c r="R41" s="2898">
        <f>ROUND(R40*Q41,0)</f>
        <v>0</v>
      </c>
      <c r="S41" s="2820"/>
      <c r="T41" s="2820"/>
      <c r="U41" s="2871"/>
      <c r="V41" s="2829"/>
    </row>
    <row r="42" spans="1:23" s="2833" customFormat="1" ht="13.15" customHeight="1">
      <c r="G42" s="2828"/>
      <c r="H42" s="2828"/>
      <c r="I42" s="2829"/>
      <c r="J42" s="3724">
        <v>3</v>
      </c>
      <c r="K42" s="2928" t="s">
        <v>2424</v>
      </c>
      <c r="L42" s="2929"/>
      <c r="M42" s="2930"/>
      <c r="N42" s="2931" t="s">
        <v>2425</v>
      </c>
      <c r="O42" s="2931" t="s">
        <v>2426</v>
      </c>
      <c r="P42" s="2932" t="s">
        <v>2427</v>
      </c>
      <c r="Q42" s="2932" t="s">
        <v>2428</v>
      </c>
      <c r="R42" s="2838" t="s">
        <v>2429</v>
      </c>
      <c r="S42" s="2871"/>
      <c r="T42" s="2871"/>
      <c r="U42" s="2820"/>
      <c r="V42" s="2829"/>
    </row>
    <row r="43" spans="1:23" ht="13.15" customHeight="1">
      <c r="A43" s="2833"/>
      <c r="B43" s="2833"/>
      <c r="C43" s="2833"/>
      <c r="D43" s="2833"/>
      <c r="E43" s="2833"/>
      <c r="F43" s="2833"/>
      <c r="I43" s="2815"/>
      <c r="J43" s="3725"/>
      <c r="K43" s="2935"/>
      <c r="L43" s="2936"/>
      <c r="M43" s="2937"/>
      <c r="N43" s="2863"/>
      <c r="O43" s="2863"/>
      <c r="P43" s="2863"/>
      <c r="Q43" s="2925"/>
      <c r="R43" s="2898">
        <f>ROUND(O43*N43*P43*(1-Q43)/10000,0)</f>
        <v>0</v>
      </c>
      <c r="S43" s="2820"/>
      <c r="T43" s="2820"/>
      <c r="V43" s="2975"/>
      <c r="W43" s="2976"/>
    </row>
    <row r="44" spans="1:23" ht="13.15" customHeight="1" thickBot="1">
      <c r="J44" s="2940">
        <v>6</v>
      </c>
      <c r="K44" s="2941" t="s">
        <v>2430</v>
      </c>
      <c r="L44" s="2977" t="s">
        <v>2431</v>
      </c>
      <c r="M44" s="2943"/>
      <c r="N44" s="2977" t="s">
        <v>2432</v>
      </c>
      <c r="O44" s="2943"/>
      <c r="P44" s="2977" t="s">
        <v>2433</v>
      </c>
      <c r="Q44" s="2945">
        <v>1.4999999999999999E-2</v>
      </c>
      <c r="R44" s="2946"/>
    </row>
    <row r="46" spans="1:23" ht="13.15" customHeight="1">
      <c r="G46" s="3415">
        <f>D35</f>
        <v>0.02</v>
      </c>
    </row>
    <row r="47" spans="1:23" ht="13.15" customHeight="1">
      <c r="G47" s="2815">
        <f>D23*(1+$G$46)</f>
        <v>869.55000000000018</v>
      </c>
    </row>
    <row r="48" spans="1:23" ht="13.15" customHeight="1">
      <c r="G48" s="2815">
        <f>G47*(1+$G$46)</f>
        <v>886.94100000000014</v>
      </c>
      <c r="K48" s="3395" t="s">
        <v>4028</v>
      </c>
      <c r="L48" s="2975">
        <v>187</v>
      </c>
    </row>
    <row r="49" spans="7:12" ht="13.15" customHeight="1">
      <c r="G49" s="2815">
        <f>G48*(1+$G$46)</f>
        <v>904.67982000000018</v>
      </c>
      <c r="K49" s="3395" t="s">
        <v>4029</v>
      </c>
      <c r="L49" s="2975">
        <v>528</v>
      </c>
    </row>
    <row r="50" spans="7:12" ht="13.15" customHeight="1">
      <c r="G50" s="2815">
        <f t="shared" ref="G50:G55" si="1">G49*(1+$G$46)</f>
        <v>922.7734164000002</v>
      </c>
      <c r="H50" s="3416">
        <f>G50-D23</f>
        <v>70.273416400000087</v>
      </c>
      <c r="I50" s="2816">
        <f>H50/C23</f>
        <v>9.0675376000000113E-2</v>
      </c>
      <c r="K50" s="3395" t="s">
        <v>4030</v>
      </c>
      <c r="L50" s="2975">
        <v>175</v>
      </c>
    </row>
    <row r="51" spans="7:12" ht="13.15" customHeight="1">
      <c r="G51" s="2815">
        <f t="shared" si="1"/>
        <v>941.22888472800025</v>
      </c>
      <c r="K51" s="3395" t="s">
        <v>4031</v>
      </c>
      <c r="L51" s="2975">
        <v>148</v>
      </c>
    </row>
    <row r="52" spans="7:12" ht="13.15" customHeight="1">
      <c r="G52" s="2815">
        <f t="shared" si="1"/>
        <v>960.0534624225603</v>
      </c>
      <c r="K52" s="3395" t="s">
        <v>4032</v>
      </c>
      <c r="L52" s="2975">
        <v>168</v>
      </c>
    </row>
    <row r="53" spans="7:12" ht="13.15" customHeight="1">
      <c r="G53" s="2815">
        <f t="shared" si="1"/>
        <v>979.25453167101148</v>
      </c>
      <c r="K53" s="3395" t="s">
        <v>4033</v>
      </c>
      <c r="L53" s="2975">
        <v>244</v>
      </c>
    </row>
    <row r="54" spans="7:12" ht="13.15" customHeight="1">
      <c r="G54" s="2815">
        <f t="shared" si="1"/>
        <v>998.83962230443171</v>
      </c>
      <c r="K54" s="3395" t="s">
        <v>4034</v>
      </c>
      <c r="L54" s="2975">
        <v>256</v>
      </c>
    </row>
    <row r="55" spans="7:12" ht="13.15" customHeight="1">
      <c r="G55" s="2815">
        <f t="shared" si="1"/>
        <v>1018.8164147505204</v>
      </c>
      <c r="K55" s="3395" t="s">
        <v>4035</v>
      </c>
      <c r="L55" s="2975">
        <v>396</v>
      </c>
    </row>
    <row r="56" spans="7:12" ht="13.15" customHeight="1">
      <c r="G56" s="3416">
        <f>G55-C23</f>
        <v>243.81641475052038</v>
      </c>
    </row>
    <row r="57" spans="7:12" ht="13.15" customHeight="1">
      <c r="G57" s="2815">
        <f>G56/C23</f>
        <v>0.31460182548454241</v>
      </c>
    </row>
    <row r="59" spans="7:12" ht="13.15" customHeight="1">
      <c r="K59" s="3396">
        <v>0.02</v>
      </c>
    </row>
    <row r="60" spans="7:12" ht="13.15" customHeight="1">
      <c r="K60" s="3396">
        <f>1+K59</f>
        <v>1.02</v>
      </c>
    </row>
    <row r="61" spans="7:12" ht="13.15" customHeight="1">
      <c r="K61" s="3396">
        <f>K60+K59</f>
        <v>1.04</v>
      </c>
    </row>
    <row r="62" spans="7:12" ht="13.15" customHeight="1">
      <c r="K62" s="3396">
        <f>K61+K59</f>
        <v>1.06</v>
      </c>
    </row>
    <row r="63" spans="7:12" ht="13.15" customHeight="1">
      <c r="K63" s="3396">
        <f>K62+K59</f>
        <v>1.08</v>
      </c>
    </row>
    <row r="64" spans="7:12" ht="13.15" customHeight="1">
      <c r="K64" s="3396">
        <f>K63+K59</f>
        <v>1.1000000000000001</v>
      </c>
    </row>
  </sheetData>
  <sheetProtection algorithmName="SHA-512" hashValue="zoclasVbJosKjnKAEYqr7Dov9Rvz3/VoaucwzhBTxhcyMeq6NKQWiIbda/FWMggpS6W0uTNG22cas88IbDJT7A==" saltValue="jYgI/4OWjFMVIS8tiXGZTQ==" spinCount="100000"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view="pageBreakPreview" topLeftCell="A10" zoomScale="80" zoomScaleNormal="60" zoomScaleSheetLayoutView="80" workbookViewId="0">
      <selection activeCell="C29" sqref="C29"/>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4" t="s">
        <v>1254</v>
      </c>
      <c r="B1" s="673"/>
      <c r="C1" s="706" t="s">
        <v>3305</v>
      </c>
      <c r="D1" s="2359" t="s">
        <v>4073</v>
      </c>
      <c r="E1" s="1944" t="s">
        <v>1726</v>
      </c>
      <c r="F1" s="1945">
        <f ca="1">J53</f>
        <v>0</v>
      </c>
      <c r="G1" s="2754">
        <f>MATCH(C1,'数据-取费表'!A6:A16,0)+5</f>
        <v>7</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1" t="s">
        <v>1255</v>
      </c>
      <c r="B2" s="708">
        <f ca="1">C40+J29+L46</f>
        <v>0</v>
      </c>
      <c r="C2" s="2759"/>
      <c r="D2" s="2758"/>
      <c r="E2" s="2760"/>
      <c r="F2" s="2760"/>
      <c r="G2" s="2755"/>
      <c r="H2" s="1667"/>
      <c r="I2" s="1667"/>
      <c r="J2" s="1667"/>
      <c r="K2" s="1668"/>
      <c r="L2" s="1667"/>
      <c r="M2" s="1667"/>
    </row>
    <row r="3" spans="1:33" ht="18" customHeight="1" thickBot="1">
      <c r="A3" s="765" t="s">
        <v>1256</v>
      </c>
      <c r="B3" s="766">
        <f ca="1">IF(ISERROR(B2*10000/F43),0,ROUND(B2*10000/F43,0))</f>
        <v>0</v>
      </c>
      <c r="C3" s="2759"/>
      <c r="D3" s="2758"/>
      <c r="E3" s="2760"/>
      <c r="F3" s="2760"/>
      <c r="G3" s="2755"/>
      <c r="H3" s="709" t="s">
        <v>642</v>
      </c>
      <c r="I3" s="1154"/>
      <c r="J3" s="1154"/>
      <c r="K3" s="1321"/>
      <c r="L3" s="1154"/>
      <c r="M3" s="1154"/>
    </row>
    <row r="4" spans="1:33" ht="18" customHeight="1">
      <c r="A4" s="710" t="s">
        <v>1257</v>
      </c>
      <c r="B4" s="711" t="s">
        <v>1258</v>
      </c>
      <c r="C4" s="711" t="s">
        <v>1259</v>
      </c>
      <c r="D4" s="711" t="s">
        <v>581</v>
      </c>
      <c r="E4" s="712" t="s">
        <v>1260</v>
      </c>
      <c r="F4" s="713"/>
      <c r="G4" s="1665"/>
      <c r="H4" s="710" t="s">
        <v>1261</v>
      </c>
      <c r="I4" s="711" t="s">
        <v>1262</v>
      </c>
      <c r="J4" s="711" t="s">
        <v>1263</v>
      </c>
      <c r="K4" s="711" t="s">
        <v>1264</v>
      </c>
      <c r="L4" s="712" t="s">
        <v>1265</v>
      </c>
      <c r="M4" s="713"/>
    </row>
    <row r="5" spans="1:33" ht="18" customHeight="1">
      <c r="A5" s="714">
        <v>1</v>
      </c>
      <c r="B5" s="715" t="s">
        <v>1800</v>
      </c>
      <c r="C5" s="51">
        <f ca="1">C6+C10+C12</f>
        <v>0</v>
      </c>
      <c r="D5" s="1998" t="s">
        <v>1803</v>
      </c>
      <c r="E5" s="1992"/>
      <c r="F5" s="1993"/>
      <c r="G5" s="1665"/>
      <c r="H5" s="714">
        <v>1</v>
      </c>
      <c r="I5" s="715" t="s">
        <v>1800</v>
      </c>
      <c r="J5" s="51">
        <f ca="1">J6+J10+J12</f>
        <v>0</v>
      </c>
      <c r="K5" s="1998" t="s">
        <v>1803</v>
      </c>
      <c r="L5" s="1992"/>
      <c r="M5" s="1993"/>
    </row>
    <row r="6" spans="1:33" ht="18" customHeight="1">
      <c r="A6" s="1518" t="s">
        <v>1353</v>
      </c>
      <c r="B6" s="3701" t="s">
        <v>1805</v>
      </c>
      <c r="C6" s="716">
        <f ca="1">ROUND(F6*F8*F7*(1-F9)/10000,0)</f>
        <v>0</v>
      </c>
      <c r="D6" s="1999" t="s">
        <v>1804</v>
      </c>
      <c r="E6" s="717" t="s">
        <v>1267</v>
      </c>
      <c r="F6" s="718">
        <f ca="1">INDIRECT("'数据-取费表'!u"&amp;$G$1)</f>
        <v>0</v>
      </c>
      <c r="G6" s="1665"/>
      <c r="H6" s="2006" t="s">
        <v>1810</v>
      </c>
      <c r="I6" s="3701" t="s">
        <v>1805</v>
      </c>
      <c r="J6" s="716">
        <f ca="1">ROUND(M6*M8*M7*(1-M9)/10000,0)</f>
        <v>0</v>
      </c>
      <c r="K6" s="313" t="s">
        <v>1266</v>
      </c>
      <c r="L6" s="717" t="s">
        <v>1267</v>
      </c>
      <c r="M6" s="718">
        <f ca="1">INDIRECT("'数据-取费表'!z"&amp;$G$1)</f>
        <v>0</v>
      </c>
    </row>
    <row r="7" spans="1:33" ht="18" customHeight="1">
      <c r="A7" s="2002"/>
      <c r="B7" s="3702"/>
      <c r="C7" s="721"/>
      <c r="D7" s="722"/>
      <c r="E7" s="717" t="s">
        <v>1268</v>
      </c>
      <c r="F7" s="718">
        <f ca="1">IF(INDIRECT("'数据-取费表'!ah"&amp;$G$1)="",INDIRECT("'数据-取费表'!k"&amp;$G$1),INDIRECT("'数据-取费表'!ah"&amp;$G$1))</f>
        <v>5896.96</v>
      </c>
      <c r="G7" s="1665"/>
      <c r="H7" s="1991"/>
      <c r="I7" s="3702"/>
      <c r="J7" s="721"/>
      <c r="K7" s="722"/>
      <c r="L7" s="717" t="s">
        <v>1268</v>
      </c>
      <c r="M7" s="718">
        <f ca="1">F7</f>
        <v>5896.96</v>
      </c>
    </row>
    <row r="8" spans="1:33" ht="18" customHeight="1">
      <c r="A8" s="1995"/>
      <c r="B8" s="3703"/>
      <c r="C8" s="721"/>
      <c r="D8" s="722"/>
      <c r="E8" s="717" t="s">
        <v>1269</v>
      </c>
      <c r="F8" s="718">
        <f ca="1">INDIRECT("'数据-取费表'!ai"&amp;$G$1)</f>
        <v>0</v>
      </c>
      <c r="G8" s="1665"/>
      <c r="H8" s="1991"/>
      <c r="I8" s="3703"/>
      <c r="J8" s="721"/>
      <c r="K8" s="722"/>
      <c r="L8" s="717" t="s">
        <v>1269</v>
      </c>
      <c r="M8" s="718">
        <f ca="1">INDIRECT("'数据-取费表'!ai"&amp;$G$1)</f>
        <v>0</v>
      </c>
    </row>
    <row r="9" spans="1:33" ht="18" customHeight="1">
      <c r="A9" s="719"/>
      <c r="B9" s="3704"/>
      <c r="C9" s="721"/>
      <c r="D9" s="722"/>
      <c r="E9" s="717" t="s">
        <v>1270</v>
      </c>
      <c r="F9" s="727">
        <f ca="1">INDIRECT("'数据-取费表'!w"&amp;$G$1)</f>
        <v>0</v>
      </c>
      <c r="G9" s="1665"/>
      <c r="H9" s="2007"/>
      <c r="I9" s="3703"/>
      <c r="J9" s="721"/>
      <c r="K9" s="722"/>
      <c r="L9" s="728" t="s">
        <v>1270</v>
      </c>
      <c r="M9" s="729">
        <f ca="1">INDIRECT("'数据-取费表'!ab"&amp;$G$1)</f>
        <v>0</v>
      </c>
    </row>
    <row r="10" spans="1:33" ht="18" customHeight="1">
      <c r="A10" s="1518" t="s">
        <v>1808</v>
      </c>
      <c r="B10" s="1996" t="s">
        <v>1801</v>
      </c>
      <c r="C10" s="732">
        <f ca="1">ROUND(IF(F10="押一",C6/12*F11,IF(F10="押二",C6/12*2*F11,IF(F10="押三",C6/12*3*F11,C11*F11))),0)</f>
        <v>0</v>
      </c>
      <c r="D10" s="2003" t="s">
        <v>2225</v>
      </c>
      <c r="E10" s="2000" t="s">
        <v>1806</v>
      </c>
      <c r="F10" s="2073"/>
      <c r="G10" s="1665"/>
      <c r="H10" s="2034" t="s">
        <v>1811</v>
      </c>
      <c r="I10" s="2038" t="s">
        <v>1801</v>
      </c>
      <c r="J10" s="716">
        <f ca="1">ROUND(IF(M10="押一",J6/12*M11,IF(M10="押二",J6/12*2*M11,IF(M10="押三",J6/12*3*M11,J11*M11))),0)</f>
        <v>0</v>
      </c>
      <c r="K10" s="2003" t="s">
        <v>2225</v>
      </c>
      <c r="L10" s="2000" t="s">
        <v>1806</v>
      </c>
      <c r="M10" s="2073"/>
    </row>
    <row r="11" spans="1:33" ht="18" customHeight="1">
      <c r="A11" s="723"/>
      <c r="B11" s="1997" t="s">
        <v>1854</v>
      </c>
      <c r="C11" s="2001"/>
      <c r="D11" s="722"/>
      <c r="E11" s="2000" t="s">
        <v>1807</v>
      </c>
      <c r="F11" s="729">
        <f ca="1">'数据-取费表'!B39</f>
        <v>1.4999999999999999E-2</v>
      </c>
      <c r="G11" s="1665"/>
      <c r="H11" s="2035"/>
      <c r="I11" s="1997" t="s">
        <v>1854</v>
      </c>
      <c r="J11" s="2001"/>
      <c r="K11" s="285"/>
      <c r="L11" s="2000" t="s">
        <v>1807</v>
      </c>
      <c r="M11" s="1994">
        <f ca="1">'数据-取费表'!B39</f>
        <v>1.4999999999999999E-2</v>
      </c>
    </row>
    <row r="12" spans="1:33" ht="18" customHeight="1" thickBot="1">
      <c r="A12" s="2010" t="s">
        <v>1809</v>
      </c>
      <c r="B12" s="2011" t="s">
        <v>1802</v>
      </c>
      <c r="C12" s="2012"/>
      <c r="D12" s="2013"/>
      <c r="E12" s="2014"/>
      <c r="F12" s="2015"/>
      <c r="G12" s="1665"/>
      <c r="H12" s="2024" t="s">
        <v>1812</v>
      </c>
      <c r="I12" s="2036" t="s">
        <v>1802</v>
      </c>
      <c r="J12" s="2037"/>
      <c r="K12" s="2013"/>
      <c r="L12" s="2014"/>
      <c r="M12" s="2027"/>
    </row>
    <row r="13" spans="1:33" ht="18" customHeight="1" thickTop="1">
      <c r="A13" s="1517">
        <v>2</v>
      </c>
      <c r="B13" s="1515" t="s">
        <v>1271</v>
      </c>
      <c r="C13" s="725">
        <f ca="1">ROUND(C29*F13,0)</f>
        <v>4648</v>
      </c>
      <c r="D13" s="1522" t="s">
        <v>1652</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5" t="s">
        <v>1409</v>
      </c>
      <c r="B14" s="717" t="s">
        <v>593</v>
      </c>
      <c r="C14" s="737">
        <f ca="1">INDIRECT("'数据-取费表'!m"&amp;$G$1)+INDIRECT("'数据-取费表'!t"&amp;$G$1)</f>
        <v>3367</v>
      </c>
      <c r="D14" s="903" t="s">
        <v>1274</v>
      </c>
      <c r="E14" s="902"/>
      <c r="F14" s="738"/>
      <c r="G14" s="1665"/>
      <c r="H14" s="1366" t="s">
        <v>1359</v>
      </c>
      <c r="I14" s="1822" t="s">
        <v>2101</v>
      </c>
      <c r="J14" s="49">
        <f ca="1">C29</f>
        <v>4648</v>
      </c>
      <c r="K14" s="22"/>
      <c r="L14" s="734"/>
      <c r="M14" s="735"/>
    </row>
    <row r="15" spans="1:33" s="1673" customFormat="1" ht="18" customHeight="1" thickBot="1">
      <c r="A15" s="1365" t="s">
        <v>1410</v>
      </c>
      <c r="B15" s="717" t="s">
        <v>595</v>
      </c>
      <c r="C15" s="49">
        <f ca="1">ROUND(C14*F15,0)</f>
        <v>168</v>
      </c>
      <c r="D15" s="739" t="s">
        <v>1275</v>
      </c>
      <c r="E15" s="739" t="s">
        <v>1276</v>
      </c>
      <c r="F15" s="740">
        <f>'数据-取费表'!B33</f>
        <v>0.05</v>
      </c>
      <c r="G15" s="2756"/>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5" t="s">
        <v>1411</v>
      </c>
      <c r="B16" s="717" t="s">
        <v>598</v>
      </c>
      <c r="C16" s="49">
        <f ca="1">ROUND(INDIRECT("'数据-取费表'!m"&amp;$G$1)*F16,0)</f>
        <v>0</v>
      </c>
      <c r="D16" s="717" t="s">
        <v>1275</v>
      </c>
      <c r="E16" s="717" t="s">
        <v>1276</v>
      </c>
      <c r="F16" s="742">
        <f ca="1">IF(INDIRECT("'数据-取费表'!c"&amp;$G$1)="住宅",'数据-取费表'!B34,0)</f>
        <v>0</v>
      </c>
      <c r="G16" s="1665"/>
      <c r="H16" s="1517" t="s">
        <v>1277</v>
      </c>
      <c r="I16" s="1515" t="s">
        <v>1278</v>
      </c>
      <c r="J16" s="725">
        <f ca="1">ROUND(J17+J22+J23+J24,0)</f>
        <v>0</v>
      </c>
      <c r="K16" s="1511" t="s">
        <v>1279</v>
      </c>
      <c r="L16" s="906"/>
      <c r="M16" s="1993"/>
    </row>
    <row r="17" spans="1:33" s="1673" customFormat="1" ht="18" customHeight="1">
      <c r="A17" s="1365" t="s">
        <v>1412</v>
      </c>
      <c r="B17" s="717" t="s">
        <v>601</v>
      </c>
      <c r="C17" s="49">
        <f ca="1">ROUND(F17*(F43+INDIRECT("'数据-取费表'!S"&amp;$G$1))/10000,0)</f>
        <v>124</v>
      </c>
      <c r="D17" s="717" t="s">
        <v>1280</v>
      </c>
      <c r="E17" s="717" t="s">
        <v>1281</v>
      </c>
      <c r="F17" s="52">
        <f>'数据-取费表'!B35</f>
        <v>200</v>
      </c>
      <c r="G17" s="2756"/>
      <c r="H17" s="1366" t="s">
        <v>1359</v>
      </c>
      <c r="I17" s="717" t="s">
        <v>604</v>
      </c>
      <c r="J17" s="2551">
        <f ca="1">ROUND(IF(AND(项目基本情况!B11="自然人",项目基本情况!B10="北京市"),J6*M17/(1+'数据-取费表'!C42),J18+J19+J20),2)</f>
        <v>0.31</v>
      </c>
      <c r="K17" s="903" t="s">
        <v>1282</v>
      </c>
      <c r="L17" s="904" t="s">
        <v>1283</v>
      </c>
      <c r="M17" s="2550"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5" t="s">
        <v>1413</v>
      </c>
      <c r="B18" s="717" t="s">
        <v>607</v>
      </c>
      <c r="C18" s="49">
        <f ca="1">ROUND(C14*F18,0)</f>
        <v>67</v>
      </c>
      <c r="D18" s="717" t="s">
        <v>1275</v>
      </c>
      <c r="E18" s="717" t="s">
        <v>1276</v>
      </c>
      <c r="F18" s="742">
        <f>'数据-取费表'!B36</f>
        <v>0.02</v>
      </c>
      <c r="G18" s="2756"/>
      <c r="H18" s="1365" t="s">
        <v>1409</v>
      </c>
      <c r="I18" s="717" t="s">
        <v>1284</v>
      </c>
      <c r="J18" s="49">
        <f ca="1">ROUND(J6*M18/(1+'数据-取费表'!C42),2)</f>
        <v>0</v>
      </c>
      <c r="K18" s="904" t="s">
        <v>1285</v>
      </c>
      <c r="L18" s="717" t="s">
        <v>1276</v>
      </c>
      <c r="M18" s="742">
        <f>'数据-取费表'!B41</f>
        <v>5.5000000000000007E-2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6" t="s">
        <v>1359</v>
      </c>
      <c r="B19" s="717" t="s">
        <v>610</v>
      </c>
      <c r="C19" s="49">
        <f ca="1">SUM(C14:C18)</f>
        <v>3726</v>
      </c>
      <c r="D19" s="239" t="s">
        <v>1286</v>
      </c>
      <c r="E19" s="912"/>
      <c r="F19" s="52"/>
      <c r="G19" s="1665"/>
      <c r="H19" s="1365" t="s">
        <v>1410</v>
      </c>
      <c r="I19" s="717" t="s">
        <v>1287</v>
      </c>
      <c r="J19" s="49">
        <f ca="1">IF(K19="按租金收入计税",ROUND(J6*M19/(1+'数据-取费表'!C42),1),ROUND(C29*F33*0.7,2))</f>
        <v>0</v>
      </c>
      <c r="K19" s="743" t="s">
        <v>3237</v>
      </c>
      <c r="L19" s="717" t="s">
        <v>1276</v>
      </c>
      <c r="M19" s="742">
        <f>IF(K19="按租金收入计税",'数据-取费表'!B51,'数据-取费表'!B50)</f>
        <v>0.12</v>
      </c>
    </row>
    <row r="20" spans="1:33" s="1673" customFormat="1" ht="18" customHeight="1">
      <c r="A20" s="1366" t="s">
        <v>1414</v>
      </c>
      <c r="B20" s="717" t="s">
        <v>613</v>
      </c>
      <c r="C20" s="49">
        <f ca="1">ROUND(C19*F20,0)</f>
        <v>75</v>
      </c>
      <c r="D20" s="744" t="s">
        <v>1288</v>
      </c>
      <c r="E20" s="717" t="s">
        <v>1276</v>
      </c>
      <c r="F20" s="742">
        <f>'数据-取费表'!B37</f>
        <v>0.02</v>
      </c>
      <c r="G20" s="2756"/>
      <c r="H20" s="1368" t="s">
        <v>1405</v>
      </c>
      <c r="I20" s="313" t="s">
        <v>1289</v>
      </c>
      <c r="J20" s="50">
        <f ca="1">ROUND(M20*M21/10000,2)</f>
        <v>0.31</v>
      </c>
      <c r="K20" s="746" t="s">
        <v>1290</v>
      </c>
      <c r="L20" s="717" t="s">
        <v>1291</v>
      </c>
      <c r="M20" s="585">
        <f>'数据-取费表'!B52</f>
        <v>1.5</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6" t="s">
        <v>1415</v>
      </c>
      <c r="B21" s="717" t="s">
        <v>1292</v>
      </c>
      <c r="C21" s="49" t="s">
        <v>1293</v>
      </c>
      <c r="D21" s="744" t="s">
        <v>1653</v>
      </c>
      <c r="E21" s="717" t="s">
        <v>1294</v>
      </c>
      <c r="F21" s="742">
        <f>'数据-取费表'!B38</f>
        <v>0.02</v>
      </c>
      <c r="G21" s="2756"/>
      <c r="H21" s="2008"/>
      <c r="I21" s="726"/>
      <c r="J21" s="65"/>
      <c r="K21" s="748"/>
      <c r="L21" s="717" t="s">
        <v>1295</v>
      </c>
      <c r="M21" s="718">
        <f ca="1">INDIRECT("'数据-取费表'!r"&amp;$G$1)</f>
        <v>2094.91</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6" t="s">
        <v>1416</v>
      </c>
      <c r="B22" s="717" t="s">
        <v>1296</v>
      </c>
      <c r="C22" s="49"/>
      <c r="D22" s="2042" t="str">
        <f>IF(F23&lt;=1,"单利计息。","复利计息。")&amp;"建造成本、管理费用、销售费用产生的利息。"</f>
        <v>复利计息。建造成本、管理费用、销售费用产生的利息。</v>
      </c>
      <c r="E22" s="912"/>
      <c r="F22" s="52"/>
      <c r="G22" s="1665"/>
      <c r="H22" s="1366" t="s">
        <v>1414</v>
      </c>
      <c r="I22" s="717" t="s">
        <v>1297</v>
      </c>
      <c r="J22" s="49">
        <f ca="1">ROUND(J14*M22,2)</f>
        <v>0</v>
      </c>
      <c r="K22" s="904" t="s">
        <v>1298</v>
      </c>
      <c r="L22" s="717" t="s">
        <v>1276</v>
      </c>
      <c r="M22" s="749">
        <f ca="1">INDIRECT("'数据-取费表'!Ak"&amp;$G$1)</f>
        <v>0</v>
      </c>
    </row>
    <row r="23" spans="1:33" s="1673" customFormat="1" ht="18" customHeight="1">
      <c r="A23" s="1365" t="s">
        <v>1360</v>
      </c>
      <c r="B23" s="717" t="s">
        <v>1816</v>
      </c>
      <c r="C23" s="49">
        <f ca="1">ROUND(IF('数据-取费表'!B22&lt;=1,(C19+C20)*F24*F23/2,(C19+C20)*(POWER((1+F24),F23/2)-1)),0)</f>
        <v>118</v>
      </c>
      <c r="D23" s="2041" t="str">
        <f>IF(F23&lt;=1,"(建造成本+管理费用)×利率×(建设周期÷2)","(建造成本+管理费用)×((1+利率)^(建设周期÷2)-1)")</f>
        <v>(建造成本+管理费用)×((1+利率)^(建设周期÷2)-1)</v>
      </c>
      <c r="E23" s="717" t="s">
        <v>1299</v>
      </c>
      <c r="F23" s="585">
        <f>'数据-取费表'!B20</f>
        <v>2</v>
      </c>
      <c r="G23" s="2756"/>
      <c r="H23" s="1366" t="s">
        <v>1415</v>
      </c>
      <c r="I23" s="717" t="s">
        <v>626</v>
      </c>
      <c r="J23" s="49">
        <f ca="1">ROUND(J13*M23,2)</f>
        <v>0</v>
      </c>
      <c r="K23" s="904" t="s">
        <v>1300</v>
      </c>
      <c r="L23" s="717" t="s">
        <v>1276</v>
      </c>
      <c r="M23" s="750">
        <f ca="1">INDIRECT("'数据-取费表'!Al"&amp;$G$1)</f>
        <v>0</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5" t="s">
        <v>1361</v>
      </c>
      <c r="B24" s="717" t="s">
        <v>1301</v>
      </c>
      <c r="C24" s="49">
        <f ca="1">ROUND(IF('数据-取费表'!B22&lt;=1,F21*F24*F23/2,F21*(POWER((1+F24),F23/2)-1)),4)</f>
        <v>5.9999999999999995E-4</v>
      </c>
      <c r="D24" s="2041" t="str">
        <f>IF(F23&lt;=1,"销售费用×利率×(建设周期÷2)","销售费用×((1+利率)^(建设周期÷2)-1)")</f>
        <v>销售费用×((1+利率)^(建设周期÷2)-1)</v>
      </c>
      <c r="E24" s="717" t="s">
        <v>1302</v>
      </c>
      <c r="F24" s="751">
        <f ca="1">'数据-取费表'!B40</f>
        <v>3.1E-2</v>
      </c>
      <c r="G24" s="2756"/>
      <c r="H24" s="2024" t="s">
        <v>1416</v>
      </c>
      <c r="I24" s="2019" t="s">
        <v>613</v>
      </c>
      <c r="J24" s="2017">
        <f ca="1">ROUND(J5*M24,2)</f>
        <v>0</v>
      </c>
      <c r="K24" s="2018" t="s">
        <v>1303</v>
      </c>
      <c r="L24" s="2019" t="s">
        <v>1276</v>
      </c>
      <c r="M24" s="2015">
        <f ca="1">INDIRECT("'数据-取费表'!Am"&amp;$G$1)</f>
        <v>0</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7" t="s">
        <v>1369</v>
      </c>
      <c r="B25" s="717" t="s">
        <v>631</v>
      </c>
      <c r="C25" s="49"/>
      <c r="D25" s="239" t="s">
        <v>1304</v>
      </c>
      <c r="E25" s="912"/>
      <c r="F25" s="52"/>
      <c r="G25" s="1665"/>
      <c r="H25" s="1517" t="s">
        <v>1305</v>
      </c>
      <c r="I25" s="2293" t="s">
        <v>2097</v>
      </c>
      <c r="J25" s="725">
        <f ca="1">J5-J16</f>
        <v>0</v>
      </c>
      <c r="K25" s="2021" t="s">
        <v>1306</v>
      </c>
      <c r="L25" s="2022"/>
      <c r="M25" s="2023"/>
    </row>
    <row r="26" spans="1:33" ht="18" customHeight="1">
      <c r="A26" s="1365" t="s">
        <v>1360</v>
      </c>
      <c r="B26" s="717" t="s">
        <v>1783</v>
      </c>
      <c r="C26" s="49">
        <f ca="1">ROUND((C19+C20)*F26,0)</f>
        <v>380</v>
      </c>
      <c r="D26" s="744" t="s">
        <v>1307</v>
      </c>
      <c r="E26" s="728" t="s">
        <v>1308</v>
      </c>
      <c r="F26" s="727">
        <f ca="1">INDIRECT("'数据-取费表'!q"&amp;$G$1)</f>
        <v>0.1</v>
      </c>
      <c r="G26" s="1665"/>
      <c r="H26" s="2004" t="s">
        <v>1309</v>
      </c>
      <c r="I26" s="1823" t="s">
        <v>2102</v>
      </c>
      <c r="J26" s="716">
        <f ca="1">IF(J5&lt;&gt;0,ROUND(J25*(1-((1+M28)/(1+M26))^M27)/(M26-M28),0),0)</f>
        <v>0</v>
      </c>
      <c r="K26" s="746" t="s">
        <v>1310</v>
      </c>
      <c r="L26" s="717" t="s">
        <v>1771</v>
      </c>
      <c r="M26" s="727">
        <f ca="1">INDIRECT("'数据-取费表'!I"&amp;$G$1)</f>
        <v>5.5E-2</v>
      </c>
    </row>
    <row r="27" spans="1:33" ht="18" customHeight="1">
      <c r="A27" s="1365" t="s">
        <v>1361</v>
      </c>
      <c r="B27" s="717" t="s">
        <v>633</v>
      </c>
      <c r="C27" s="49">
        <f ca="1">ROUND(F21*F26,4)</f>
        <v>2E-3</v>
      </c>
      <c r="D27" s="744" t="s">
        <v>1311</v>
      </c>
      <c r="E27" s="739"/>
      <c r="F27" s="740"/>
      <c r="G27" s="1665"/>
      <c r="H27" s="2005"/>
      <c r="I27" s="720"/>
      <c r="J27" s="721"/>
      <c r="K27" s="753" t="s">
        <v>1312</v>
      </c>
      <c r="L27" s="717" t="s">
        <v>1313</v>
      </c>
      <c r="M27" s="754">
        <f ca="1">INDIRECT("'数据-取费表'!ag"&amp;$G$1)</f>
        <v>0</v>
      </c>
    </row>
    <row r="28" spans="1:33" s="1673" customFormat="1" ht="18" customHeight="1">
      <c r="A28" s="1367" t="s">
        <v>1370</v>
      </c>
      <c r="B28" s="717" t="s">
        <v>634</v>
      </c>
      <c r="C28" s="49">
        <f>ROUND(F28/(1+'数据-取费表'!C42),4)</f>
        <v>5.2400000000000002E-2</v>
      </c>
      <c r="D28" s="744" t="s">
        <v>1654</v>
      </c>
      <c r="E28" s="717" t="s">
        <v>1314</v>
      </c>
      <c r="F28" s="742">
        <f>'数据-取费表'!B41</f>
        <v>5.5000000000000007E-2</v>
      </c>
      <c r="G28" s="2756"/>
      <c r="H28" s="1517"/>
      <c r="I28" s="724"/>
      <c r="J28" s="725"/>
      <c r="K28" s="748"/>
      <c r="L28" s="717" t="s">
        <v>1315</v>
      </c>
      <c r="M28" s="727">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1655</v>
      </c>
      <c r="C29" s="2017">
        <f ca="1">ROUND((C19+C20+C23+C26)/(1-F21-C24-C27-C28),0)</f>
        <v>4648</v>
      </c>
      <c r="D29" s="2018"/>
      <c r="E29" s="2019"/>
      <c r="F29" s="2020"/>
      <c r="G29" s="2756"/>
      <c r="H29" s="755" t="s">
        <v>1316</v>
      </c>
      <c r="I29" s="756" t="s">
        <v>1317</v>
      </c>
      <c r="J29" s="757">
        <f ca="1">ROUND(J26/(1+F40)^F41,0)</f>
        <v>0</v>
      </c>
      <c r="K29" s="758" t="s">
        <v>1318</v>
      </c>
      <c r="L29" s="759"/>
      <c r="M29" s="760">
        <f ca="1">INDIRECT("'数据-取费表'!k"&amp;$G$1)</f>
        <v>5896.96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5">
        <f ca="1">ROUND(C31+C36+C37+C38,0)</f>
        <v>0</v>
      </c>
      <c r="D30" s="1511" t="s">
        <v>1320</v>
      </c>
      <c r="E30" s="906"/>
      <c r="F30" s="1993"/>
      <c r="G30" s="1665"/>
      <c r="H30" s="1674"/>
      <c r="I30" s="1675"/>
      <c r="J30" s="1676"/>
      <c r="K30" s="1633"/>
      <c r="L30" s="1677"/>
      <c r="M30" s="1678"/>
    </row>
    <row r="31" spans="1:33" ht="18" customHeight="1">
      <c r="A31" s="1366" t="s">
        <v>1359</v>
      </c>
      <c r="B31" s="717" t="s">
        <v>604</v>
      </c>
      <c r="C31" s="2551">
        <f ca="1">ROUND(IF(AND(项目基本情况!B11="自然人",项目基本情况!B10="北京市"),C6*F31/(1+'数据-取费表'!C42),C32+C33+C34),2)</f>
        <v>0.31</v>
      </c>
      <c r="D31" s="903" t="s">
        <v>1321</v>
      </c>
      <c r="E31" s="904" t="s">
        <v>1322</v>
      </c>
      <c r="F31" s="2550" t="str">
        <f>IF(项目基本情况!B11="企业","——",IF(M47="住宅",IF(F6*F7*F8/12/(1+'数据-取费表'!F30)&gt;100000,4%,2.5%),IF(F6*F7*F8/12/(1+'数据-取费表'!F30)&gt;100000,12%,7%)))</f>
        <v>——</v>
      </c>
      <c r="G31" s="1665"/>
      <c r="H31" s="2753" t="s">
        <v>2275</v>
      </c>
      <c r="I31" s="1675"/>
      <c r="J31" s="1676"/>
      <c r="K31" s="1633"/>
      <c r="L31" s="1677"/>
      <c r="M31" s="1678"/>
    </row>
    <row r="32" spans="1:33" ht="18" customHeight="1">
      <c r="A32" s="1365" t="s">
        <v>1360</v>
      </c>
      <c r="B32" s="717" t="s">
        <v>1323</v>
      </c>
      <c r="C32" s="49">
        <f ca="1">ROUND(C6*F32/(1+'数据-取费表'!C42),2)</f>
        <v>0</v>
      </c>
      <c r="D32" s="904" t="s">
        <v>1324</v>
      </c>
      <c r="E32" s="717" t="s">
        <v>1325</v>
      </c>
      <c r="F32" s="742">
        <f>'数据-取费表'!B41</f>
        <v>5.5000000000000007E-2</v>
      </c>
      <c r="G32" s="1665"/>
      <c r="H32" s="1679"/>
      <c r="I32" s="1680"/>
      <c r="J32" s="1681"/>
      <c r="K32" s="1682"/>
      <c r="L32" s="1683"/>
      <c r="M32" s="1684"/>
    </row>
    <row r="33" spans="1:18" ht="18" customHeight="1">
      <c r="A33" s="1365" t="s">
        <v>1361</v>
      </c>
      <c r="B33" s="717" t="s">
        <v>1326</v>
      </c>
      <c r="C33" s="49">
        <f ca="1">IF(D33="按租金收入计税",ROUND(C6*F33/(1+'数据-取费表'!C42),2),IF(D33="按房产原值计税",ROUND(C29*F33*0.7,2),INDIRECT("'数据-取费表'!Aj"&amp;$G$1)))</f>
        <v>0</v>
      </c>
      <c r="D33" s="743" t="s">
        <v>3237</v>
      </c>
      <c r="E33" s="717" t="s">
        <v>1325</v>
      </c>
      <c r="F33" s="742">
        <f>IF(D33="按租金收入计税",'数据-取费表'!B51,'数据-取费表'!B50)</f>
        <v>0.12</v>
      </c>
      <c r="G33" s="1665"/>
      <c r="H33" s="1685"/>
      <c r="I33" s="1685"/>
      <c r="J33" s="1685"/>
      <c r="K33" s="1686"/>
      <c r="L33" s="1685"/>
      <c r="M33" s="1685"/>
    </row>
    <row r="34" spans="1:18" ht="18" customHeight="1">
      <c r="A34" s="1368" t="s">
        <v>1362</v>
      </c>
      <c r="B34" s="313" t="s">
        <v>1327</v>
      </c>
      <c r="C34" s="50">
        <f ca="1">ROUND(F34*F35/10000,2)</f>
        <v>0.31</v>
      </c>
      <c r="D34" s="746" t="s">
        <v>1328</v>
      </c>
      <c r="E34" s="717" t="s">
        <v>1329</v>
      </c>
      <c r="F34" s="585">
        <f>'数据-取费表'!B52</f>
        <v>1.5</v>
      </c>
      <c r="G34" s="1665"/>
      <c r="H34" s="1674"/>
      <c r="I34" s="767" t="s">
        <v>1342</v>
      </c>
      <c r="J34" s="768"/>
      <c r="K34" s="1688"/>
      <c r="L34" s="1687"/>
      <c r="M34" s="1687"/>
    </row>
    <row r="35" spans="1:18" ht="18" customHeight="1">
      <c r="A35" s="747"/>
      <c r="B35" s="726"/>
      <c r="C35" s="65"/>
      <c r="D35" s="748"/>
      <c r="E35" s="717" t="s">
        <v>1330</v>
      </c>
      <c r="F35" s="718">
        <f ca="1">INDIRECT("'数据-取费表'!r"&amp;$G$1)</f>
        <v>2094.91</v>
      </c>
      <c r="G35" s="1665"/>
      <c r="H35" s="1674"/>
      <c r="I35" s="769" t="s">
        <v>1343</v>
      </c>
      <c r="J35" s="770">
        <f ca="1">ROUND(C13*J36,0)</f>
        <v>325</v>
      </c>
      <c r="K35" s="1686"/>
      <c r="L35" s="1685"/>
      <c r="M35" s="1685"/>
    </row>
    <row r="36" spans="1:18" ht="18" customHeight="1">
      <c r="A36" s="1366" t="s">
        <v>1414</v>
      </c>
      <c r="B36" s="717" t="s">
        <v>1331</v>
      </c>
      <c r="C36" s="49">
        <f ca="1">ROUND(C29*F36,2)</f>
        <v>0</v>
      </c>
      <c r="D36" s="904" t="s">
        <v>1332</v>
      </c>
      <c r="E36" s="717" t="s">
        <v>1325</v>
      </c>
      <c r="F36" s="749">
        <f ca="1">INDIRECT("'数据-取费表'!Ak"&amp;$G$1)</f>
        <v>0</v>
      </c>
      <c r="G36" s="1665"/>
      <c r="H36" s="1685"/>
      <c r="I36" s="771" t="s">
        <v>1344</v>
      </c>
      <c r="J36" s="772">
        <f ca="1">INDIRECT("'数据-取费表'!j"&amp;$G$1)</f>
        <v>7.0000000000000007E-2</v>
      </c>
      <c r="K36" s="1689"/>
      <c r="L36" s="1685"/>
      <c r="M36" s="1685"/>
    </row>
    <row r="37" spans="1:18" ht="18" customHeight="1">
      <c r="A37" s="1366" t="s">
        <v>1415</v>
      </c>
      <c r="B37" s="717" t="s">
        <v>626</v>
      </c>
      <c r="C37" s="49">
        <f ca="1">ROUND(C13*F37,2)</f>
        <v>0</v>
      </c>
      <c r="D37" s="904" t="s">
        <v>1333</v>
      </c>
      <c r="E37" s="717" t="s">
        <v>1325</v>
      </c>
      <c r="F37" s="750">
        <f ca="1">INDIRECT("'数据-取费表'!Al"&amp;$G$1)</f>
        <v>0</v>
      </c>
      <c r="G37" s="1665"/>
      <c r="H37" s="1685"/>
      <c r="I37" s="773" t="s">
        <v>1345</v>
      </c>
      <c r="J37" s="774"/>
      <c r="K37" s="1689"/>
      <c r="L37" s="1685"/>
      <c r="M37" s="1685"/>
    </row>
    <row r="38" spans="1:18" ht="18" customHeight="1" thickBot="1">
      <c r="A38" s="2024" t="s">
        <v>1416</v>
      </c>
      <c r="B38" s="2019" t="s">
        <v>613</v>
      </c>
      <c r="C38" s="2017">
        <f ca="1">ROUND(C5*F38,2)</f>
        <v>0</v>
      </c>
      <c r="D38" s="2018" t="s">
        <v>1334</v>
      </c>
      <c r="E38" s="2019" t="s">
        <v>1325</v>
      </c>
      <c r="F38" s="2015">
        <f ca="1">INDIRECT("'数据-取费表'!Am"&amp;$G$1)</f>
        <v>0</v>
      </c>
      <c r="G38" s="1665"/>
      <c r="H38" s="1685"/>
      <c r="I38" s="775" t="s">
        <v>1346</v>
      </c>
      <c r="J38" s="776"/>
      <c r="K38" s="1690"/>
      <c r="L38" s="1685"/>
      <c r="M38" s="1685"/>
    </row>
    <row r="39" spans="1:18" ht="24.6" customHeight="1" thickTop="1">
      <c r="A39" s="1517" t="s">
        <v>1419</v>
      </c>
      <c r="B39" s="2293" t="s">
        <v>2097</v>
      </c>
      <c r="C39" s="725">
        <f ca="1">C5-C30</f>
        <v>0</v>
      </c>
      <c r="D39" s="2021" t="s">
        <v>1335</v>
      </c>
      <c r="E39" s="2022"/>
      <c r="F39" s="2023"/>
      <c r="G39" s="1665"/>
      <c r="H39" s="1685"/>
      <c r="I39" s="769" t="s">
        <v>1347</v>
      </c>
      <c r="J39" s="777" t="e">
        <f ca="1">ROUND(J35/C39,3)</f>
        <v>#DIV/0!</v>
      </c>
      <c r="K39" s="1690"/>
      <c r="L39" s="1685"/>
      <c r="M39" s="1685"/>
    </row>
    <row r="40" spans="1:18" ht="18" customHeight="1">
      <c r="A40" s="714" t="s">
        <v>1420</v>
      </c>
      <c r="B40" s="1823" t="s">
        <v>1656</v>
      </c>
      <c r="C40" s="716">
        <f ca="1">ROUND(C39*(1-((1+F42)/(1+F40))^F41)/(F40-F42),0)</f>
        <v>0</v>
      </c>
      <c r="D40" s="746" t="s">
        <v>1336</v>
      </c>
      <c r="E40" s="717" t="s">
        <v>1771</v>
      </c>
      <c r="F40" s="727">
        <f ca="1">INDIRECT("'数据-取费表'!I"&amp;$G$1)</f>
        <v>5.5E-2</v>
      </c>
      <c r="G40" s="1665"/>
      <c r="H40" s="1665"/>
      <c r="I40" s="769" t="s">
        <v>1348</v>
      </c>
      <c r="J40" s="777" t="e">
        <f ca="1">1-J39</f>
        <v>#DIV/0!</v>
      </c>
      <c r="K40" s="1690"/>
      <c r="L40" s="1665"/>
      <c r="M40" s="1665"/>
    </row>
    <row r="41" spans="1:18" ht="18" customHeight="1">
      <c r="A41" s="719"/>
      <c r="B41" s="720"/>
      <c r="C41" s="721"/>
      <c r="D41" s="753" t="s">
        <v>1337</v>
      </c>
      <c r="E41" s="717" t="s">
        <v>2217</v>
      </c>
      <c r="F41" s="754">
        <f ca="1">IF(INDIRECT("'数据-取费表'!af"&amp;$G$1)=0,INDIRECT("'数据-取费表'!ae"&amp;$G$1),INDIRECT("'数据-取费表'!af"&amp;$G$1))</f>
        <v>0</v>
      </c>
      <c r="G41" s="1665"/>
      <c r="H41" s="1633"/>
      <c r="I41" s="775" t="s">
        <v>1349</v>
      </c>
      <c r="J41" s="778"/>
      <c r="K41" s="1689"/>
      <c r="L41" s="1633"/>
      <c r="M41" s="1633"/>
    </row>
    <row r="42" spans="1:18" ht="18" customHeight="1">
      <c r="A42" s="723"/>
      <c r="B42" s="724"/>
      <c r="C42" s="725"/>
      <c r="D42" s="748"/>
      <c r="E42" s="717" t="s">
        <v>1338</v>
      </c>
      <c r="F42" s="727">
        <f ca="1">INDIRECT("'数据-取费表'!v"&amp;$G$1)</f>
        <v>0</v>
      </c>
      <c r="G42" s="1665"/>
      <c r="H42" s="1633"/>
      <c r="I42" s="779" t="s">
        <v>1350</v>
      </c>
      <c r="J42" s="777" t="e">
        <f ca="1">ROUND(C13/C40,3)</f>
        <v>#DIV/0!</v>
      </c>
      <c r="K42" s="1689"/>
      <c r="L42" s="1633"/>
      <c r="M42" s="1633"/>
    </row>
    <row r="43" spans="1:18" ht="18" customHeight="1" thickBot="1">
      <c r="A43" s="755" t="s">
        <v>1316</v>
      </c>
      <c r="B43" s="756" t="s">
        <v>1339</v>
      </c>
      <c r="C43" s="757">
        <f ca="1">ROUND(C40*10000/F43,0)</f>
        <v>0</v>
      </c>
      <c r="D43" s="758" t="s">
        <v>1340</v>
      </c>
      <c r="E43" s="759" t="s">
        <v>1341</v>
      </c>
      <c r="F43" s="760">
        <f ca="1">INDIRECT("'数据-取费表'!k"&amp;$G$1)</f>
        <v>5896.96</v>
      </c>
      <c r="G43" s="1665"/>
      <c r="H43" s="1633"/>
      <c r="I43" s="779" t="s">
        <v>1351</v>
      </c>
      <c r="J43" s="780" t="e">
        <f ca="1">1-J42</f>
        <v>#DIV/0!</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1650</v>
      </c>
      <c r="B46" s="1692"/>
      <c r="C46" s="1144">
        <f ca="1">C67-C40</f>
        <v>0</v>
      </c>
      <c r="D46" s="2757"/>
      <c r="E46" s="2757"/>
      <c r="F46" s="2757"/>
      <c r="I46" s="1936" t="s">
        <v>1695</v>
      </c>
      <c r="J46" s="1937"/>
      <c r="K46" s="1938"/>
      <c r="L46" s="2371">
        <f>IF(OR(M47="住宅",D1="土地（套用方法）"),0,IF(L48&gt;J51,L60,J60))</f>
        <v>0</v>
      </c>
      <c r="M46" s="2758"/>
      <c r="O46" s="1950" t="s">
        <v>1762</v>
      </c>
      <c r="P46" s="1142"/>
      <c r="Q46" s="1327"/>
      <c r="R46" s="1142"/>
    </row>
    <row r="47" spans="1:18" s="1669" customFormat="1" ht="18" customHeight="1" thickBot="1">
      <c r="A47" s="3375">
        <v>1</v>
      </c>
      <c r="B47" s="3376" t="s">
        <v>583</v>
      </c>
      <c r="C47" s="3377">
        <f ca="1">C48+C52+C54</f>
        <v>0</v>
      </c>
      <c r="D47" s="3378"/>
      <c r="E47" s="3378"/>
      <c r="F47" s="3379"/>
      <c r="I47" s="2363" t="s">
        <v>1696</v>
      </c>
      <c r="J47" s="1939"/>
      <c r="K47" s="2368" t="s">
        <v>1701</v>
      </c>
      <c r="L47" s="2372">
        <f ca="1">INDIRECT("'数据-取费表'!d"&amp;$G$1)</f>
        <v>40</v>
      </c>
      <c r="M47" s="1327" t="str">
        <f>IF(ISNUMBER(FIND("住宅",C1)),"住宅","非住宅")</f>
        <v>非住宅</v>
      </c>
      <c r="O47" s="1951" t="s">
        <v>1727</v>
      </c>
      <c r="P47" s="1952" t="s">
        <v>1728</v>
      </c>
      <c r="Q47" s="1953" t="s">
        <v>1729</v>
      </c>
      <c r="R47" s="1952" t="s">
        <v>1730</v>
      </c>
    </row>
    <row r="48" spans="1:18" s="1669" customFormat="1" ht="18" customHeight="1" thickBot="1">
      <c r="A48" s="2081" t="s">
        <v>1818</v>
      </c>
      <c r="B48" s="2082" t="s">
        <v>1819</v>
      </c>
      <c r="C48" s="1932">
        <f ca="1">ROUND(F48*F50*F49*(1-F51)/10000,0)</f>
        <v>0</v>
      </c>
      <c r="D48" s="1933" t="s">
        <v>584</v>
      </c>
      <c r="E48" s="1934" t="s">
        <v>1651</v>
      </c>
      <c r="F48" s="1935">
        <f ca="1">M6</f>
        <v>0</v>
      </c>
      <c r="G48" s="1696"/>
      <c r="I48" s="2360" t="s">
        <v>1697</v>
      </c>
      <c r="J48" s="1940"/>
      <c r="K48" s="2369" t="s">
        <v>1703</v>
      </c>
      <c r="L48" s="1564">
        <f ca="1">INDIRECT("'数据-取费表'!f"&amp;$G$1)</f>
        <v>39.07</v>
      </c>
      <c r="M48" s="2758"/>
      <c r="O48" s="1954" t="s">
        <v>1731</v>
      </c>
      <c r="P48" s="1955" t="s">
        <v>1757</v>
      </c>
      <c r="Q48" s="1956">
        <f ca="1">C40+J29</f>
        <v>0</v>
      </c>
      <c r="R48" s="1955" t="s">
        <v>1732</v>
      </c>
    </row>
    <row r="49" spans="1:18" s="1669" customFormat="1" ht="18" customHeight="1" thickBot="1">
      <c r="A49" s="719"/>
      <c r="B49" s="720"/>
      <c r="C49" s="721"/>
      <c r="D49" s="722"/>
      <c r="E49" s="717" t="s">
        <v>1268</v>
      </c>
      <c r="F49" s="718">
        <f ca="1">F7</f>
        <v>5896.96</v>
      </c>
      <c r="G49" s="1696"/>
      <c r="H49" s="1699"/>
      <c r="I49" s="2360" t="s">
        <v>1698</v>
      </c>
      <c r="J49" s="1941"/>
      <c r="K49" s="2370" t="s">
        <v>1704</v>
      </c>
      <c r="L49" s="1563"/>
      <c r="M49" s="2758"/>
      <c r="O49" s="1954" t="s">
        <v>1733</v>
      </c>
      <c r="P49" s="1955" t="s">
        <v>1758</v>
      </c>
      <c r="Q49" s="1956" t="str">
        <f ca="1">J60</f>
        <v>0</v>
      </c>
      <c r="R49" s="1955" t="s">
        <v>1734</v>
      </c>
    </row>
    <row r="50" spans="1:18" s="1669" customFormat="1" ht="18" customHeight="1" thickBot="1">
      <c r="A50" s="719"/>
      <c r="B50" s="720"/>
      <c r="C50" s="721"/>
      <c r="D50" s="722"/>
      <c r="E50" s="717" t="s">
        <v>1269</v>
      </c>
      <c r="F50" s="718">
        <f ca="1">F8</f>
        <v>0</v>
      </c>
      <c r="H50" s="1699"/>
      <c r="I50" s="2360" t="s">
        <v>1699</v>
      </c>
      <c r="J50" s="2367">
        <f>SUMPRODUCT((I63:I65=J47)*(J62:L62=J48)*(J63:L65))</f>
        <v>0</v>
      </c>
      <c r="K50" s="2370" t="s">
        <v>1705</v>
      </c>
      <c r="L50" s="1563"/>
      <c r="M50" s="2758"/>
      <c r="O50" s="1957" t="s">
        <v>1735</v>
      </c>
      <c r="P50" s="1955" t="s">
        <v>1759</v>
      </c>
      <c r="Q50" s="1956">
        <f ca="1">C29</f>
        <v>4648</v>
      </c>
      <c r="R50" s="1955" t="s">
        <v>1732</v>
      </c>
    </row>
    <row r="51" spans="1:18" s="1669" customFormat="1" ht="18" customHeight="1" thickBot="1">
      <c r="A51" s="719"/>
      <c r="B51" s="720"/>
      <c r="C51" s="721"/>
      <c r="D51" s="722"/>
      <c r="E51" s="717" t="s">
        <v>588</v>
      </c>
      <c r="F51" s="1931"/>
      <c r="H51" s="1699"/>
      <c r="I51" s="2364" t="s">
        <v>1700</v>
      </c>
      <c r="J51" s="1564">
        <f>IF(J49="",J50,J49+J50-YEAR('数据-取费表'!B2))</f>
        <v>0</v>
      </c>
      <c r="K51" s="2360" t="s">
        <v>1706</v>
      </c>
      <c r="L51" s="2373">
        <f ca="1">ROUND(-PV(INDIRECT("'数据-取费表'!h"&amp;$G$1),J51,(C39-C13*J36),0),0)</f>
        <v>0</v>
      </c>
      <c r="M51" s="2758"/>
      <c r="O51" s="1957" t="s">
        <v>1736</v>
      </c>
      <c r="P51" s="1955" t="s">
        <v>1737</v>
      </c>
      <c r="Q51" s="1958" t="e">
        <f ca="1">J58</f>
        <v>#VALUE!</v>
      </c>
      <c r="R51" s="1959"/>
    </row>
    <row r="52" spans="1:18" s="1669" customFormat="1" ht="18" customHeight="1" thickBot="1">
      <c r="A52" s="714" t="s">
        <v>1817</v>
      </c>
      <c r="B52" s="1996" t="s">
        <v>1801</v>
      </c>
      <c r="C52" s="732">
        <f ca="1">ROUND(IF(F52="押一",C48/12*F11,IF(F52="押二",C48/12*2*F11,IF(F52="押三",C48/12*3*F11,C53*F11))),0)</f>
        <v>0</v>
      </c>
      <c r="D52" s="2003" t="s">
        <v>2226</v>
      </c>
      <c r="E52" s="2000" t="s">
        <v>1806</v>
      </c>
      <c r="F52" s="2073"/>
      <c r="I52" s="2365" t="s">
        <v>1773</v>
      </c>
      <c r="J52" s="1942"/>
      <c r="K52" s="2365" t="s">
        <v>1772</v>
      </c>
      <c r="L52" s="1942"/>
      <c r="M52" s="2758"/>
      <c r="O52" s="1957" t="s">
        <v>1738</v>
      </c>
      <c r="P52" s="1955" t="s">
        <v>1739</v>
      </c>
      <c r="Q52" s="1958">
        <f>J52</f>
        <v>0</v>
      </c>
      <c r="R52" s="1959"/>
    </row>
    <row r="53" spans="1:18" s="1669" customFormat="1" ht="39.75" customHeight="1" thickBot="1">
      <c r="A53" s="719"/>
      <c r="B53" s="1997" t="s">
        <v>1854</v>
      </c>
      <c r="C53" s="2001"/>
      <c r="D53" s="2003"/>
      <c r="E53" s="2000"/>
      <c r="F53" s="733"/>
      <c r="I53" s="2366" t="s">
        <v>2229</v>
      </c>
      <c r="J53" s="2412">
        <f ca="1">IF(M47="住宅",IF(D1="——",MAX(J51,L48),MAX(J51,L48-'数据-取费表'!B20)),IF(D1="——",MIN(J51,L48),MIN(J51,L48-'数据-取费表'!B20)))</f>
        <v>0</v>
      </c>
      <c r="K53" s="3705" t="s">
        <v>2219</v>
      </c>
      <c r="L53" s="3706"/>
      <c r="M53" s="2758"/>
      <c r="O53" s="1957" t="s">
        <v>1740</v>
      </c>
      <c r="P53" s="1955" t="s">
        <v>1741</v>
      </c>
      <c r="Q53" s="1956">
        <f ca="1">J53</f>
        <v>0</v>
      </c>
      <c r="R53" s="1955" t="s">
        <v>1742</v>
      </c>
    </row>
    <row r="54" spans="1:18" s="1669" customFormat="1" ht="18" customHeight="1" thickBot="1">
      <c r="A54" s="2010" t="s">
        <v>1809</v>
      </c>
      <c r="B54" s="2011" t="s">
        <v>1802</v>
      </c>
      <c r="C54" s="2012"/>
      <c r="D54" s="2003"/>
      <c r="E54" s="2000"/>
      <c r="F54" s="733"/>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3"/>
      <c r="M54" s="2758"/>
      <c r="O54" s="1954" t="s">
        <v>1743</v>
      </c>
      <c r="P54" s="1955" t="s">
        <v>1760</v>
      </c>
      <c r="Q54" s="1956">
        <f ca="1">Q48+Q49</f>
        <v>0</v>
      </c>
      <c r="R54" s="1959" t="s">
        <v>1744</v>
      </c>
    </row>
    <row r="55" spans="1:18" s="1669" customFormat="1" ht="18" customHeight="1" thickTop="1" thickBot="1">
      <c r="A55" s="730">
        <v>2</v>
      </c>
      <c r="B55" s="731" t="s">
        <v>592</v>
      </c>
      <c r="C55" s="732">
        <f ca="1">C13</f>
        <v>4648</v>
      </c>
      <c r="D55" s="728"/>
      <c r="E55" s="728"/>
      <c r="F55" s="733"/>
      <c r="I55" s="2376" t="s">
        <v>1707</v>
      </c>
      <c r="J55" s="2349" t="e">
        <f ca="1">ROUND(IF(J47="钢混",J57/J50,1-(1-2%)*(J50-J57)/J50),3)</f>
        <v>#VALUE!</v>
      </c>
      <c r="K55" s="2377" t="s">
        <v>1708</v>
      </c>
      <c r="L55" s="1943"/>
      <c r="M55" s="2758"/>
      <c r="O55" s="1960" t="s">
        <v>1763</v>
      </c>
      <c r="P55" s="1142"/>
      <c r="Q55" s="1327"/>
      <c r="R55" s="1142"/>
    </row>
    <row r="56" spans="1:18" s="1669" customFormat="1" ht="42.75" customHeight="1" thickBot="1">
      <c r="A56" s="1367"/>
      <c r="B56" s="1822" t="s">
        <v>1657</v>
      </c>
      <c r="C56" s="49">
        <f ca="1">C29</f>
        <v>4648</v>
      </c>
      <c r="D56" s="904"/>
      <c r="E56" s="717"/>
      <c r="F56" s="742"/>
      <c r="I56" s="2378" t="s">
        <v>1709</v>
      </c>
      <c r="J56" s="2388"/>
      <c r="K56" s="2360" t="s">
        <v>1714</v>
      </c>
      <c r="L56" s="1564">
        <f ca="1">IF(L48&lt;J51,"——",L48-J51)</f>
        <v>39.07</v>
      </c>
      <c r="M56" s="2758"/>
      <c r="O56" s="1951" t="s">
        <v>1727</v>
      </c>
      <c r="P56" s="1952" t="s">
        <v>1728</v>
      </c>
      <c r="Q56" s="1953" t="s">
        <v>1729</v>
      </c>
      <c r="R56" s="1952" t="s">
        <v>1730</v>
      </c>
    </row>
    <row r="57" spans="1:18" s="1669" customFormat="1" ht="28.5" customHeight="1" thickBot="1">
      <c r="A57" s="730" t="s">
        <v>1277</v>
      </c>
      <c r="B57" s="731" t="s">
        <v>599</v>
      </c>
      <c r="C57" s="732">
        <f ca="1">ROUND(C58+C63+C64+C65,0)</f>
        <v>0</v>
      </c>
      <c r="D57" s="22" t="s">
        <v>1279</v>
      </c>
      <c r="E57" s="912"/>
      <c r="F57" s="52"/>
      <c r="I57" s="2379" t="s">
        <v>1710</v>
      </c>
      <c r="J57" s="2380" t="str">
        <f ca="1">IF(OR(M47="住宅",J51&lt;L48,J56="是"),"——",J51-L48)</f>
        <v>——</v>
      </c>
      <c r="K57" s="2360" t="s">
        <v>1715</v>
      </c>
      <c r="L57" s="1564">
        <f ca="1">IF(L48&lt;J51,"——",IF(L55="比较法",L49,IF(L55="基准地价",L50,L51)))</f>
        <v>0</v>
      </c>
      <c r="M57" s="2758"/>
      <c r="O57" s="1954" t="s">
        <v>1731</v>
      </c>
      <c r="P57" s="1955" t="s">
        <v>1761</v>
      </c>
      <c r="Q57" s="1956">
        <f ca="1">C40+J29</f>
        <v>0</v>
      </c>
      <c r="R57" s="1955" t="s">
        <v>1732</v>
      </c>
    </row>
    <row r="58" spans="1:18" s="1669" customFormat="1" ht="28.5" customHeight="1" thickBot="1">
      <c r="A58" s="1366" t="s">
        <v>1353</v>
      </c>
      <c r="B58" s="717" t="s">
        <v>604</v>
      </c>
      <c r="C58" s="2551">
        <f ca="1">ROUND(IF(AND(项目基本情况!B11="自然人",项目基本情况!B10="北京市"),C48*F58/(1+'数据-取费表'!C42),C59+C60+C61),2)</f>
        <v>0.31</v>
      </c>
      <c r="D58" s="903" t="s">
        <v>605</v>
      </c>
      <c r="E58" s="904" t="s">
        <v>637</v>
      </c>
      <c r="F58" s="2550" t="str">
        <f>IF(项目基本情况!B11="企业","——",IF('数据-取费表'!B10="住宅",IF(F48*F49*F50/12/(1+'数据-取费表'!F30)&gt;100000,4%,2.5%),IF(F48*F49*F50/12/(1+'数据-取费表'!F30)&gt;100000,12%,7%)))</f>
        <v>——</v>
      </c>
      <c r="I58" s="2379" t="s">
        <v>1711</v>
      </c>
      <c r="J58" s="2350" t="e">
        <f ca="1">IF(J55&lt;0.4,0.4,J55)</f>
        <v>#VALUE!</v>
      </c>
      <c r="K58" s="2360" t="s">
        <v>1716</v>
      </c>
      <c r="L58" s="1564" t="e">
        <f ca="1">ROUND(POWER(1+L52,L47-L48)*(POWER(1+L52,L48)-1)/(POWER(1+L52,L47)-1),4)</f>
        <v>#DIV/0!</v>
      </c>
      <c r="M58" s="2758"/>
      <c r="O58" s="1954" t="s">
        <v>1733</v>
      </c>
      <c r="P58" s="1955" t="s">
        <v>1764</v>
      </c>
      <c r="Q58" s="1956" t="e">
        <f ca="1">L60</f>
        <v>#DIV/0!</v>
      </c>
      <c r="R58" s="1959" t="s">
        <v>1766</v>
      </c>
    </row>
    <row r="59" spans="1:18" s="1669" customFormat="1" ht="28.5" customHeight="1" thickBot="1">
      <c r="A59" s="1365" t="s">
        <v>1360</v>
      </c>
      <c r="B59" s="717" t="s">
        <v>608</v>
      </c>
      <c r="C59" s="49">
        <f ca="1">ROUND(C47*F59/1.05,2)</f>
        <v>0</v>
      </c>
      <c r="D59" s="904" t="s">
        <v>1285</v>
      </c>
      <c r="E59" s="717" t="s">
        <v>1276</v>
      </c>
      <c r="F59" s="742">
        <f t="shared" ref="F59:F65" si="0">F32</f>
        <v>5.5000000000000007E-2</v>
      </c>
      <c r="I59" s="2379" t="s">
        <v>1712</v>
      </c>
      <c r="J59" s="2380" t="str">
        <f ca="1">IF(OR(M47="住宅",J51&lt;L48,J56="是"),"——",ROUND(C29*J58,0))</f>
        <v>——</v>
      </c>
      <c r="K59" s="2360"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8"/>
      <c r="O59" s="1957" t="s">
        <v>1735</v>
      </c>
      <c r="P59" s="1955" t="s">
        <v>1765</v>
      </c>
      <c r="Q59" s="1956">
        <f>IF(L55="比较法",L49,IF(L55="基准地价",L50,0))</f>
        <v>0</v>
      </c>
      <c r="R59" s="1955" t="s">
        <v>1732</v>
      </c>
    </row>
    <row r="60" spans="1:18" s="1669" customFormat="1" ht="18" customHeight="1" thickBot="1">
      <c r="A60" s="1365" t="s">
        <v>1361</v>
      </c>
      <c r="B60" s="717" t="s">
        <v>1287</v>
      </c>
      <c r="C60" s="49">
        <f ca="1">IF(D60="按租金收入计税",ROUND(C48*F60/(1+'数据-取费表'!C42),2),IF(D60="按房产原值计税",ROUND(C56*F60*0.7,2),INDIRECT("'数据-取费表'!Aj"&amp;$G$1)))</f>
        <v>0</v>
      </c>
      <c r="D60" s="904" t="str">
        <f>D33</f>
        <v>按租金收入计税</v>
      </c>
      <c r="E60" s="717" t="s">
        <v>1276</v>
      </c>
      <c r="F60" s="742">
        <f t="shared" si="0"/>
        <v>0.12</v>
      </c>
      <c r="I60" s="2381" t="s">
        <v>1713</v>
      </c>
      <c r="J60" s="2382" t="str">
        <f ca="1">IF(OR(M47="住宅",J51&lt;L48,J56="是"),"0",ROUND(J59/(1+J52)^J53,0))</f>
        <v>0</v>
      </c>
      <c r="K60" s="2383" t="s">
        <v>1718</v>
      </c>
      <c r="L60" s="2382" t="e">
        <f ca="1">IF(OR(M47="住宅",L48&lt;J51),0,ROUND(L57*(L58/L59-1),0))</f>
        <v>#DIV/0!</v>
      </c>
      <c r="M60" s="2758"/>
      <c r="O60" s="1957" t="s">
        <v>1736</v>
      </c>
      <c r="P60" s="1955" t="s">
        <v>1745</v>
      </c>
      <c r="Q60" s="1958">
        <f>L52</f>
        <v>0</v>
      </c>
      <c r="R60" s="1959"/>
    </row>
    <row r="61" spans="1:18" s="1669" customFormat="1" ht="18" customHeight="1" thickBot="1">
      <c r="A61" s="1368" t="s">
        <v>1362</v>
      </c>
      <c r="B61" s="313" t="s">
        <v>615</v>
      </c>
      <c r="C61" s="50">
        <f ca="1">ROUND(F61*F62/10000,2)</f>
        <v>0.31</v>
      </c>
      <c r="D61" s="746" t="s">
        <v>616</v>
      </c>
      <c r="E61" s="717" t="s">
        <v>617</v>
      </c>
      <c r="F61" s="585">
        <f t="shared" si="0"/>
        <v>1.5</v>
      </c>
      <c r="K61" s="1693"/>
      <c r="O61" s="1957" t="s">
        <v>1738</v>
      </c>
      <c r="P61" s="1955" t="s">
        <v>1746</v>
      </c>
      <c r="Q61" s="1956" t="e">
        <f ca="1">L58</f>
        <v>#DIV/0!</v>
      </c>
      <c r="R61" s="1959" t="s">
        <v>1747</v>
      </c>
    </row>
    <row r="62" spans="1:18" s="1669" customFormat="1" ht="15.75" thickBot="1">
      <c r="A62" s="747"/>
      <c r="B62" s="726"/>
      <c r="C62" s="65"/>
      <c r="D62" s="748"/>
      <c r="E62" s="717" t="s">
        <v>621</v>
      </c>
      <c r="F62" s="718">
        <f t="shared" ca="1" si="0"/>
        <v>2094.91</v>
      </c>
      <c r="I62" s="2384" t="s">
        <v>1719</v>
      </c>
      <c r="J62" s="2385" t="s">
        <v>1720</v>
      </c>
      <c r="K62" s="2385" t="s">
        <v>1721</v>
      </c>
      <c r="L62" s="2385" t="s">
        <v>1702</v>
      </c>
      <c r="M62" s="2386" t="s">
        <v>2198</v>
      </c>
      <c r="O62" s="1957" t="s">
        <v>1740</v>
      </c>
      <c r="P62" s="1955" t="str">
        <f>K59</f>
        <v>建设期及建筑物耐用年限下的土地年期修正系数Kn</v>
      </c>
      <c r="Q62" s="1956" t="e">
        <f ca="1">L59</f>
        <v>#DIV/0!</v>
      </c>
      <c r="R62" s="1959" t="s">
        <v>1749</v>
      </c>
    </row>
    <row r="63" spans="1:18" s="1669" customFormat="1" ht="15.75" thickBot="1">
      <c r="A63" s="1366" t="s">
        <v>1414</v>
      </c>
      <c r="B63" s="717" t="s">
        <v>623</v>
      </c>
      <c r="C63" s="49">
        <f ca="1">ROUND(C56*F63,2)</f>
        <v>0</v>
      </c>
      <c r="D63" s="904" t="s">
        <v>1332</v>
      </c>
      <c r="E63" s="717" t="s">
        <v>1276</v>
      </c>
      <c r="F63" s="749">
        <f t="shared" ca="1" si="0"/>
        <v>0</v>
      </c>
      <c r="I63" s="2384" t="s">
        <v>1722</v>
      </c>
      <c r="J63" s="2385">
        <v>70</v>
      </c>
      <c r="K63" s="2385">
        <v>50</v>
      </c>
      <c r="L63" s="2385">
        <v>80</v>
      </c>
      <c r="M63" s="2387">
        <v>0.02</v>
      </c>
      <c r="O63" s="1954" t="s">
        <v>1743</v>
      </c>
      <c r="P63" s="1955" t="s">
        <v>1760</v>
      </c>
      <c r="Q63" s="1956" t="e">
        <f ca="1">Q57+Q58</f>
        <v>#DIV/0!</v>
      </c>
      <c r="R63" s="1959" t="s">
        <v>1744</v>
      </c>
    </row>
    <row r="64" spans="1:18" s="1669" customFormat="1" ht="16.5" thickBot="1">
      <c r="A64" s="1366" t="s">
        <v>1415</v>
      </c>
      <c r="B64" s="717" t="s">
        <v>626</v>
      </c>
      <c r="C64" s="49">
        <f ca="1">ROUND(C55*F64,2)</f>
        <v>0</v>
      </c>
      <c r="D64" s="904" t="s">
        <v>627</v>
      </c>
      <c r="E64" s="717" t="s">
        <v>1276</v>
      </c>
      <c r="F64" s="750">
        <f t="shared" ca="1" si="0"/>
        <v>0</v>
      </c>
      <c r="I64" s="2384" t="s">
        <v>1723</v>
      </c>
      <c r="J64" s="2385">
        <v>50</v>
      </c>
      <c r="K64" s="2385">
        <v>35</v>
      </c>
      <c r="L64" s="2385">
        <v>60</v>
      </c>
      <c r="M64" s="778">
        <v>0</v>
      </c>
      <c r="O64" s="1960" t="s">
        <v>1767</v>
      </c>
      <c r="P64" s="1142"/>
      <c r="Q64" s="1327"/>
      <c r="R64" s="1142"/>
    </row>
    <row r="65" spans="1:18" s="1669" customFormat="1" ht="15.75" thickBot="1">
      <c r="A65" s="1366" t="s">
        <v>1416</v>
      </c>
      <c r="B65" s="717" t="s">
        <v>613</v>
      </c>
      <c r="C65" s="49">
        <f ca="1">ROUND(C47*F65,2)</f>
        <v>0</v>
      </c>
      <c r="D65" s="904" t="s">
        <v>630</v>
      </c>
      <c r="E65" s="717" t="s">
        <v>1276</v>
      </c>
      <c r="F65" s="727">
        <f t="shared" ca="1" si="0"/>
        <v>0</v>
      </c>
      <c r="I65" s="2384" t="s">
        <v>1724</v>
      </c>
      <c r="J65" s="2385">
        <v>40</v>
      </c>
      <c r="K65" s="2385">
        <v>30</v>
      </c>
      <c r="L65" s="2385">
        <v>50</v>
      </c>
      <c r="M65" s="2387">
        <v>0.02</v>
      </c>
      <c r="O65" s="1951" t="s">
        <v>1727</v>
      </c>
      <c r="P65" s="1952" t="s">
        <v>1728</v>
      </c>
      <c r="Q65" s="1953" t="s">
        <v>1729</v>
      </c>
      <c r="R65" s="1952" t="s">
        <v>1730</v>
      </c>
    </row>
    <row r="66" spans="1:18" s="1669" customFormat="1" ht="24.75" thickBot="1">
      <c r="A66" s="730" t="s">
        <v>1305</v>
      </c>
      <c r="B66" s="2294" t="s">
        <v>2097</v>
      </c>
      <c r="C66" s="732">
        <f ca="1">C47-C57</f>
        <v>0</v>
      </c>
      <c r="D66" s="903" t="s">
        <v>647</v>
      </c>
      <c r="E66" s="901"/>
      <c r="F66" s="752"/>
      <c r="K66" s="1693"/>
      <c r="O66" s="1954" t="s">
        <v>1731</v>
      </c>
      <c r="P66" s="1955" t="s">
        <v>1761</v>
      </c>
      <c r="Q66" s="1956">
        <f ca="1">C40+J29</f>
        <v>0</v>
      </c>
      <c r="R66" s="1955" t="s">
        <v>1732</v>
      </c>
    </row>
    <row r="67" spans="1:18" s="1669" customFormat="1" ht="20.25" thickBot="1">
      <c r="A67" s="714" t="s">
        <v>1309</v>
      </c>
      <c r="B67" s="1823" t="s">
        <v>1656</v>
      </c>
      <c r="C67" s="716">
        <f ca="1">ROUND(C66*(1-((1+F69)/(1+F67))^F68)/(F67-F69),0)</f>
        <v>0</v>
      </c>
      <c r="D67" s="746" t="s">
        <v>651</v>
      </c>
      <c r="E67" s="717" t="s">
        <v>652</v>
      </c>
      <c r="F67" s="727">
        <f ca="1">F40</f>
        <v>5.5E-2</v>
      </c>
      <c r="K67" s="1693"/>
      <c r="O67" s="1954" t="s">
        <v>1733</v>
      </c>
      <c r="P67" s="1955" t="s">
        <v>1764</v>
      </c>
      <c r="Q67" s="1956" t="e">
        <f ca="1">L60</f>
        <v>#DIV/0!</v>
      </c>
      <c r="R67" s="1959" t="s">
        <v>1766</v>
      </c>
    </row>
    <row r="68" spans="1:18" ht="21.75" thickBot="1">
      <c r="A68" s="719"/>
      <c r="B68" s="720"/>
      <c r="C68" s="721"/>
      <c r="D68" s="753" t="s">
        <v>1337</v>
      </c>
      <c r="E68" s="717" t="s">
        <v>1313</v>
      </c>
      <c r="F68" s="754">
        <f ca="1">F41</f>
        <v>0</v>
      </c>
      <c r="O68" s="1957" t="s">
        <v>1735</v>
      </c>
      <c r="P68" s="1955" t="s">
        <v>1765</v>
      </c>
      <c r="Q68" s="1961">
        <f ca="1">L51</f>
        <v>0</v>
      </c>
      <c r="R68" s="1962" t="s">
        <v>1768</v>
      </c>
    </row>
    <row r="69" spans="1:18" ht="20.25" thickBot="1">
      <c r="A69" s="723"/>
      <c r="B69" s="724"/>
      <c r="C69" s="725"/>
      <c r="D69" s="748"/>
      <c r="E69" s="717" t="s">
        <v>657</v>
      </c>
      <c r="F69" s="1931"/>
      <c r="O69" s="1957" t="s">
        <v>1736</v>
      </c>
      <c r="P69" s="1963" t="s">
        <v>1750</v>
      </c>
      <c r="Q69" s="1956">
        <f ca="1">ROUND(Q70-Q71*Q72,0)</f>
        <v>-325</v>
      </c>
      <c r="R69" s="1959"/>
    </row>
    <row r="70" spans="1:18" ht="15.75" thickBot="1">
      <c r="A70" s="755" t="s">
        <v>1316</v>
      </c>
      <c r="B70" s="756" t="s">
        <v>1339</v>
      </c>
      <c r="C70" s="757">
        <f ca="1">ROUND(C67*10000/F70,0)</f>
        <v>0</v>
      </c>
      <c r="D70" s="758" t="s">
        <v>1340</v>
      </c>
      <c r="E70" s="759" t="s">
        <v>1341</v>
      </c>
      <c r="F70" s="760">
        <f ca="1">F43</f>
        <v>5896.96</v>
      </c>
      <c r="O70" s="1957" t="s">
        <v>1751</v>
      </c>
      <c r="P70" s="1963" t="s">
        <v>1752</v>
      </c>
      <c r="Q70" s="1956">
        <f ca="1">C39</f>
        <v>0</v>
      </c>
      <c r="R70" s="1955" t="s">
        <v>1732</v>
      </c>
    </row>
    <row r="71" spans="1:18" ht="15.75" thickBot="1">
      <c r="O71" s="1957" t="s">
        <v>1753</v>
      </c>
      <c r="P71" s="1963" t="s">
        <v>1754</v>
      </c>
      <c r="Q71" s="1956">
        <f ca="1">C13</f>
        <v>4648</v>
      </c>
      <c r="R71" s="1955" t="s">
        <v>1732</v>
      </c>
    </row>
    <row r="72" spans="1:18" ht="15.75" thickBot="1">
      <c r="O72" s="1957" t="s">
        <v>1755</v>
      </c>
      <c r="P72" s="1963" t="s">
        <v>1756</v>
      </c>
      <c r="Q72" s="1958">
        <f ca="1">J36</f>
        <v>7.0000000000000007E-2</v>
      </c>
      <c r="R72" s="1959"/>
    </row>
    <row r="73" spans="1:18" ht="15.75" thickBot="1">
      <c r="O73" s="1957" t="s">
        <v>1738</v>
      </c>
      <c r="P73" s="1955" t="s">
        <v>1745</v>
      </c>
      <c r="Q73" s="1958">
        <f>L52</f>
        <v>0</v>
      </c>
      <c r="R73" s="1959"/>
    </row>
    <row r="74" spans="1:18" ht="20.25" thickBot="1">
      <c r="O74" s="1957" t="s">
        <v>1740</v>
      </c>
      <c r="P74" s="1955" t="s">
        <v>1746</v>
      </c>
      <c r="Q74" s="1956" t="e">
        <f ca="1">L58</f>
        <v>#DIV/0!</v>
      </c>
      <c r="R74" s="1959" t="s">
        <v>1747</v>
      </c>
    </row>
    <row r="75" spans="1:18" ht="15.75" thickBot="1">
      <c r="O75" s="1957" t="s">
        <v>1769</v>
      </c>
      <c r="P75" s="1955" t="str">
        <f>K59</f>
        <v>建设期及建筑物耐用年限下的土地年期修正系数Kn</v>
      </c>
      <c r="Q75" s="1956" t="e">
        <f ca="1">L59</f>
        <v>#DIV/0!</v>
      </c>
      <c r="R75" s="1959" t="s">
        <v>1749</v>
      </c>
    </row>
    <row r="76" spans="1:18" ht="15.75" thickBot="1">
      <c r="O76" s="1954" t="s">
        <v>1743</v>
      </c>
      <c r="P76" s="1955" t="s">
        <v>1760</v>
      </c>
      <c r="Q76" s="1956" t="e">
        <f ca="1">Q66+Q67</f>
        <v>#DIV/0!</v>
      </c>
      <c r="R76" s="1959"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0" zoomScaleNormal="60" zoomScaleSheetLayoutView="80" workbookViewId="0">
      <selection activeCell="C43" sqref="C43"/>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6.2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4" t="s">
        <v>1254</v>
      </c>
      <c r="B1" s="673"/>
      <c r="C1" s="706" t="s">
        <v>2732</v>
      </c>
      <c r="D1" s="2359" t="s">
        <v>4073</v>
      </c>
      <c r="E1" s="1944" t="s">
        <v>808</v>
      </c>
      <c r="F1" s="1945">
        <f ca="1">J53</f>
        <v>37.07</v>
      </c>
      <c r="G1" s="2754">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1" t="s">
        <v>427</v>
      </c>
      <c r="B2" s="708">
        <f ca="1">C40+J29+L46</f>
        <v>2957</v>
      </c>
      <c r="C2" s="2759"/>
      <c r="D2" s="2758"/>
      <c r="E2" s="2760"/>
      <c r="F2" s="2760"/>
      <c r="G2" s="2755"/>
      <c r="H2" s="1667"/>
      <c r="I2" s="1667"/>
      <c r="J2" s="1667"/>
      <c r="K2" s="1668"/>
      <c r="L2" s="1667"/>
      <c r="M2" s="1667"/>
    </row>
    <row r="3" spans="1:33" ht="18" customHeight="1" thickBot="1">
      <c r="A3" s="765" t="s">
        <v>735</v>
      </c>
      <c r="B3" s="766">
        <f ca="1">IF(ISERROR(B2*10000/F43),0,ROUND(B2*10000/F43,0))</f>
        <v>13613</v>
      </c>
      <c r="C3" s="2759"/>
      <c r="D3" s="2758"/>
      <c r="E3" s="2760"/>
      <c r="F3" s="2760"/>
      <c r="G3" s="2755"/>
      <c r="H3" s="709" t="s">
        <v>642</v>
      </c>
      <c r="I3" s="1154"/>
      <c r="J3" s="1154"/>
      <c r="K3" s="1321"/>
      <c r="L3" s="1154"/>
      <c r="M3" s="1154"/>
    </row>
    <row r="4" spans="1:33" ht="18" customHeight="1">
      <c r="A4" s="710" t="s">
        <v>578</v>
      </c>
      <c r="B4" s="711" t="s">
        <v>579</v>
      </c>
      <c r="C4" s="711" t="s">
        <v>1259</v>
      </c>
      <c r="D4" s="711" t="s">
        <v>581</v>
      </c>
      <c r="E4" s="712" t="s">
        <v>1260</v>
      </c>
      <c r="F4" s="713"/>
      <c r="G4" s="1665"/>
      <c r="H4" s="710" t="s">
        <v>578</v>
      </c>
      <c r="I4" s="711" t="s">
        <v>579</v>
      </c>
      <c r="J4" s="711" t="s">
        <v>1259</v>
      </c>
      <c r="K4" s="711" t="s">
        <v>581</v>
      </c>
      <c r="L4" s="712" t="s">
        <v>1260</v>
      </c>
      <c r="M4" s="713"/>
    </row>
    <row r="5" spans="1:33" ht="18" customHeight="1">
      <c r="A5" s="714">
        <v>1</v>
      </c>
      <c r="B5" s="715" t="s">
        <v>1800</v>
      </c>
      <c r="C5" s="51">
        <f ca="1">C6+C10+C12</f>
        <v>182</v>
      </c>
      <c r="D5" s="1998" t="s">
        <v>1803</v>
      </c>
      <c r="E5" s="1992"/>
      <c r="F5" s="1993"/>
      <c r="G5" s="1665"/>
      <c r="H5" s="714">
        <v>1</v>
      </c>
      <c r="I5" s="715" t="s">
        <v>1800</v>
      </c>
      <c r="J5" s="51">
        <f ca="1">J6+J10+J12</f>
        <v>0</v>
      </c>
      <c r="K5" s="1998" t="s">
        <v>1803</v>
      </c>
      <c r="L5" s="1992"/>
      <c r="M5" s="1993"/>
    </row>
    <row r="6" spans="1:33" ht="18" customHeight="1">
      <c r="A6" s="1518" t="s">
        <v>1353</v>
      </c>
      <c r="B6" s="3701" t="s">
        <v>1805</v>
      </c>
      <c r="C6" s="716">
        <f ca="1">ROUND(F6*F8*F7*(1-F9)/10000,0)</f>
        <v>182</v>
      </c>
      <c r="D6" s="1999" t="s">
        <v>1804</v>
      </c>
      <c r="E6" s="717" t="s">
        <v>585</v>
      </c>
      <c r="F6" s="718">
        <f ca="1">INDIRECT("'数据-取费表'!u"&amp;$G$1)</f>
        <v>2.5499999999999998</v>
      </c>
      <c r="G6" s="1665"/>
      <c r="H6" s="2006" t="s">
        <v>1353</v>
      </c>
      <c r="I6" s="3701" t="s">
        <v>1805</v>
      </c>
      <c r="J6" s="716">
        <f ca="1">ROUND(M6*M8*M7*(1-M9)/10000,0)</f>
        <v>0</v>
      </c>
      <c r="K6" s="313" t="s">
        <v>1266</v>
      </c>
      <c r="L6" s="717" t="s">
        <v>585</v>
      </c>
      <c r="M6" s="718">
        <f ca="1">INDIRECT("'数据-取费表'!z"&amp;$G$1)</f>
        <v>0</v>
      </c>
    </row>
    <row r="7" spans="1:33" ht="18" customHeight="1">
      <c r="A7" s="2002"/>
      <c r="B7" s="3702"/>
      <c r="C7" s="721"/>
      <c r="D7" s="722"/>
      <c r="E7" s="717" t="s">
        <v>586</v>
      </c>
      <c r="F7" s="718">
        <f ca="1">IF(INDIRECT("'数据-取费表'!ah"&amp;$G$1)="",INDIRECT("'数据-取费表'!k"&amp;$G$1),INDIRECT("'数据-取费表'!ah"&amp;$G$1))</f>
        <v>2172.2399999999998</v>
      </c>
      <c r="G7" s="1665"/>
      <c r="H7" s="1991"/>
      <c r="I7" s="3702"/>
      <c r="J7" s="721"/>
      <c r="K7" s="722"/>
      <c r="L7" s="717" t="s">
        <v>586</v>
      </c>
      <c r="M7" s="718">
        <f ca="1">F7</f>
        <v>2172.2399999999998</v>
      </c>
    </row>
    <row r="8" spans="1:33" ht="18" customHeight="1">
      <c r="A8" s="1995"/>
      <c r="B8" s="3703"/>
      <c r="C8" s="721"/>
      <c r="D8" s="722"/>
      <c r="E8" s="717" t="s">
        <v>587</v>
      </c>
      <c r="F8" s="718">
        <f ca="1">INDIRECT("'数据-取费表'!ai"&amp;$G$1)</f>
        <v>365</v>
      </c>
      <c r="G8" s="1665"/>
      <c r="H8" s="1991"/>
      <c r="I8" s="3703"/>
      <c r="J8" s="721"/>
      <c r="K8" s="722"/>
      <c r="L8" s="717" t="s">
        <v>587</v>
      </c>
      <c r="M8" s="718">
        <f ca="1">INDIRECT("'数据-取费表'!ai"&amp;$G$1)</f>
        <v>365</v>
      </c>
    </row>
    <row r="9" spans="1:33" ht="18" customHeight="1">
      <c r="A9" s="719"/>
      <c r="B9" s="3704"/>
      <c r="C9" s="721"/>
      <c r="D9" s="722"/>
      <c r="E9" s="717" t="s">
        <v>588</v>
      </c>
      <c r="F9" s="727">
        <f ca="1">INDIRECT("'数据-取费表'!w"&amp;$G$1)</f>
        <v>0.1</v>
      </c>
      <c r="G9" s="3412">
        <f ca="1">C6/12*F11</f>
        <v>0.22749999999999998</v>
      </c>
      <c r="H9" s="2007"/>
      <c r="I9" s="3703"/>
      <c r="J9" s="721"/>
      <c r="K9" s="722"/>
      <c r="L9" s="728" t="s">
        <v>588</v>
      </c>
      <c r="M9" s="729">
        <f ca="1">INDIRECT("'数据-取费表'!ab"&amp;$G$1)</f>
        <v>0</v>
      </c>
    </row>
    <row r="10" spans="1:33" ht="18" customHeight="1">
      <c r="A10" s="1518" t="s">
        <v>1354</v>
      </c>
      <c r="B10" s="1996" t="s">
        <v>1801</v>
      </c>
      <c r="C10" s="732">
        <f ca="1">ROUND(IF(F10="押一",C6/12*F11,IF(F10="押二",C6/12*2*F11,IF(F10="押三",C6/12*3*F11,C11*F11))),0)</f>
        <v>0</v>
      </c>
      <c r="D10" s="2003" t="s">
        <v>2225</v>
      </c>
      <c r="E10" s="2000" t="s">
        <v>1806</v>
      </c>
      <c r="F10" s="2073" t="s">
        <v>4074</v>
      </c>
      <c r="G10" s="1665"/>
      <c r="H10" s="2034" t="s">
        <v>1354</v>
      </c>
      <c r="I10" s="2038" t="s">
        <v>1801</v>
      </c>
      <c r="J10" s="716">
        <f ca="1">ROUND(IF(M10="押一",J6/12*M11,IF(M10="押二",J6/12*2*M11,IF(M10="押三",J6/12*3*M11,J11*M11))),0)</f>
        <v>0</v>
      </c>
      <c r="K10" s="2003" t="s">
        <v>2225</v>
      </c>
      <c r="L10" s="2000" t="s">
        <v>1806</v>
      </c>
      <c r="M10" s="2073"/>
    </row>
    <row r="11" spans="1:33" ht="18" customHeight="1">
      <c r="A11" s="723"/>
      <c r="B11" s="1997" t="s">
        <v>1854</v>
      </c>
      <c r="C11" s="2001"/>
      <c r="D11" s="722"/>
      <c r="E11" s="2000" t="s">
        <v>1799</v>
      </c>
      <c r="F11" s="729">
        <f ca="1">'数据-取费表'!B39</f>
        <v>1.4999999999999999E-2</v>
      </c>
      <c r="G11" s="1665"/>
      <c r="H11" s="2035"/>
      <c r="I11" s="1997" t="s">
        <v>1854</v>
      </c>
      <c r="J11" s="2001"/>
      <c r="K11" s="285"/>
      <c r="L11" s="2000" t="s">
        <v>1799</v>
      </c>
      <c r="M11" s="1994">
        <f ca="1">'数据-取费表'!B39</f>
        <v>1.4999999999999999E-2</v>
      </c>
    </row>
    <row r="12" spans="1:33" ht="18" customHeight="1" thickBot="1">
      <c r="A12" s="2010" t="s">
        <v>1809</v>
      </c>
      <c r="B12" s="2011" t="s">
        <v>1802</v>
      </c>
      <c r="C12" s="2012"/>
      <c r="D12" s="2013"/>
      <c r="E12" s="2014"/>
      <c r="F12" s="2015"/>
      <c r="G12" s="1665"/>
      <c r="H12" s="2024" t="s">
        <v>1809</v>
      </c>
      <c r="I12" s="2036" t="s">
        <v>1802</v>
      </c>
      <c r="J12" s="2037"/>
      <c r="K12" s="2013"/>
      <c r="L12" s="2014"/>
      <c r="M12" s="2027"/>
    </row>
    <row r="13" spans="1:33" ht="18" customHeight="1" thickTop="1">
      <c r="A13" s="1517">
        <v>2</v>
      </c>
      <c r="B13" s="1515" t="s">
        <v>592</v>
      </c>
      <c r="C13" s="725">
        <f ca="1">ROUND(C29*F13,0)</f>
        <v>1423</v>
      </c>
      <c r="D13" s="1522" t="s">
        <v>1652</v>
      </c>
      <c r="E13" s="1522" t="s">
        <v>591</v>
      </c>
      <c r="F13" s="2009">
        <f ca="1">INDIRECT("'数据-取费表'!y"&amp;$G$1)</f>
        <v>1</v>
      </c>
      <c r="G13" s="1665"/>
      <c r="H13" s="1517">
        <v>2</v>
      </c>
      <c r="I13" s="1515" t="s">
        <v>592</v>
      </c>
      <c r="J13" s="1509">
        <f ca="1">ROUND(J14*J15,0)</f>
        <v>0</v>
      </c>
      <c r="K13" s="1511" t="s">
        <v>1272</v>
      </c>
      <c r="L13" s="2025"/>
      <c r="M13" s="2026"/>
    </row>
    <row r="14" spans="1:33" ht="18" customHeight="1">
      <c r="A14" s="1365" t="s">
        <v>1360</v>
      </c>
      <c r="B14" s="717" t="s">
        <v>593</v>
      </c>
      <c r="C14" s="737">
        <f ca="1">INDIRECT("'数据-取费表'!m"&amp;$G$1)+INDIRECT("'数据-取费表'!t"&amp;$G$1)</f>
        <v>1024</v>
      </c>
      <c r="D14" s="903" t="s">
        <v>1274</v>
      </c>
      <c r="E14" s="902"/>
      <c r="F14" s="738"/>
      <c r="G14" s="1665"/>
      <c r="H14" s="1366" t="s">
        <v>1353</v>
      </c>
      <c r="I14" s="1822" t="s">
        <v>2100</v>
      </c>
      <c r="J14" s="49">
        <f ca="1">C29</f>
        <v>1423</v>
      </c>
      <c r="K14" s="22"/>
      <c r="L14" s="734"/>
      <c r="M14" s="735"/>
    </row>
    <row r="15" spans="1:33" s="1673" customFormat="1" ht="18" customHeight="1" thickBot="1">
      <c r="A15" s="1365" t="s">
        <v>1361</v>
      </c>
      <c r="B15" s="717" t="s">
        <v>595</v>
      </c>
      <c r="C15" s="49">
        <f ca="1">ROUND(C14*F15,0)</f>
        <v>51</v>
      </c>
      <c r="D15" s="739" t="s">
        <v>596</v>
      </c>
      <c r="E15" s="739" t="s">
        <v>597</v>
      </c>
      <c r="F15" s="740">
        <f>'数据-取费表'!B33</f>
        <v>0.05</v>
      </c>
      <c r="G15" s="2756"/>
      <c r="H15" s="2024" t="s">
        <v>1414</v>
      </c>
      <c r="I15" s="2019" t="s">
        <v>591</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5" t="s">
        <v>1362</v>
      </c>
      <c r="B16" s="717" t="s">
        <v>598</v>
      </c>
      <c r="C16" s="49">
        <f ca="1">ROUND(INDIRECT("'数据-取费表'!m"&amp;$G$1)*F16,0)</f>
        <v>0</v>
      </c>
      <c r="D16" s="717" t="s">
        <v>596</v>
      </c>
      <c r="E16" s="717" t="s">
        <v>597</v>
      </c>
      <c r="F16" s="742">
        <f ca="1">IF(INDIRECT("'数据-取费表'!c"&amp;$G$1)="住宅",'数据-取费表'!B34,0)</f>
        <v>0</v>
      </c>
      <c r="G16" s="1665"/>
      <c r="H16" s="1517" t="s">
        <v>1277</v>
      </c>
      <c r="I16" s="1515" t="s">
        <v>1278</v>
      </c>
      <c r="J16" s="725">
        <f ca="1">ROUND(J17+J22+J23+J24,0)</f>
        <v>3</v>
      </c>
      <c r="K16" s="1511" t="s">
        <v>600</v>
      </c>
      <c r="L16" s="906"/>
      <c r="M16" s="1993"/>
    </row>
    <row r="17" spans="1:33" s="1673" customFormat="1" ht="18" customHeight="1">
      <c r="A17" s="1365" t="s">
        <v>1412</v>
      </c>
      <c r="B17" s="717" t="s">
        <v>601</v>
      </c>
      <c r="C17" s="49">
        <f ca="1">ROUND(F17*(F43+INDIRECT("'数据-取费表'!S"&amp;$G$1))/10000,0)</f>
        <v>46</v>
      </c>
      <c r="D17" s="717" t="s">
        <v>602</v>
      </c>
      <c r="E17" s="717" t="s">
        <v>603</v>
      </c>
      <c r="F17" s="52">
        <f>'数据-取费表'!B35</f>
        <v>200</v>
      </c>
      <c r="G17" s="2756"/>
      <c r="H17" s="1366" t="s">
        <v>1353</v>
      </c>
      <c r="I17" s="717" t="s">
        <v>604</v>
      </c>
      <c r="J17" s="2551">
        <f ca="1">ROUND(IF(AND(项目基本情况!B11="自然人",项目基本情况!B10="北京市"),J6*M17/(1+'数据-取费表'!C42),J18+J19+J20),2)</f>
        <v>0.12</v>
      </c>
      <c r="K17" s="903" t="s">
        <v>605</v>
      </c>
      <c r="L17" s="904" t="s">
        <v>1283</v>
      </c>
      <c r="M17" s="2550"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5" t="s">
        <v>1413</v>
      </c>
      <c r="B18" s="717" t="s">
        <v>607</v>
      </c>
      <c r="C18" s="49">
        <f ca="1">ROUND(C14*F18,0)</f>
        <v>20</v>
      </c>
      <c r="D18" s="717" t="s">
        <v>596</v>
      </c>
      <c r="E18" s="717" t="s">
        <v>597</v>
      </c>
      <c r="F18" s="742">
        <f>'数据-取费表'!B36</f>
        <v>0.02</v>
      </c>
      <c r="G18" s="2756"/>
      <c r="H18" s="1365" t="s">
        <v>1360</v>
      </c>
      <c r="I18" s="717" t="s">
        <v>608</v>
      </c>
      <c r="J18" s="49">
        <f ca="1">ROUND(J6*M18/(1+'数据-取费表'!C42),2)</f>
        <v>0</v>
      </c>
      <c r="K18" s="904" t="s">
        <v>609</v>
      </c>
      <c r="L18" s="717" t="s">
        <v>597</v>
      </c>
      <c r="M18" s="742">
        <f>'数据-取费表'!B41</f>
        <v>5.5000000000000007E-2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6" t="s">
        <v>1353</v>
      </c>
      <c r="B19" s="717" t="s">
        <v>610</v>
      </c>
      <c r="C19" s="49">
        <f ca="1">SUM(C14:C18)</f>
        <v>1141</v>
      </c>
      <c r="D19" s="239" t="s">
        <v>611</v>
      </c>
      <c r="E19" s="912"/>
      <c r="F19" s="52"/>
      <c r="G19" s="1665"/>
      <c r="H19" s="1365" t="s">
        <v>1361</v>
      </c>
      <c r="I19" s="717" t="s">
        <v>612</v>
      </c>
      <c r="J19" s="49">
        <f ca="1">IF(K19="按租金收入计税",ROUND(J6*M19/(1+'数据-取费表'!C42),1),ROUND(C29*F33*0.7,2))</f>
        <v>0</v>
      </c>
      <c r="K19" s="743" t="s">
        <v>3237</v>
      </c>
      <c r="L19" s="717" t="s">
        <v>597</v>
      </c>
      <c r="M19" s="742">
        <f>IF(K19="按租金收入计税",'数据-取费表'!B51,'数据-取费表'!B50)</f>
        <v>0.12</v>
      </c>
    </row>
    <row r="20" spans="1:33" s="1673" customFormat="1" ht="18" customHeight="1">
      <c r="A20" s="1366" t="s">
        <v>1414</v>
      </c>
      <c r="B20" s="717" t="s">
        <v>613</v>
      </c>
      <c r="C20" s="49">
        <f ca="1">ROUND(C19*F20,0)</f>
        <v>23</v>
      </c>
      <c r="D20" s="744" t="s">
        <v>614</v>
      </c>
      <c r="E20" s="717" t="s">
        <v>597</v>
      </c>
      <c r="F20" s="742">
        <f>'数据-取费表'!B37</f>
        <v>0.02</v>
      </c>
      <c r="G20" s="2756"/>
      <c r="H20" s="1368" t="s">
        <v>1362</v>
      </c>
      <c r="I20" s="313" t="s">
        <v>1289</v>
      </c>
      <c r="J20" s="50">
        <f ca="1">ROUND(M20*M21/10000,2)</f>
        <v>0.12</v>
      </c>
      <c r="K20" s="746" t="s">
        <v>1290</v>
      </c>
      <c r="L20" s="717" t="s">
        <v>1291</v>
      </c>
      <c r="M20" s="585">
        <f>'数据-取费表'!B52</f>
        <v>1.5</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6" t="s">
        <v>1415</v>
      </c>
      <c r="B21" s="717" t="s">
        <v>618</v>
      </c>
      <c r="C21" s="49" t="s">
        <v>1293</v>
      </c>
      <c r="D21" s="744" t="s">
        <v>1653</v>
      </c>
      <c r="E21" s="717" t="s">
        <v>620</v>
      </c>
      <c r="F21" s="742">
        <f>'数据-取费表'!B38</f>
        <v>0.02</v>
      </c>
      <c r="G21" s="2756"/>
      <c r="H21" s="2008"/>
      <c r="I21" s="726"/>
      <c r="J21" s="65"/>
      <c r="K21" s="748"/>
      <c r="L21" s="717" t="s">
        <v>1295</v>
      </c>
      <c r="M21" s="718">
        <f ca="1">INDIRECT("'数据-取费表'!r"&amp;$G$1)</f>
        <v>771.69999999999993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6" t="s">
        <v>1416</v>
      </c>
      <c r="B22" s="717" t="s">
        <v>622</v>
      </c>
      <c r="C22" s="49"/>
      <c r="D22" s="2042" t="str">
        <f>IF(F23&lt;=1,"单利计息。","复利计息。")&amp;"建造成本、管理费用、销售费用产生的利息。"</f>
        <v>复利计息。建造成本、管理费用、销售费用产生的利息。</v>
      </c>
      <c r="E22" s="912"/>
      <c r="F22" s="52"/>
      <c r="G22" s="1665"/>
      <c r="H22" s="1366" t="s">
        <v>1414</v>
      </c>
      <c r="I22" s="717" t="s">
        <v>623</v>
      </c>
      <c r="J22" s="49">
        <f ca="1">ROUND(J14*M22,2)</f>
        <v>2.85</v>
      </c>
      <c r="K22" s="904" t="s">
        <v>1298</v>
      </c>
      <c r="L22" s="717" t="s">
        <v>597</v>
      </c>
      <c r="M22" s="749">
        <f ca="1">INDIRECT("'数据-取费表'!Ak"&amp;$G$1)</f>
        <v>2E-3</v>
      </c>
    </row>
    <row r="23" spans="1:33" s="1673" customFormat="1" ht="18" customHeight="1">
      <c r="A23" s="1365" t="s">
        <v>1360</v>
      </c>
      <c r="B23" s="717" t="s">
        <v>1782</v>
      </c>
      <c r="C23" s="49">
        <f ca="1">ROUND(IF('数据-取费表'!B22&lt;=1,(C19+C20)*F24*F23/2,(C19+C20)*(POWER((1+F24),F23/2)-1)),0)</f>
        <v>36</v>
      </c>
      <c r="D23" s="2041" t="str">
        <f>IF(F23&lt;=1,"(建造成本+管理费用)×利率×(建设周期÷2)","(建造成本+管理费用)×((1+利率)^(建设周期÷2)-1)")</f>
        <v>(建造成本+管理费用)×((1+利率)^(建设周期÷2)-1)</v>
      </c>
      <c r="E23" s="717" t="s">
        <v>1299</v>
      </c>
      <c r="F23" s="585">
        <f>'数据-取费表'!B20</f>
        <v>2</v>
      </c>
      <c r="G23" s="2756"/>
      <c r="H23" s="1366" t="s">
        <v>1415</v>
      </c>
      <c r="I23" s="717" t="s">
        <v>626</v>
      </c>
      <c r="J23" s="49">
        <f ca="1">ROUND(J13*M23,2)</f>
        <v>0</v>
      </c>
      <c r="K23" s="904" t="s">
        <v>1300</v>
      </c>
      <c r="L23" s="717" t="s">
        <v>597</v>
      </c>
      <c r="M23" s="750">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5" t="s">
        <v>1361</v>
      </c>
      <c r="B24" s="717" t="s">
        <v>1301</v>
      </c>
      <c r="C24" s="49">
        <f ca="1">ROUND(IF('数据-取费表'!B22&lt;=1,F21*F24*F23/2,F21*(POWER((1+F24),F23/2)-1)),4)</f>
        <v>5.9999999999999995E-4</v>
      </c>
      <c r="D24" s="2041" t="str">
        <f>IF(F23&lt;=1,"销售费用×利率×(建设周期÷2)","销售费用×((1+利率)^(建设周期÷2)-1)")</f>
        <v>销售费用×((1+利率)^(建设周期÷2)-1)</v>
      </c>
      <c r="E24" s="717" t="s">
        <v>1302</v>
      </c>
      <c r="F24" s="751">
        <f ca="1">'数据-取费表'!B40</f>
        <v>3.1E-2</v>
      </c>
      <c r="G24" s="2756"/>
      <c r="H24" s="2024" t="s">
        <v>1416</v>
      </c>
      <c r="I24" s="2019" t="s">
        <v>613</v>
      </c>
      <c r="J24" s="2017">
        <f ca="1">ROUND(J5*M24,2)</f>
        <v>0</v>
      </c>
      <c r="K24" s="2018" t="s">
        <v>1303</v>
      </c>
      <c r="L24" s="2019" t="s">
        <v>597</v>
      </c>
      <c r="M24" s="2015">
        <f ca="1">INDIRECT("'数据-取费表'!Am"&amp;$G$1)</f>
        <v>0.01</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7" t="s">
        <v>1369</v>
      </c>
      <c r="B25" s="717" t="s">
        <v>631</v>
      </c>
      <c r="C25" s="49"/>
      <c r="D25" s="239" t="s">
        <v>1304</v>
      </c>
      <c r="E25" s="912"/>
      <c r="F25" s="52"/>
      <c r="G25" s="1665"/>
      <c r="H25" s="1517" t="s">
        <v>1305</v>
      </c>
      <c r="I25" s="2293" t="s">
        <v>2097</v>
      </c>
      <c r="J25" s="725">
        <f ca="1">J5-J16</f>
        <v>-3</v>
      </c>
      <c r="K25" s="2021" t="s">
        <v>1306</v>
      </c>
      <c r="L25" s="2022"/>
      <c r="M25" s="2023"/>
    </row>
    <row r="26" spans="1:33" ht="18" customHeight="1">
      <c r="A26" s="1365" t="s">
        <v>1360</v>
      </c>
      <c r="B26" s="717" t="s">
        <v>1783</v>
      </c>
      <c r="C26" s="49">
        <f ca="1">ROUND((C19+C20)*F26,0)</f>
        <v>116</v>
      </c>
      <c r="D26" s="744" t="s">
        <v>1307</v>
      </c>
      <c r="E26" s="728" t="s">
        <v>649</v>
      </c>
      <c r="F26" s="727">
        <f ca="1">INDIRECT("'数据-取费表'!q"&amp;$G$1)</f>
        <v>0.1</v>
      </c>
      <c r="G26" s="1665"/>
      <c r="H26" s="2004" t="s">
        <v>1309</v>
      </c>
      <c r="I26" s="1823" t="s">
        <v>2102</v>
      </c>
      <c r="J26" s="716">
        <f ca="1">IF(J5&lt;&gt;0,ROUND(J25*(1-((1+M28)/(1+M26))^M27)/(M26-M28),0),0)</f>
        <v>0</v>
      </c>
      <c r="K26" s="746" t="s">
        <v>651</v>
      </c>
      <c r="L26" s="717" t="s">
        <v>1771</v>
      </c>
      <c r="M26" s="727">
        <f ca="1">INDIRECT("'数据-取费表'!I"&amp;$G$1)</f>
        <v>5.5E-2</v>
      </c>
    </row>
    <row r="27" spans="1:33" ht="18" customHeight="1">
      <c r="A27" s="1365" t="s">
        <v>1361</v>
      </c>
      <c r="B27" s="717" t="s">
        <v>633</v>
      </c>
      <c r="C27" s="49">
        <f ca="1">ROUND(F21*F26,4)</f>
        <v>2E-3</v>
      </c>
      <c r="D27" s="744" t="s">
        <v>653</v>
      </c>
      <c r="E27" s="739"/>
      <c r="F27" s="740"/>
      <c r="G27" s="1665"/>
      <c r="H27" s="2005"/>
      <c r="I27" s="720"/>
      <c r="J27" s="721"/>
      <c r="K27" s="753" t="s">
        <v>654</v>
      </c>
      <c r="L27" s="717" t="s">
        <v>655</v>
      </c>
      <c r="M27" s="754">
        <f ca="1">INDIRECT("'数据-取费表'!ag"&amp;$G$1)</f>
        <v>0</v>
      </c>
    </row>
    <row r="28" spans="1:33" s="1673" customFormat="1" ht="18" customHeight="1">
      <c r="A28" s="1367" t="s">
        <v>1370</v>
      </c>
      <c r="B28" s="717" t="s">
        <v>634</v>
      </c>
      <c r="C28" s="49">
        <f>ROUND(F28/(1+'数据-取费表'!C42),4)</f>
        <v>5.2400000000000002E-2</v>
      </c>
      <c r="D28" s="744" t="s">
        <v>1654</v>
      </c>
      <c r="E28" s="717" t="s">
        <v>597</v>
      </c>
      <c r="F28" s="742">
        <f>'数据-取费表'!B41</f>
        <v>5.5000000000000007E-2</v>
      </c>
      <c r="G28" s="2756"/>
      <c r="H28" s="1517"/>
      <c r="I28" s="724"/>
      <c r="J28" s="725"/>
      <c r="K28" s="748"/>
      <c r="L28" s="717" t="s">
        <v>1315</v>
      </c>
      <c r="M28" s="727">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1655</v>
      </c>
      <c r="C29" s="2017">
        <f ca="1">ROUND((C19+C20+C23+C26)/(1-F21-C24-C27-C28),0)</f>
        <v>1423</v>
      </c>
      <c r="D29" s="2018"/>
      <c r="E29" s="2019"/>
      <c r="F29" s="2020"/>
      <c r="G29" s="2756"/>
      <c r="H29" s="755" t="s">
        <v>1316</v>
      </c>
      <c r="I29" s="756" t="s">
        <v>1317</v>
      </c>
      <c r="J29" s="757">
        <f ca="1">ROUND(J26/(1+F40)^F41,0)</f>
        <v>0</v>
      </c>
      <c r="K29" s="758" t="s">
        <v>1318</v>
      </c>
      <c r="L29" s="759"/>
      <c r="M29" s="760">
        <f ca="1">INDIRECT("'数据-取费表'!k"&amp;$G$1)</f>
        <v>2172.2399999999998</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1277</v>
      </c>
      <c r="B30" s="1515" t="s">
        <v>1278</v>
      </c>
      <c r="C30" s="725">
        <f ca="1">ROUND(C31+C36+C37+C38,0)</f>
        <v>37</v>
      </c>
      <c r="D30" s="1511" t="s">
        <v>600</v>
      </c>
      <c r="E30" s="906"/>
      <c r="F30" s="1993"/>
      <c r="G30" s="1665"/>
      <c r="H30" s="1674"/>
      <c r="I30" s="1675"/>
      <c r="J30" s="1676"/>
      <c r="K30" s="1633"/>
      <c r="L30" s="1677"/>
      <c r="M30" s="1678"/>
    </row>
    <row r="31" spans="1:33" ht="18" customHeight="1">
      <c r="A31" s="1366" t="s">
        <v>1353</v>
      </c>
      <c r="B31" s="717" t="s">
        <v>604</v>
      </c>
      <c r="C31" s="2551">
        <f ca="1">ROUND(IF(AND(项目基本情况!B11="自然人",项目基本情况!B10="北京市"),C6*F31/(1+'数据-取费表'!C42),C32+C33+C34),2)</f>
        <v>30.45</v>
      </c>
      <c r="D31" s="903" t="s">
        <v>605</v>
      </c>
      <c r="E31" s="904" t="s">
        <v>1322</v>
      </c>
      <c r="F31" s="2550" t="str">
        <f>IF(项目基本情况!B11="企业","——",IF(M47="住宅",IF(F6*F7*F8/12/(1+'数据-取费表'!F30)&gt;100000,4%,2.5%),IF(F6*F7*F8/12/(1+'数据-取费表'!F30)&gt;100000,12%,7%)))</f>
        <v>——</v>
      </c>
      <c r="G31" s="1665"/>
      <c r="H31" s="2753" t="s">
        <v>2274</v>
      </c>
      <c r="I31" s="1675"/>
      <c r="J31" s="1676"/>
      <c r="K31" s="1633"/>
      <c r="L31" s="1677"/>
      <c r="M31" s="1678"/>
    </row>
    <row r="32" spans="1:33" ht="18" customHeight="1">
      <c r="A32" s="1365" t="s">
        <v>1360</v>
      </c>
      <c r="B32" s="717" t="s">
        <v>608</v>
      </c>
      <c r="C32" s="49">
        <f ca="1">ROUND(C6*F32/(1+'数据-取费表'!C42),2)</f>
        <v>9.5299999999999994</v>
      </c>
      <c r="D32" s="904" t="s">
        <v>609</v>
      </c>
      <c r="E32" s="717" t="s">
        <v>597</v>
      </c>
      <c r="F32" s="742">
        <f>'数据-取费表'!B41</f>
        <v>5.5000000000000007E-2</v>
      </c>
      <c r="G32" s="1665"/>
      <c r="H32" s="1679"/>
      <c r="I32" s="1680"/>
      <c r="J32" s="1681"/>
      <c r="K32" s="1682"/>
      <c r="L32" s="1683"/>
      <c r="M32" s="1684"/>
    </row>
    <row r="33" spans="1:18" ht="18" customHeight="1">
      <c r="A33" s="1365" t="s">
        <v>1361</v>
      </c>
      <c r="B33" s="717" t="s">
        <v>612</v>
      </c>
      <c r="C33" s="49">
        <f ca="1">IF(D33="按租金收入计税",ROUND(C6*F33/(1+'数据-取费表'!C42),2),IF(D33="按房产原值计税",ROUND(C29*F33*0.7,2),INDIRECT("'数据-取费表'!Aj"&amp;$G$1)))</f>
        <v>20.8</v>
      </c>
      <c r="D33" s="743" t="s">
        <v>3237</v>
      </c>
      <c r="E33" s="717" t="s">
        <v>597</v>
      </c>
      <c r="F33" s="742">
        <f>IF(D33="按租金收入计税",'数据-取费表'!B51,'数据-取费表'!B50)</f>
        <v>0.12</v>
      </c>
      <c r="G33" s="1665"/>
      <c r="H33" s="1685"/>
      <c r="I33" s="1685"/>
      <c r="J33" s="1685"/>
      <c r="K33" s="1686"/>
      <c r="L33" s="1685"/>
      <c r="M33" s="1685"/>
    </row>
    <row r="34" spans="1:18" ht="18" customHeight="1">
      <c r="A34" s="1368" t="s">
        <v>1362</v>
      </c>
      <c r="B34" s="313" t="s">
        <v>1289</v>
      </c>
      <c r="C34" s="50">
        <f ca="1">ROUND(F34*F35/10000,2)</f>
        <v>0.12</v>
      </c>
      <c r="D34" s="746" t="s">
        <v>1290</v>
      </c>
      <c r="E34" s="717" t="s">
        <v>1291</v>
      </c>
      <c r="F34" s="585">
        <f>'数据-取费表'!B52</f>
        <v>1.5</v>
      </c>
      <c r="G34" s="1665"/>
      <c r="H34" s="1674"/>
      <c r="I34" s="767" t="s">
        <v>1342</v>
      </c>
      <c r="J34" s="768"/>
      <c r="K34" s="1688"/>
      <c r="L34" s="1687"/>
      <c r="M34" s="1687"/>
    </row>
    <row r="35" spans="1:18" ht="18" customHeight="1">
      <c r="A35" s="747"/>
      <c r="B35" s="726"/>
      <c r="C35" s="65"/>
      <c r="D35" s="748"/>
      <c r="E35" s="717" t="s">
        <v>1295</v>
      </c>
      <c r="F35" s="718">
        <f ca="1">INDIRECT("'数据-取费表'!r"&amp;$G$1)</f>
        <v>771.69999999999993</v>
      </c>
      <c r="G35" s="1665"/>
      <c r="H35" s="1674"/>
      <c r="I35" s="769" t="s">
        <v>1343</v>
      </c>
      <c r="J35" s="770">
        <f ca="1">ROUND(C13*J36,0)</f>
        <v>100</v>
      </c>
      <c r="K35" s="1686"/>
      <c r="L35" s="1685"/>
      <c r="M35" s="1685"/>
    </row>
    <row r="36" spans="1:18" ht="18" customHeight="1">
      <c r="A36" s="1366" t="s">
        <v>1414</v>
      </c>
      <c r="B36" s="717" t="s">
        <v>623</v>
      </c>
      <c r="C36" s="49">
        <f ca="1">ROUND(C29*F36,2)</f>
        <v>2.85</v>
      </c>
      <c r="D36" s="904" t="s">
        <v>1332</v>
      </c>
      <c r="E36" s="717" t="s">
        <v>597</v>
      </c>
      <c r="F36" s="749">
        <f ca="1">INDIRECT("'数据-取费表'!Ak"&amp;$G$1)</f>
        <v>2E-3</v>
      </c>
      <c r="G36" s="1665"/>
      <c r="H36" s="1685"/>
      <c r="I36" s="771" t="s">
        <v>1344</v>
      </c>
      <c r="J36" s="772">
        <f ca="1">INDIRECT("'数据-取费表'!j"&amp;$G$1)</f>
        <v>7.0000000000000007E-2</v>
      </c>
      <c r="K36" s="1689"/>
      <c r="L36" s="1685"/>
      <c r="M36" s="1685"/>
    </row>
    <row r="37" spans="1:18" ht="18" customHeight="1">
      <c r="A37" s="1366" t="s">
        <v>1415</v>
      </c>
      <c r="B37" s="717" t="s">
        <v>626</v>
      </c>
      <c r="C37" s="49">
        <f ca="1">ROUND(C13*F37,2)</f>
        <v>1.42</v>
      </c>
      <c r="D37" s="904" t="s">
        <v>1300</v>
      </c>
      <c r="E37" s="717" t="s">
        <v>597</v>
      </c>
      <c r="F37" s="750">
        <f ca="1">INDIRECT("'数据-取费表'!Al"&amp;$G$1)</f>
        <v>1E-3</v>
      </c>
      <c r="G37" s="1665"/>
      <c r="H37" s="1685"/>
      <c r="I37" s="773" t="s">
        <v>1345</v>
      </c>
      <c r="J37" s="774"/>
      <c r="K37" s="1689"/>
      <c r="L37" s="1685"/>
      <c r="M37" s="1685"/>
    </row>
    <row r="38" spans="1:18" ht="18" customHeight="1" thickBot="1">
      <c r="A38" s="2024" t="s">
        <v>1416</v>
      </c>
      <c r="B38" s="2019" t="s">
        <v>613</v>
      </c>
      <c r="C38" s="2017">
        <f ca="1">ROUND(C5*F38,2)</f>
        <v>1.82</v>
      </c>
      <c r="D38" s="2018" t="s">
        <v>1303</v>
      </c>
      <c r="E38" s="2019" t="s">
        <v>597</v>
      </c>
      <c r="F38" s="2015">
        <f ca="1">INDIRECT("'数据-取费表'!Am"&amp;$G$1)</f>
        <v>0.01</v>
      </c>
      <c r="G38" s="1665"/>
      <c r="H38" s="1685"/>
      <c r="I38" s="775" t="s">
        <v>1346</v>
      </c>
      <c r="J38" s="776"/>
      <c r="K38" s="1690"/>
      <c r="L38" s="1685"/>
      <c r="M38" s="1685"/>
    </row>
    <row r="39" spans="1:18" ht="24.6" customHeight="1" thickTop="1">
      <c r="A39" s="1517" t="s">
        <v>1305</v>
      </c>
      <c r="B39" s="2293" t="s">
        <v>2097</v>
      </c>
      <c r="C39" s="725">
        <f ca="1">C5-C30</f>
        <v>145</v>
      </c>
      <c r="D39" s="2021" t="s">
        <v>1306</v>
      </c>
      <c r="E39" s="2022"/>
      <c r="F39" s="2023"/>
      <c r="G39" s="1665"/>
      <c r="H39" s="1685"/>
      <c r="I39" s="769" t="s">
        <v>1347</v>
      </c>
      <c r="J39" s="777">
        <f ca="1">ROUND(J35/C39,3)</f>
        <v>0.69</v>
      </c>
      <c r="K39" s="1690"/>
      <c r="L39" s="1685"/>
      <c r="M39" s="1685"/>
    </row>
    <row r="40" spans="1:18" ht="18" customHeight="1">
      <c r="A40" s="714" t="s">
        <v>1309</v>
      </c>
      <c r="B40" s="1823" t="s">
        <v>1656</v>
      </c>
      <c r="C40" s="716">
        <f ca="1">ROUND(C39*(1-((1+F42)/(1+F40))^F41)/(F40-F42),0)</f>
        <v>2957</v>
      </c>
      <c r="D40" s="746" t="s">
        <v>651</v>
      </c>
      <c r="E40" s="717" t="s">
        <v>1771</v>
      </c>
      <c r="F40" s="727">
        <f ca="1">INDIRECT("'数据-取费表'!I"&amp;$G$1)</f>
        <v>5.5E-2</v>
      </c>
      <c r="G40" s="1665"/>
      <c r="H40" s="1665"/>
      <c r="I40" s="769" t="s">
        <v>1348</v>
      </c>
      <c r="J40" s="777">
        <f ca="1">1-J39</f>
        <v>0.31000000000000005</v>
      </c>
      <c r="K40" s="1690"/>
      <c r="L40" s="1665"/>
      <c r="M40" s="1665"/>
    </row>
    <row r="41" spans="1:18" ht="18" customHeight="1">
      <c r="A41" s="719"/>
      <c r="B41" s="720"/>
      <c r="C41" s="721"/>
      <c r="D41" s="753" t="s">
        <v>1337</v>
      </c>
      <c r="E41" s="717" t="s">
        <v>655</v>
      </c>
      <c r="F41" s="754">
        <f ca="1">IF(INDIRECT("'数据-取费表'!af"&amp;$G$1)=0,INDIRECT("'数据-取费表'!ae"&amp;$G$1),INDIRECT("'数据-取费表'!af"&amp;$G$1))</f>
        <v>37.07</v>
      </c>
      <c r="G41" s="1665"/>
      <c r="H41" s="1633"/>
      <c r="I41" s="775" t="s">
        <v>1349</v>
      </c>
      <c r="J41" s="778"/>
      <c r="K41" s="1689"/>
      <c r="L41" s="1633"/>
      <c r="M41" s="1633"/>
    </row>
    <row r="42" spans="1:18" ht="18" customHeight="1">
      <c r="A42" s="723"/>
      <c r="B42" s="724"/>
      <c r="C42" s="725"/>
      <c r="D42" s="748"/>
      <c r="E42" s="717" t="s">
        <v>1315</v>
      </c>
      <c r="F42" s="727">
        <f ca="1">INDIRECT("'数据-取费表'!v"&amp;$G$1)</f>
        <v>0.02</v>
      </c>
      <c r="G42" s="1665"/>
      <c r="H42" s="1633"/>
      <c r="I42" s="779" t="s">
        <v>1350</v>
      </c>
      <c r="J42" s="777">
        <f ca="1">ROUND(C13/C40,3)</f>
        <v>0.48099999999999998</v>
      </c>
      <c r="K42" s="1689"/>
      <c r="L42" s="1633"/>
      <c r="M42" s="1633"/>
    </row>
    <row r="43" spans="1:18" ht="18" customHeight="1" thickBot="1">
      <c r="A43" s="755" t="s">
        <v>1316</v>
      </c>
      <c r="B43" s="756" t="s">
        <v>1339</v>
      </c>
      <c r="C43" s="757">
        <f ca="1">ROUND(C40*10000/F43,0)</f>
        <v>13613</v>
      </c>
      <c r="D43" s="758" t="s">
        <v>1340</v>
      </c>
      <c r="E43" s="759" t="s">
        <v>1341</v>
      </c>
      <c r="F43" s="760">
        <f ca="1">INDIRECT("'数据-取费表'!k"&amp;$G$1)</f>
        <v>2172.2399999999998</v>
      </c>
      <c r="G43" s="1665"/>
      <c r="H43" s="1633"/>
      <c r="I43" s="779" t="s">
        <v>1351</v>
      </c>
      <c r="J43" s="780">
        <f ca="1">1-J42</f>
        <v>0.51900000000000002</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1650</v>
      </c>
      <c r="B46" s="1692"/>
      <c r="C46" s="1144">
        <f ca="1">C67-C40</f>
        <v>-3020</v>
      </c>
      <c r="D46" s="2757"/>
      <c r="E46" s="2757"/>
      <c r="F46" s="2757"/>
      <c r="I46" s="1936" t="s">
        <v>1695</v>
      </c>
      <c r="J46" s="1937"/>
      <c r="K46" s="1938"/>
      <c r="L46" s="2371">
        <f>IF(OR(M47="住宅",D1="土地（套用方法）"),0,IF(L48&gt;J51,L60,J60))</f>
        <v>0</v>
      </c>
      <c r="M46" s="2758"/>
      <c r="O46" s="1950" t="s">
        <v>1762</v>
      </c>
      <c r="P46" s="1142"/>
      <c r="Q46" s="1327"/>
      <c r="R46" s="1142"/>
    </row>
    <row r="47" spans="1:18" s="1669" customFormat="1" ht="18" customHeight="1" thickBot="1">
      <c r="A47" s="3375">
        <v>1</v>
      </c>
      <c r="B47" s="3376" t="s">
        <v>583</v>
      </c>
      <c r="C47" s="3377">
        <f ca="1">C48+C52+C54</f>
        <v>0</v>
      </c>
      <c r="D47" s="3378"/>
      <c r="E47" s="3378"/>
      <c r="F47" s="3379"/>
      <c r="I47" s="2363" t="s">
        <v>1696</v>
      </c>
      <c r="J47" s="1939" t="s">
        <v>4062</v>
      </c>
      <c r="K47" s="2368" t="s">
        <v>1701</v>
      </c>
      <c r="L47" s="2372">
        <f ca="1">INDIRECT("'数据-取费表'!d"&amp;$G$1)</f>
        <v>40</v>
      </c>
      <c r="M47" s="1327" t="str">
        <f>IF(ISNUMBER(FIND("住宅",C1)),"住宅","非住宅")</f>
        <v>非住宅</v>
      </c>
      <c r="O47" s="1951" t="s">
        <v>1727</v>
      </c>
      <c r="P47" s="1952" t="s">
        <v>1728</v>
      </c>
      <c r="Q47" s="1953" t="s">
        <v>1729</v>
      </c>
      <c r="R47" s="1952" t="s">
        <v>1730</v>
      </c>
    </row>
    <row r="48" spans="1:18" s="1669" customFormat="1" ht="18" customHeight="1" thickBot="1">
      <c r="A48" s="2081" t="s">
        <v>1395</v>
      </c>
      <c r="B48" s="2082" t="s">
        <v>1819</v>
      </c>
      <c r="C48" s="1932">
        <f ca="1">ROUND(F48*F50*F49*(1-F51)/10000,0)</f>
        <v>0</v>
      </c>
      <c r="D48" s="1933" t="s">
        <v>584</v>
      </c>
      <c r="E48" s="1934" t="s">
        <v>1651</v>
      </c>
      <c r="F48" s="1935">
        <f ca="1">M6</f>
        <v>0</v>
      </c>
      <c r="G48" s="1696"/>
      <c r="I48" s="2360" t="s">
        <v>1697</v>
      </c>
      <c r="J48" s="1940" t="s">
        <v>1702</v>
      </c>
      <c r="K48" s="2369" t="s">
        <v>1703</v>
      </c>
      <c r="L48" s="1564">
        <f ca="1">INDIRECT("'数据-取费表'!f"&amp;$G$1)</f>
        <v>39.07</v>
      </c>
      <c r="M48" s="2758"/>
      <c r="O48" s="1954" t="s">
        <v>1731</v>
      </c>
      <c r="P48" s="1955" t="s">
        <v>1757</v>
      </c>
      <c r="Q48" s="1956">
        <f ca="1">C40+J29</f>
        <v>2957</v>
      </c>
      <c r="R48" s="1955" t="s">
        <v>1732</v>
      </c>
    </row>
    <row r="49" spans="1:18" s="1669" customFormat="1" ht="18" customHeight="1" thickBot="1">
      <c r="A49" s="719"/>
      <c r="B49" s="720"/>
      <c r="C49" s="721"/>
      <c r="D49" s="722"/>
      <c r="E49" s="717" t="s">
        <v>586</v>
      </c>
      <c r="F49" s="718">
        <f ca="1">F7</f>
        <v>2172.2399999999998</v>
      </c>
      <c r="G49" s="1696"/>
      <c r="H49" s="1699"/>
      <c r="I49" s="2360" t="s">
        <v>1698</v>
      </c>
      <c r="J49" s="1941"/>
      <c r="K49" s="2370" t="s">
        <v>1704</v>
      </c>
      <c r="L49" s="1563"/>
      <c r="M49" s="2758"/>
      <c r="O49" s="1954" t="s">
        <v>1733</v>
      </c>
      <c r="P49" s="1955" t="s">
        <v>1758</v>
      </c>
      <c r="Q49" s="1956">
        <f ca="1">J60</f>
        <v>569</v>
      </c>
      <c r="R49" s="1955" t="s">
        <v>1734</v>
      </c>
    </row>
    <row r="50" spans="1:18" s="1669" customFormat="1" ht="18" customHeight="1" thickBot="1">
      <c r="A50" s="719"/>
      <c r="B50" s="720"/>
      <c r="C50" s="721"/>
      <c r="D50" s="722"/>
      <c r="E50" s="717" t="s">
        <v>587</v>
      </c>
      <c r="F50" s="718">
        <f ca="1">F8</f>
        <v>365</v>
      </c>
      <c r="H50" s="1699"/>
      <c r="I50" s="2360" t="s">
        <v>1699</v>
      </c>
      <c r="J50" s="2367">
        <f>SUMPRODUCT((I63:I65=J47)*(J62:L62=J48)*(J63:L65))</f>
        <v>60</v>
      </c>
      <c r="K50" s="2370" t="s">
        <v>1705</v>
      </c>
      <c r="L50" s="1563"/>
      <c r="M50" s="2758"/>
      <c r="O50" s="1957" t="s">
        <v>1735</v>
      </c>
      <c r="P50" s="1955" t="s">
        <v>1759</v>
      </c>
      <c r="Q50" s="1956">
        <f ca="1">C29</f>
        <v>1423</v>
      </c>
      <c r="R50" s="1955" t="s">
        <v>1732</v>
      </c>
    </row>
    <row r="51" spans="1:18" s="1669" customFormat="1" ht="18" customHeight="1" thickBot="1">
      <c r="A51" s="719"/>
      <c r="B51" s="720"/>
      <c r="C51" s="721"/>
      <c r="D51" s="722"/>
      <c r="E51" s="717" t="s">
        <v>588</v>
      </c>
      <c r="F51" s="1931"/>
      <c r="H51" s="1699"/>
      <c r="I51" s="2364" t="s">
        <v>1700</v>
      </c>
      <c r="J51" s="1564">
        <f>IF(J49="",J50,J49+J50-YEAR('数据-取费表'!B2))</f>
        <v>60</v>
      </c>
      <c r="K51" s="2360" t="s">
        <v>1706</v>
      </c>
      <c r="L51" s="2373">
        <f ca="1">ROUND(-PV(INDIRECT("'数据-取费表'!h"&amp;$G$1),J51,(C39-C13*J36),0),0)</f>
        <v>859</v>
      </c>
      <c r="M51" s="2758"/>
      <c r="O51" s="1957" t="s">
        <v>1736</v>
      </c>
      <c r="P51" s="1955" t="s">
        <v>1737</v>
      </c>
      <c r="Q51" s="1958">
        <f ca="1">J58</f>
        <v>0.4</v>
      </c>
      <c r="R51" s="1959"/>
    </row>
    <row r="52" spans="1:18" s="1669" customFormat="1" ht="18" customHeight="1" thickBot="1">
      <c r="A52" s="714" t="s">
        <v>1817</v>
      </c>
      <c r="B52" s="1996" t="s">
        <v>1801</v>
      </c>
      <c r="C52" s="732">
        <f ca="1">ROUND(IF(F52="押一",C48/12*F11,IF(F52="押二",C48/12*2*F11,IF(F52="押三",C48/12*3*F11,C53*F11))),0)</f>
        <v>0</v>
      </c>
      <c r="D52" s="2003" t="s">
        <v>2225</v>
      </c>
      <c r="E52" s="2000" t="s">
        <v>1806</v>
      </c>
      <c r="F52" s="2073"/>
      <c r="I52" s="2365" t="s">
        <v>1773</v>
      </c>
      <c r="J52" s="1942"/>
      <c r="K52" s="2365" t="s">
        <v>1772</v>
      </c>
      <c r="L52" s="1942"/>
      <c r="M52" s="2758"/>
      <c r="O52" s="1957" t="s">
        <v>1738</v>
      </c>
      <c r="P52" s="1955" t="s">
        <v>1739</v>
      </c>
      <c r="Q52" s="1958">
        <f>J52</f>
        <v>0</v>
      </c>
      <c r="R52" s="1959"/>
    </row>
    <row r="53" spans="1:18" s="1669" customFormat="1" ht="39.75" customHeight="1" thickBot="1">
      <c r="A53" s="719"/>
      <c r="B53" s="1997" t="s">
        <v>1854</v>
      </c>
      <c r="C53" s="2001"/>
      <c r="D53" s="2003"/>
      <c r="E53" s="2000"/>
      <c r="F53" s="733"/>
      <c r="I53" s="2366" t="s">
        <v>2229</v>
      </c>
      <c r="J53" s="2412">
        <f ca="1">IF(M47="住宅",IF(D1="——",MAX(J51,L48),MAX(J51,L48-'数据-取费表'!B20)),IF(D1="——",MIN(J51,L48),MIN(J51,L48-'数据-取费表'!B20)))</f>
        <v>37.07</v>
      </c>
      <c r="K53" s="3705" t="s">
        <v>2219</v>
      </c>
      <c r="L53" s="3706"/>
      <c r="M53" s="2758"/>
      <c r="O53" s="1957" t="s">
        <v>1740</v>
      </c>
      <c r="P53" s="1955" t="s">
        <v>1741</v>
      </c>
      <c r="Q53" s="1956">
        <f ca="1">J53</f>
        <v>37.07</v>
      </c>
      <c r="R53" s="1955" t="s">
        <v>1742</v>
      </c>
    </row>
    <row r="54" spans="1:18" s="1669" customFormat="1" ht="18" customHeight="1" thickBot="1">
      <c r="A54" s="2010" t="s">
        <v>1809</v>
      </c>
      <c r="B54" s="2011" t="s">
        <v>1802</v>
      </c>
      <c r="C54" s="2012"/>
      <c r="D54" s="2003"/>
      <c r="E54" s="2000"/>
      <c r="F54" s="733"/>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8"/>
      <c r="O54" s="1954" t="s">
        <v>1743</v>
      </c>
      <c r="P54" s="1955" t="s">
        <v>1760</v>
      </c>
      <c r="Q54" s="1956">
        <f ca="1">Q48+Q49</f>
        <v>3526</v>
      </c>
      <c r="R54" s="1959" t="s">
        <v>1744</v>
      </c>
    </row>
    <row r="55" spans="1:18" s="1669" customFormat="1" ht="18" customHeight="1" thickTop="1" thickBot="1">
      <c r="A55" s="730">
        <v>2</v>
      </c>
      <c r="B55" s="731" t="s">
        <v>592</v>
      </c>
      <c r="C55" s="732">
        <f ca="1">C13</f>
        <v>1423</v>
      </c>
      <c r="D55" s="728"/>
      <c r="E55" s="728"/>
      <c r="F55" s="733"/>
      <c r="I55" s="2376" t="s">
        <v>1707</v>
      </c>
      <c r="J55" s="2349">
        <f ca="1">ROUND(IF(J47="钢混",J57/J50,1-(1-2%)*(J50-J57)/J50),3)</f>
        <v>0.34899999999999998</v>
      </c>
      <c r="K55" s="2377" t="s">
        <v>1708</v>
      </c>
      <c r="L55" s="1943"/>
      <c r="M55" s="2758"/>
      <c r="O55" s="1960" t="s">
        <v>1763</v>
      </c>
      <c r="P55" s="1142"/>
      <c r="Q55" s="1327"/>
      <c r="R55" s="1142"/>
    </row>
    <row r="56" spans="1:18" s="1669" customFormat="1" ht="42.75" customHeight="1" thickBot="1">
      <c r="A56" s="1367"/>
      <c r="B56" s="1822" t="s">
        <v>1655</v>
      </c>
      <c r="C56" s="49">
        <f ca="1">C29</f>
        <v>1423</v>
      </c>
      <c r="D56" s="904"/>
      <c r="E56" s="717"/>
      <c r="F56" s="742"/>
      <c r="I56" s="2378" t="s">
        <v>1709</v>
      </c>
      <c r="J56" s="2388"/>
      <c r="K56" s="2360" t="s">
        <v>1714</v>
      </c>
      <c r="L56" s="1564" t="str">
        <f ca="1">IF(L48&lt;J51,"——",L48-J51)</f>
        <v>——</v>
      </c>
      <c r="M56" s="2758"/>
      <c r="O56" s="1951" t="s">
        <v>1727</v>
      </c>
      <c r="P56" s="1952" t="s">
        <v>1728</v>
      </c>
      <c r="Q56" s="1953" t="s">
        <v>1729</v>
      </c>
      <c r="R56" s="1952" t="s">
        <v>1730</v>
      </c>
    </row>
    <row r="57" spans="1:18" s="1669" customFormat="1" ht="28.5" customHeight="1" thickBot="1">
      <c r="A57" s="730" t="s">
        <v>1277</v>
      </c>
      <c r="B57" s="731" t="s">
        <v>599</v>
      </c>
      <c r="C57" s="732">
        <f ca="1">ROUND(C58+C63+C64+C65,0)</f>
        <v>4</v>
      </c>
      <c r="D57" s="22" t="s">
        <v>600</v>
      </c>
      <c r="E57" s="912"/>
      <c r="F57" s="52"/>
      <c r="I57" s="2379" t="s">
        <v>1710</v>
      </c>
      <c r="J57" s="2380">
        <f ca="1">IF(OR(M47="住宅",J51&lt;L48,J56="是"),"——",J51-L48)</f>
        <v>20.93</v>
      </c>
      <c r="K57" s="2360" t="s">
        <v>1715</v>
      </c>
      <c r="L57" s="1564" t="str">
        <f ca="1">IF(L48&lt;J51,"——",IF(L55="比较法",L49,IF(L55="基准地价",L50,L51)))</f>
        <v>——</v>
      </c>
      <c r="M57" s="2758"/>
      <c r="O57" s="1954" t="s">
        <v>1731</v>
      </c>
      <c r="P57" s="1955" t="s">
        <v>1757</v>
      </c>
      <c r="Q57" s="1956">
        <f ca="1">C40+J29</f>
        <v>2957</v>
      </c>
      <c r="R57" s="1955" t="s">
        <v>1732</v>
      </c>
    </row>
    <row r="58" spans="1:18" s="1669" customFormat="1" ht="28.5" customHeight="1" thickBot="1">
      <c r="A58" s="1366" t="s">
        <v>1353</v>
      </c>
      <c r="B58" s="717" t="s">
        <v>604</v>
      </c>
      <c r="C58" s="2551">
        <f ca="1">ROUND(IF(AND(项目基本情况!B11="自然人",项目基本情况!B10="北京市"),C48*F58/(1+'数据-取费表'!C42),C59+C60+C61),2)</f>
        <v>0.12</v>
      </c>
      <c r="D58" s="903" t="s">
        <v>605</v>
      </c>
      <c r="E58" s="904" t="s">
        <v>637</v>
      </c>
      <c r="F58" s="2550" t="str">
        <f>IF(项目基本情况!B11="企业","——",IF('数据-取费表'!B10="住宅",IF(F48*F49*F50/12/(1+'数据-取费表'!F30)&gt;100000,4%,2.5%),IF(F48*F49*F50/12/(1+'数据-取费表'!F30)&gt;100000,12%,7%)))</f>
        <v>——</v>
      </c>
      <c r="I58" s="2379" t="s">
        <v>1711</v>
      </c>
      <c r="J58" s="2350">
        <f ca="1">IF(J55&lt;0.4,0.4,J55)</f>
        <v>0.4</v>
      </c>
      <c r="K58" s="2360" t="s">
        <v>1716</v>
      </c>
      <c r="L58" s="1564" t="e">
        <f ca="1">ROUND(POWER(1+L52,L47-L48)*(POWER(1+L52,L48)-1)/(POWER(1+L52,L47)-1),4)</f>
        <v>#DIV/0!</v>
      </c>
      <c r="M58" s="2758"/>
      <c r="O58" s="1954" t="s">
        <v>1733</v>
      </c>
      <c r="P58" s="1955" t="s">
        <v>1764</v>
      </c>
      <c r="Q58" s="1956">
        <f ca="1">L60</f>
        <v>0</v>
      </c>
      <c r="R58" s="1959" t="s">
        <v>1766</v>
      </c>
    </row>
    <row r="59" spans="1:18" s="1669" customFormat="1" ht="28.5" customHeight="1" thickBot="1">
      <c r="A59" s="1365" t="s">
        <v>1360</v>
      </c>
      <c r="B59" s="717" t="s">
        <v>608</v>
      </c>
      <c r="C59" s="49">
        <f ca="1">ROUND(C47*F59/1.05,2)</f>
        <v>0</v>
      </c>
      <c r="D59" s="904" t="s">
        <v>609</v>
      </c>
      <c r="E59" s="717" t="s">
        <v>597</v>
      </c>
      <c r="F59" s="742">
        <f t="shared" ref="F59:F65" si="0">F32</f>
        <v>5.5000000000000007E-2</v>
      </c>
      <c r="I59" s="2379" t="s">
        <v>1712</v>
      </c>
      <c r="J59" s="2380">
        <f ca="1">IF(OR(M47="住宅",J51&lt;L48,J56="是"),"——",ROUND(C29*J58,0))</f>
        <v>569</v>
      </c>
      <c r="K59" s="2360"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8"/>
      <c r="O59" s="1957" t="s">
        <v>1735</v>
      </c>
      <c r="P59" s="1955" t="s">
        <v>1765</v>
      </c>
      <c r="Q59" s="1956">
        <f>IF(L55="比较法",L49,IF(L55="基准地价",L50,0))</f>
        <v>0</v>
      </c>
      <c r="R59" s="1955" t="s">
        <v>1732</v>
      </c>
    </row>
    <row r="60" spans="1:18" s="1669" customFormat="1" ht="18" customHeight="1" thickBot="1">
      <c r="A60" s="1365" t="s">
        <v>1361</v>
      </c>
      <c r="B60" s="717" t="s">
        <v>612</v>
      </c>
      <c r="C60" s="49">
        <f ca="1">IF(D60="按租金收入计税",ROUND(C48*F60/(1+'数据-取费表'!C42),2),IF(D60="按房产原值计税",ROUND(C56*F60*0.7,2),INDIRECT("'数据-取费表'!Aj"&amp;$G$1)))</f>
        <v>0</v>
      </c>
      <c r="D60" s="904" t="str">
        <f>D33</f>
        <v>按租金收入计税</v>
      </c>
      <c r="E60" s="717" t="s">
        <v>597</v>
      </c>
      <c r="F60" s="742">
        <f t="shared" si="0"/>
        <v>0.12</v>
      </c>
      <c r="I60" s="2381" t="s">
        <v>1713</v>
      </c>
      <c r="J60" s="2382">
        <f ca="1">IF(OR(M47="住宅",J51&lt;L48,J56="是"),"0",ROUND(J59/(1+J52)^J53,0))</f>
        <v>569</v>
      </c>
      <c r="K60" s="2383" t="s">
        <v>1718</v>
      </c>
      <c r="L60" s="2382">
        <f ca="1">IF(OR(M47="住宅",L48&lt;J51),0,ROUND(L57*(L58/L59-1),0))</f>
        <v>0</v>
      </c>
      <c r="M60" s="2758"/>
      <c r="O60" s="1957" t="s">
        <v>1736</v>
      </c>
      <c r="P60" s="1955" t="s">
        <v>1745</v>
      </c>
      <c r="Q60" s="1958">
        <f>L52</f>
        <v>0</v>
      </c>
      <c r="R60" s="1959"/>
    </row>
    <row r="61" spans="1:18" s="1669" customFormat="1" ht="18" customHeight="1" thickBot="1">
      <c r="A61" s="1368" t="s">
        <v>1362</v>
      </c>
      <c r="B61" s="313" t="s">
        <v>615</v>
      </c>
      <c r="C61" s="50">
        <f ca="1">ROUND(F61*F62/10000,2)</f>
        <v>0.12</v>
      </c>
      <c r="D61" s="746" t="s">
        <v>616</v>
      </c>
      <c r="E61" s="717" t="s">
        <v>617</v>
      </c>
      <c r="F61" s="585">
        <f t="shared" si="0"/>
        <v>1.5</v>
      </c>
      <c r="K61" s="1693"/>
      <c r="O61" s="1957" t="s">
        <v>1738</v>
      </c>
      <c r="P61" s="1955" t="s">
        <v>1746</v>
      </c>
      <c r="Q61" s="1956" t="e">
        <f ca="1">L58</f>
        <v>#DIV/0!</v>
      </c>
      <c r="R61" s="1959" t="s">
        <v>1747</v>
      </c>
    </row>
    <row r="62" spans="1:18" s="1669" customFormat="1" ht="15.75" thickBot="1">
      <c r="A62" s="747"/>
      <c r="B62" s="726"/>
      <c r="C62" s="65"/>
      <c r="D62" s="748"/>
      <c r="E62" s="717" t="s">
        <v>621</v>
      </c>
      <c r="F62" s="718">
        <f t="shared" ca="1" si="0"/>
        <v>771.69999999999993</v>
      </c>
      <c r="I62" s="2384" t="s">
        <v>1719</v>
      </c>
      <c r="J62" s="2385" t="s">
        <v>1720</v>
      </c>
      <c r="K62" s="2385" t="s">
        <v>1721</v>
      </c>
      <c r="L62" s="2385" t="s">
        <v>1702</v>
      </c>
      <c r="M62" s="2386" t="s">
        <v>2198</v>
      </c>
      <c r="O62" s="1957" t="s">
        <v>1740</v>
      </c>
      <c r="P62" s="1955" t="str">
        <f>K59</f>
        <v>建设期及建筑物耐用年限下的土地年期修正系数Kn</v>
      </c>
      <c r="Q62" s="1956" t="e">
        <f ca="1">L59</f>
        <v>#DIV/0!</v>
      </c>
      <c r="R62" s="1959" t="s">
        <v>1749</v>
      </c>
    </row>
    <row r="63" spans="1:18" s="1669" customFormat="1" ht="15.75" thickBot="1">
      <c r="A63" s="1366" t="s">
        <v>1414</v>
      </c>
      <c r="B63" s="717" t="s">
        <v>623</v>
      </c>
      <c r="C63" s="49">
        <f ca="1">ROUND(C56*F63,2)</f>
        <v>2.85</v>
      </c>
      <c r="D63" s="904" t="s">
        <v>1332</v>
      </c>
      <c r="E63" s="717" t="s">
        <v>597</v>
      </c>
      <c r="F63" s="749">
        <f t="shared" ca="1" si="0"/>
        <v>2E-3</v>
      </c>
      <c r="I63" s="2384" t="s">
        <v>1722</v>
      </c>
      <c r="J63" s="2385">
        <v>70</v>
      </c>
      <c r="K63" s="2385">
        <v>50</v>
      </c>
      <c r="L63" s="2385">
        <v>80</v>
      </c>
      <c r="M63" s="2387">
        <v>0.02</v>
      </c>
      <c r="O63" s="1954" t="s">
        <v>1743</v>
      </c>
      <c r="P63" s="1955" t="s">
        <v>1760</v>
      </c>
      <c r="Q63" s="1956">
        <f ca="1">Q57+Q58</f>
        <v>2957</v>
      </c>
      <c r="R63" s="1959" t="s">
        <v>1744</v>
      </c>
    </row>
    <row r="64" spans="1:18" s="1669" customFormat="1" ht="16.5" thickBot="1">
      <c r="A64" s="1366" t="s">
        <v>1415</v>
      </c>
      <c r="B64" s="717" t="s">
        <v>626</v>
      </c>
      <c r="C64" s="49">
        <f ca="1">ROUND(C55*F64,2)</f>
        <v>1.42</v>
      </c>
      <c r="D64" s="904" t="s">
        <v>627</v>
      </c>
      <c r="E64" s="717" t="s">
        <v>597</v>
      </c>
      <c r="F64" s="750">
        <f t="shared" ca="1" si="0"/>
        <v>1E-3</v>
      </c>
      <c r="I64" s="2384" t="s">
        <v>1723</v>
      </c>
      <c r="J64" s="2385">
        <v>50</v>
      </c>
      <c r="K64" s="2385">
        <v>35</v>
      </c>
      <c r="L64" s="2385">
        <v>60</v>
      </c>
      <c r="M64" s="778">
        <v>0</v>
      </c>
      <c r="O64" s="1960" t="s">
        <v>1767</v>
      </c>
      <c r="P64" s="1142"/>
      <c r="Q64" s="1327"/>
      <c r="R64" s="1142"/>
    </row>
    <row r="65" spans="1:18" s="1669" customFormat="1" ht="15.75" thickBot="1">
      <c r="A65" s="1366" t="s">
        <v>1416</v>
      </c>
      <c r="B65" s="717" t="s">
        <v>613</v>
      </c>
      <c r="C65" s="49">
        <f ca="1">ROUND(C47*F65,2)</f>
        <v>0</v>
      </c>
      <c r="D65" s="904" t="s">
        <v>630</v>
      </c>
      <c r="E65" s="717" t="s">
        <v>597</v>
      </c>
      <c r="F65" s="727">
        <f t="shared" ca="1" si="0"/>
        <v>0.01</v>
      </c>
      <c r="I65" s="2384" t="s">
        <v>1724</v>
      </c>
      <c r="J65" s="2385">
        <v>40</v>
      </c>
      <c r="K65" s="2385">
        <v>30</v>
      </c>
      <c r="L65" s="2385">
        <v>50</v>
      </c>
      <c r="M65" s="2387">
        <v>0.02</v>
      </c>
      <c r="O65" s="1951" t="s">
        <v>1727</v>
      </c>
      <c r="P65" s="1952" t="s">
        <v>1728</v>
      </c>
      <c r="Q65" s="1953" t="s">
        <v>1729</v>
      </c>
      <c r="R65" s="1952" t="s">
        <v>1730</v>
      </c>
    </row>
    <row r="66" spans="1:18" s="1669" customFormat="1" ht="24.75" thickBot="1">
      <c r="A66" s="730" t="s">
        <v>1305</v>
      </c>
      <c r="B66" s="2294" t="s">
        <v>2097</v>
      </c>
      <c r="C66" s="732">
        <f ca="1">C47-C57</f>
        <v>-4</v>
      </c>
      <c r="D66" s="903" t="s">
        <v>647</v>
      </c>
      <c r="E66" s="901"/>
      <c r="F66" s="752"/>
      <c r="K66" s="1693"/>
      <c r="O66" s="1954" t="s">
        <v>1731</v>
      </c>
      <c r="P66" s="1955" t="s">
        <v>1757</v>
      </c>
      <c r="Q66" s="1956">
        <f ca="1">C40+J29</f>
        <v>2957</v>
      </c>
      <c r="R66" s="1955" t="s">
        <v>1732</v>
      </c>
    </row>
    <row r="67" spans="1:18" s="1669" customFormat="1" ht="20.25" thickBot="1">
      <c r="A67" s="714" t="s">
        <v>1309</v>
      </c>
      <c r="B67" s="1823" t="s">
        <v>1656</v>
      </c>
      <c r="C67" s="716">
        <f ca="1">ROUND(C66*(1-((1+F69)/(1+F67))^F68)/(F67-F69),0)</f>
        <v>-63</v>
      </c>
      <c r="D67" s="746" t="s">
        <v>651</v>
      </c>
      <c r="E67" s="717" t="s">
        <v>652</v>
      </c>
      <c r="F67" s="727">
        <f ca="1">F40</f>
        <v>5.5E-2</v>
      </c>
      <c r="K67" s="1693"/>
      <c r="O67" s="1954" t="s">
        <v>1733</v>
      </c>
      <c r="P67" s="1955" t="s">
        <v>1764</v>
      </c>
      <c r="Q67" s="1956">
        <f ca="1">L60</f>
        <v>0</v>
      </c>
      <c r="R67" s="1959" t="s">
        <v>1766</v>
      </c>
    </row>
    <row r="68" spans="1:18" ht="21.75" thickBot="1">
      <c r="A68" s="719"/>
      <c r="B68" s="720"/>
      <c r="C68" s="721"/>
      <c r="D68" s="753" t="s">
        <v>1337</v>
      </c>
      <c r="E68" s="717" t="s">
        <v>655</v>
      </c>
      <c r="F68" s="754">
        <f ca="1">F41</f>
        <v>37.07</v>
      </c>
      <c r="O68" s="1957" t="s">
        <v>1735</v>
      </c>
      <c r="P68" s="1955" t="s">
        <v>1765</v>
      </c>
      <c r="Q68" s="1961">
        <f ca="1">L51</f>
        <v>859</v>
      </c>
      <c r="R68" s="1962" t="s">
        <v>1768</v>
      </c>
    </row>
    <row r="69" spans="1:18" ht="20.25" thickBot="1">
      <c r="A69" s="723"/>
      <c r="B69" s="724"/>
      <c r="C69" s="725"/>
      <c r="D69" s="748"/>
      <c r="E69" s="717" t="s">
        <v>657</v>
      </c>
      <c r="F69" s="1931"/>
      <c r="O69" s="1957" t="s">
        <v>1736</v>
      </c>
      <c r="P69" s="1963" t="s">
        <v>1750</v>
      </c>
      <c r="Q69" s="1956">
        <f ca="1">ROUND(Q70-Q71*Q72,0)</f>
        <v>45</v>
      </c>
      <c r="R69" s="1959"/>
    </row>
    <row r="70" spans="1:18" ht="15.75" thickBot="1">
      <c r="A70" s="755" t="s">
        <v>1316</v>
      </c>
      <c r="B70" s="756" t="s">
        <v>1339</v>
      </c>
      <c r="C70" s="757">
        <f ca="1">ROUND(C67*10000/F70,0)</f>
        <v>-290</v>
      </c>
      <c r="D70" s="758" t="s">
        <v>1340</v>
      </c>
      <c r="E70" s="759" t="s">
        <v>1341</v>
      </c>
      <c r="F70" s="760">
        <f ca="1">F43</f>
        <v>2172.2399999999998</v>
      </c>
      <c r="O70" s="1957" t="s">
        <v>1751</v>
      </c>
      <c r="P70" s="1963" t="s">
        <v>1752</v>
      </c>
      <c r="Q70" s="1956">
        <f ca="1">C39</f>
        <v>145</v>
      </c>
      <c r="R70" s="1955" t="s">
        <v>1732</v>
      </c>
    </row>
    <row r="71" spans="1:18" ht="15.75" thickBot="1">
      <c r="O71" s="1957" t="s">
        <v>1753</v>
      </c>
      <c r="P71" s="1963" t="s">
        <v>1754</v>
      </c>
      <c r="Q71" s="1956">
        <f ca="1">C13</f>
        <v>1423</v>
      </c>
      <c r="R71" s="1955" t="s">
        <v>1732</v>
      </c>
    </row>
    <row r="72" spans="1:18" ht="15.75" thickBot="1">
      <c r="O72" s="1957" t="s">
        <v>1755</v>
      </c>
      <c r="P72" s="1963" t="s">
        <v>1756</v>
      </c>
      <c r="Q72" s="1958">
        <f ca="1">J36</f>
        <v>7.0000000000000007E-2</v>
      </c>
      <c r="R72" s="1959"/>
    </row>
    <row r="73" spans="1:18" ht="15.75" thickBot="1">
      <c r="O73" s="1957" t="s">
        <v>1738</v>
      </c>
      <c r="P73" s="1955" t="s">
        <v>1745</v>
      </c>
      <c r="Q73" s="1958">
        <f>L52</f>
        <v>0</v>
      </c>
      <c r="R73" s="1959"/>
    </row>
    <row r="74" spans="1:18" ht="20.25" thickBot="1">
      <c r="O74" s="1957" t="s">
        <v>1740</v>
      </c>
      <c r="P74" s="1955" t="s">
        <v>1746</v>
      </c>
      <c r="Q74" s="1956" t="e">
        <f ca="1">L58</f>
        <v>#DIV/0!</v>
      </c>
      <c r="R74" s="1959" t="s">
        <v>1747</v>
      </c>
    </row>
    <row r="75" spans="1:18" ht="15.75" thickBot="1">
      <c r="O75" s="1957" t="s">
        <v>1769</v>
      </c>
      <c r="P75" s="1955" t="str">
        <f>K59</f>
        <v>建设期及建筑物耐用年限下的土地年期修正系数Kn</v>
      </c>
      <c r="Q75" s="1956" t="e">
        <f ca="1">L59</f>
        <v>#DIV/0!</v>
      </c>
      <c r="R75" s="1959" t="s">
        <v>1749</v>
      </c>
    </row>
    <row r="76" spans="1:18" ht="15.75" thickBot="1">
      <c r="O76" s="1954" t="s">
        <v>1743</v>
      </c>
      <c r="P76" s="1955" t="s">
        <v>1760</v>
      </c>
      <c r="Q76" s="1956">
        <f ca="1">Q66+Q67</f>
        <v>2957</v>
      </c>
      <c r="R76" s="1959"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87" priority="3">
      <formula>$F$10="自定义"</formula>
    </cfRule>
  </conditionalFormatting>
  <conditionalFormatting sqref="C53">
    <cfRule type="expression" dxfId="86" priority="1">
      <formula>$F$52="自定义"</formula>
    </cfRule>
  </conditionalFormatting>
  <conditionalFormatting sqref="I55">
    <cfRule type="expression" dxfId="85" priority="7">
      <formula>$J$51&gt;$L$48</formula>
    </cfRule>
  </conditionalFormatting>
  <conditionalFormatting sqref="I60">
    <cfRule type="expression" dxfId="84" priority="5">
      <formula>$J$51&gt;$L$48</formula>
    </cfRule>
  </conditionalFormatting>
  <conditionalFormatting sqref="J11">
    <cfRule type="expression" dxfId="83" priority="2">
      <formula>$M$10="自定义"</formula>
    </cfRule>
  </conditionalFormatting>
  <conditionalFormatting sqref="K55">
    <cfRule type="expression" dxfId="82" priority="6">
      <formula>$L$48&gt;$J$51</formula>
    </cfRule>
  </conditionalFormatting>
  <conditionalFormatting sqref="K60">
    <cfRule type="expression" dxfId="81"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3" customWidth="1"/>
    <col min="2" max="2" width="12.5" style="2743" customWidth="1"/>
    <col min="3" max="3" width="12.125" style="2743" customWidth="1"/>
    <col min="4" max="4" width="16.625" style="2743" customWidth="1"/>
    <col min="5" max="5" width="12.5" style="2743" customWidth="1"/>
    <col min="6" max="6" width="12.75" style="2743" customWidth="1"/>
    <col min="7" max="16384" width="8.875" style="2743"/>
  </cols>
  <sheetData>
    <row r="1" spans="1:14" ht="20.25">
      <c r="A1" s="2746" t="s">
        <v>2204</v>
      </c>
      <c r="B1" s="2741"/>
      <c r="C1" s="2741"/>
      <c r="D1" s="2741"/>
      <c r="E1" s="2741"/>
      <c r="F1" s="2741"/>
      <c r="G1" s="2742"/>
      <c r="H1" s="2742"/>
      <c r="I1" s="2742"/>
      <c r="J1" s="2742"/>
      <c r="K1" s="2742"/>
      <c r="L1" s="2742"/>
      <c r="M1" s="2742"/>
      <c r="N1" s="2742"/>
    </row>
    <row r="2" spans="1:14" ht="14.25">
      <c r="A2" s="2747" t="s">
        <v>2199</v>
      </c>
      <c r="B2" s="2752">
        <f ca="1">SUMIF(B7:B14,"&lt;&gt;#ref!",B7:B14)</f>
        <v>23361</v>
      </c>
      <c r="C2" s="2747" t="s">
        <v>2200</v>
      </c>
      <c r="D2" s="2744"/>
      <c r="E2" s="2744"/>
      <c r="F2" s="2744"/>
      <c r="G2" s="2742"/>
      <c r="H2" s="2742"/>
      <c r="I2" s="2742"/>
      <c r="J2" s="2742"/>
      <c r="K2" s="2742"/>
      <c r="L2" s="2742"/>
      <c r="M2" s="2742"/>
      <c r="N2" s="2742"/>
    </row>
    <row r="3" spans="1:14" ht="14.25">
      <c r="A3" s="2747" t="s">
        <v>2228</v>
      </c>
      <c r="B3" s="2752">
        <f ca="1">ROUND(B2*10000/E3,0)</f>
        <v>4575</v>
      </c>
      <c r="C3" s="2747" t="s">
        <v>1594</v>
      </c>
      <c r="D3" s="2747" t="s">
        <v>2201</v>
      </c>
      <c r="E3" s="2745">
        <f ca="1">SUMIF(E7:E14,"&lt;&gt;#ref!",E7:E14)</f>
        <v>51065.479999999996</v>
      </c>
      <c r="F3" s="2744"/>
      <c r="G3" s="2742"/>
      <c r="H3" s="2742"/>
      <c r="I3" s="2742"/>
      <c r="J3" s="2742"/>
      <c r="K3" s="2742"/>
      <c r="L3" s="2742"/>
      <c r="M3" s="2742"/>
      <c r="N3" s="2742"/>
    </row>
    <row r="4" spans="1:14" ht="14.25">
      <c r="A4" s="2747" t="s">
        <v>2207</v>
      </c>
      <c r="B4" s="2752" t="e">
        <f ca="1">ROUND(B2*10000/E4,0)</f>
        <v>#DIV/0!</v>
      </c>
      <c r="C4" s="2747" t="s">
        <v>1594</v>
      </c>
      <c r="D4" s="2747" t="s">
        <v>2208</v>
      </c>
      <c r="E4" s="2745">
        <f ca="1">SUMIF(F7:F14,"&lt;&gt;#ref!",F7:F14)</f>
        <v>0</v>
      </c>
      <c r="F4" s="2744"/>
      <c r="G4" s="2742"/>
      <c r="H4" s="2742"/>
      <c r="I4" s="2742"/>
      <c r="J4" s="2742"/>
      <c r="K4" s="2742"/>
      <c r="L4" s="2742"/>
      <c r="M4" s="2742"/>
      <c r="N4" s="2742"/>
    </row>
    <row r="5" spans="1:14" ht="14.25">
      <c r="A5" s="2748"/>
      <c r="B5" s="2744"/>
      <c r="C5" s="2744"/>
      <c r="D5" s="2744"/>
      <c r="E5" s="2744"/>
      <c r="F5" s="2744"/>
      <c r="G5" s="2742"/>
      <c r="H5" s="2742"/>
      <c r="I5" s="2742"/>
      <c r="J5" s="2742"/>
      <c r="K5" s="2742"/>
      <c r="L5" s="2742"/>
      <c r="M5" s="2742"/>
      <c r="N5" s="2742"/>
    </row>
    <row r="6" spans="1:14" ht="28.5">
      <c r="A6" s="2749" t="s">
        <v>2205</v>
      </c>
      <c r="B6" s="2747" t="s">
        <v>2202</v>
      </c>
      <c r="C6" s="2351"/>
      <c r="D6" s="2744"/>
      <c r="E6" s="2747" t="s">
        <v>2203</v>
      </c>
      <c r="F6" s="2747" t="s">
        <v>2206</v>
      </c>
      <c r="G6" s="2742"/>
      <c r="H6" s="2742"/>
      <c r="I6" s="2742"/>
      <c r="J6" s="2742"/>
      <c r="K6" s="2742"/>
      <c r="L6" s="2742"/>
      <c r="M6" s="2742"/>
      <c r="N6" s="2742"/>
    </row>
    <row r="7" spans="1:14" ht="14.25">
      <c r="A7" s="2750" t="s">
        <v>3357</v>
      </c>
      <c r="B7" s="2752">
        <f ca="1">SUMIF(INDIRECT("'"&amp;A7&amp;"'"&amp;"!A:A"),"总价",INDIRECT("'"&amp;A7&amp;"'"&amp;"!B:B"))</f>
        <v>19218</v>
      </c>
      <c r="C7" s="2747" t="s">
        <v>2200</v>
      </c>
      <c r="D7" s="2744"/>
      <c r="E7" s="2745">
        <f ca="1">SUMIF(INDIRECT("'"&amp;A7&amp;"'"&amp;"!C:C"),"建筑面积",INDIRECT("'"&amp;A7&amp;"'"&amp;"!D:D"))</f>
        <v>42996.28</v>
      </c>
      <c r="F7" s="2745">
        <f ca="1">SUMIF(INDIRECT("'"&amp;A7&amp;"'"&amp;"!E:E"),"土地面积",INDIRECT("'"&amp;A7&amp;"'"&amp;"!F:F"))</f>
        <v>0</v>
      </c>
      <c r="G7" s="2742"/>
      <c r="H7" s="2742"/>
      <c r="I7" s="2742"/>
      <c r="J7" s="2742"/>
      <c r="K7" s="2742"/>
      <c r="L7" s="2742"/>
      <c r="M7" s="2742"/>
      <c r="N7" s="2742"/>
    </row>
    <row r="8" spans="1:14" ht="14.25">
      <c r="A8" s="2750" t="s">
        <v>3358</v>
      </c>
      <c r="B8" s="2752">
        <f t="shared" ref="B8:B14" ca="1" si="0">SUMIF(INDIRECT("'"&amp;A8&amp;"'"&amp;"!A:A"),"总价",INDIRECT("'"&amp;A8&amp;"'"&amp;"!B:B"))</f>
        <v>2658</v>
      </c>
      <c r="C8" s="2747" t="s">
        <v>2200</v>
      </c>
      <c r="D8" s="2744"/>
      <c r="E8" s="2745">
        <f t="shared" ref="E8:E14" ca="1" si="1">SUMIF(INDIRECT("'"&amp;A8&amp;"'"&amp;"!C:C"),"建筑面积",INDIRECT("'"&amp;A8&amp;"'"&amp;"!D:D"))</f>
        <v>5896.96</v>
      </c>
      <c r="F8" s="2745">
        <f t="shared" ref="F8:F14" ca="1" si="2">SUMIF(INDIRECT("'"&amp;A8&amp;"'"&amp;"!E:E"),"土地面积",INDIRECT("'"&amp;A8&amp;"'"&amp;"!F:F"))</f>
        <v>0</v>
      </c>
      <c r="G8" s="2742"/>
      <c r="H8" s="2742"/>
      <c r="I8" s="2742"/>
      <c r="J8" s="2742"/>
      <c r="K8" s="2742"/>
      <c r="L8" s="2742"/>
      <c r="M8" s="2742"/>
      <c r="N8" s="2742"/>
    </row>
    <row r="9" spans="1:14" ht="14.25">
      <c r="A9" s="2750" t="s">
        <v>3359</v>
      </c>
      <c r="B9" s="2752">
        <f t="shared" ca="1" si="0"/>
        <v>1485</v>
      </c>
      <c r="C9" s="2747" t="s">
        <v>2200</v>
      </c>
      <c r="D9" s="2744"/>
      <c r="E9" s="2745">
        <f t="shared" ca="1" si="1"/>
        <v>2172.2399999999998</v>
      </c>
      <c r="F9" s="2745">
        <f t="shared" ca="1" si="2"/>
        <v>0</v>
      </c>
      <c r="G9" s="2742"/>
      <c r="H9" s="2742"/>
      <c r="I9" s="2742"/>
      <c r="J9" s="2742"/>
      <c r="K9" s="2742"/>
      <c r="L9" s="2742"/>
      <c r="M9" s="2742"/>
      <c r="N9" s="2742"/>
    </row>
    <row r="10" spans="1:14" ht="14.25">
      <c r="A10" s="2750"/>
      <c r="B10" s="2752" t="e">
        <f t="shared" ca="1" si="0"/>
        <v>#REF!</v>
      </c>
      <c r="C10" s="2747" t="s">
        <v>2200</v>
      </c>
      <c r="D10" s="2744"/>
      <c r="E10" s="2745" t="e">
        <f t="shared" ca="1" si="1"/>
        <v>#REF!</v>
      </c>
      <c r="F10" s="2745" t="e">
        <f t="shared" ca="1" si="2"/>
        <v>#REF!</v>
      </c>
      <c r="G10" s="2742"/>
      <c r="H10" s="2742"/>
      <c r="I10" s="2742"/>
      <c r="J10" s="2742"/>
      <c r="K10" s="2742"/>
      <c r="L10" s="2742"/>
      <c r="M10" s="2742"/>
      <c r="N10" s="2742"/>
    </row>
    <row r="11" spans="1:14" ht="14.25">
      <c r="A11" s="2750"/>
      <c r="B11" s="2752" t="e">
        <f t="shared" ca="1" si="0"/>
        <v>#REF!</v>
      </c>
      <c r="C11" s="2747" t="s">
        <v>2200</v>
      </c>
      <c r="D11" s="2744"/>
      <c r="E11" s="2745" t="e">
        <f t="shared" ca="1" si="1"/>
        <v>#REF!</v>
      </c>
      <c r="F11" s="2745" t="e">
        <f t="shared" ca="1" si="2"/>
        <v>#REF!</v>
      </c>
      <c r="G11" s="2742"/>
      <c r="H11" s="2742"/>
      <c r="I11" s="2742"/>
      <c r="J11" s="2742"/>
      <c r="K11" s="2742"/>
      <c r="L11" s="2742"/>
      <c r="M11" s="2742"/>
      <c r="N11" s="2742"/>
    </row>
    <row r="12" spans="1:14" ht="14.25">
      <c r="A12" s="2750"/>
      <c r="B12" s="2752" t="e">
        <f t="shared" ca="1" si="0"/>
        <v>#REF!</v>
      </c>
      <c r="C12" s="2747" t="s">
        <v>2200</v>
      </c>
      <c r="D12" s="2744"/>
      <c r="E12" s="2745" t="e">
        <f t="shared" ca="1" si="1"/>
        <v>#REF!</v>
      </c>
      <c r="F12" s="2745" t="e">
        <f t="shared" ca="1" si="2"/>
        <v>#REF!</v>
      </c>
      <c r="G12" s="2742"/>
      <c r="H12" s="2742"/>
      <c r="I12" s="2742"/>
      <c r="J12" s="2742"/>
      <c r="K12" s="2742"/>
      <c r="L12" s="2742"/>
      <c r="M12" s="2742"/>
      <c r="N12" s="2742"/>
    </row>
    <row r="13" spans="1:14" ht="14.25">
      <c r="A13" s="2750"/>
      <c r="B13" s="2752" t="e">
        <f t="shared" ca="1" si="0"/>
        <v>#REF!</v>
      </c>
      <c r="C13" s="2747" t="s">
        <v>2200</v>
      </c>
      <c r="D13" s="2744"/>
      <c r="E13" s="2745" t="e">
        <f t="shared" ca="1" si="1"/>
        <v>#REF!</v>
      </c>
      <c r="F13" s="2745" t="e">
        <f t="shared" ca="1" si="2"/>
        <v>#REF!</v>
      </c>
      <c r="G13" s="2742"/>
      <c r="H13" s="2742"/>
      <c r="I13" s="2742"/>
      <c r="J13" s="2742"/>
      <c r="K13" s="2742"/>
      <c r="L13" s="2742"/>
      <c r="M13" s="2742"/>
      <c r="N13" s="2742"/>
    </row>
    <row r="14" spans="1:14" ht="14.25">
      <c r="A14" s="2751"/>
      <c r="B14" s="2752" t="e">
        <f t="shared" ca="1" si="0"/>
        <v>#REF!</v>
      </c>
      <c r="C14" s="2747" t="s">
        <v>2200</v>
      </c>
      <c r="D14" s="2744"/>
      <c r="E14" s="2745" t="e">
        <f t="shared" ca="1" si="1"/>
        <v>#REF!</v>
      </c>
      <c r="F14" s="2745" t="e">
        <f t="shared" ca="1" si="2"/>
        <v>#REF!</v>
      </c>
      <c r="G14" s="2742"/>
      <c r="H14" s="2742"/>
      <c r="I14" s="2742"/>
      <c r="J14" s="2742"/>
      <c r="K14" s="2742"/>
      <c r="L14" s="2742"/>
      <c r="M14" s="2742"/>
      <c r="N14" s="2742"/>
    </row>
    <row r="15" spans="1:14">
      <c r="A15" s="2742"/>
      <c r="B15" s="2742"/>
      <c r="C15" s="2742"/>
      <c r="D15" s="2742"/>
      <c r="E15" s="2742"/>
      <c r="F15" s="2742"/>
      <c r="G15" s="2742"/>
      <c r="H15" s="2742"/>
      <c r="I15" s="2742"/>
      <c r="J15" s="2742"/>
      <c r="K15" s="2742"/>
      <c r="L15" s="2742"/>
      <c r="M15" s="2742"/>
      <c r="N15" s="2742"/>
    </row>
    <row r="16" spans="1:14">
      <c r="A16" s="2742"/>
      <c r="B16" s="2742"/>
      <c r="C16" s="2742"/>
      <c r="D16" s="2742"/>
      <c r="E16" s="2742"/>
      <c r="F16" s="2742"/>
      <c r="G16" s="2742"/>
      <c r="H16" s="2742"/>
      <c r="I16" s="2742"/>
      <c r="J16" s="2742"/>
      <c r="K16" s="2742"/>
      <c r="L16" s="2742"/>
      <c r="M16" s="2742"/>
      <c r="N16" s="2742"/>
    </row>
    <row r="17" spans="1:14">
      <c r="A17" s="2742"/>
      <c r="B17" s="2742"/>
      <c r="C17" s="2742"/>
      <c r="D17" s="2742"/>
      <c r="E17" s="2742"/>
      <c r="F17" s="2742"/>
      <c r="G17" s="2742"/>
      <c r="H17" s="2742"/>
      <c r="I17" s="2742"/>
      <c r="J17" s="2742"/>
      <c r="K17" s="2742"/>
      <c r="L17" s="2742"/>
      <c r="M17" s="2742"/>
      <c r="N17" s="2742"/>
    </row>
    <row r="18" spans="1:14">
      <c r="A18" s="2742"/>
      <c r="B18" s="2742"/>
      <c r="C18" s="2742"/>
      <c r="D18" s="2742"/>
      <c r="E18" s="2742"/>
      <c r="F18" s="2742"/>
      <c r="G18" s="2742"/>
      <c r="H18" s="2742"/>
      <c r="I18" s="2742"/>
      <c r="J18" s="2742"/>
      <c r="K18" s="2742"/>
      <c r="L18" s="2742"/>
      <c r="M18" s="2742"/>
      <c r="N18" s="2742"/>
    </row>
    <row r="19" spans="1:14">
      <c r="A19" s="2742"/>
      <c r="B19" s="2742"/>
      <c r="C19" s="2742"/>
      <c r="D19" s="2742"/>
      <c r="E19" s="2742"/>
      <c r="F19" s="2742"/>
      <c r="G19" s="2742"/>
      <c r="H19" s="2742"/>
      <c r="I19" s="2742"/>
      <c r="J19" s="2742"/>
      <c r="K19" s="2742"/>
      <c r="L19" s="2742"/>
      <c r="M19" s="2742"/>
      <c r="N19" s="2742"/>
    </row>
    <row r="20" spans="1:14">
      <c r="A20" s="2742"/>
      <c r="B20" s="2742"/>
      <c r="C20" s="2742"/>
      <c r="D20" s="2742"/>
      <c r="E20" s="2742"/>
      <c r="F20" s="2742"/>
      <c r="G20" s="2742"/>
      <c r="H20" s="2742"/>
      <c r="I20" s="2742"/>
      <c r="J20" s="2742"/>
      <c r="K20" s="2742"/>
      <c r="L20" s="2742"/>
      <c r="M20" s="2742"/>
      <c r="N20" s="2742"/>
    </row>
    <row r="21" spans="1:14">
      <c r="A21" s="2742"/>
      <c r="B21" s="2742"/>
      <c r="C21" s="2742"/>
      <c r="D21" s="2742"/>
      <c r="E21" s="2742"/>
      <c r="F21" s="2742"/>
      <c r="G21" s="2742"/>
      <c r="H21" s="2742"/>
      <c r="I21" s="2742"/>
      <c r="J21" s="2742"/>
      <c r="K21" s="2742"/>
      <c r="L21" s="2742"/>
      <c r="M21" s="2742"/>
      <c r="N21" s="2742"/>
    </row>
    <row r="22" spans="1:14">
      <c r="A22" s="2742"/>
      <c r="B22" s="2742"/>
      <c r="C22" s="2742"/>
      <c r="D22" s="2742"/>
      <c r="E22" s="2742"/>
      <c r="F22" s="2742"/>
      <c r="G22" s="2742"/>
      <c r="H22" s="2742"/>
      <c r="I22" s="2742"/>
      <c r="J22" s="2742"/>
      <c r="K22" s="2742"/>
      <c r="L22" s="2742"/>
      <c r="M22" s="2742"/>
      <c r="N22" s="2742"/>
    </row>
    <row r="23" spans="1:14">
      <c r="A23" s="2742"/>
      <c r="B23" s="2742"/>
      <c r="C23" s="2742"/>
      <c r="D23" s="2742"/>
      <c r="E23" s="2742"/>
      <c r="F23" s="2742"/>
      <c r="G23" s="2742"/>
      <c r="H23" s="2742"/>
      <c r="I23" s="2742"/>
      <c r="J23" s="2742"/>
      <c r="K23" s="2742"/>
      <c r="L23" s="2742"/>
      <c r="M23" s="2742"/>
      <c r="N23" s="2742"/>
    </row>
    <row r="24" spans="1:14">
      <c r="A24" s="2742"/>
      <c r="B24" s="2742"/>
      <c r="C24" s="2742"/>
      <c r="D24" s="2742"/>
      <c r="E24" s="2742"/>
      <c r="F24" s="2742"/>
      <c r="G24" s="2742"/>
      <c r="H24" s="2742"/>
      <c r="I24" s="2742"/>
      <c r="J24" s="2742"/>
      <c r="K24" s="2742"/>
      <c r="L24" s="2742"/>
      <c r="M24" s="2742"/>
      <c r="N24" s="2742"/>
    </row>
    <row r="25" spans="1:14">
      <c r="A25" s="2742"/>
      <c r="B25" s="2742"/>
      <c r="C25" s="2742"/>
      <c r="D25" s="2742"/>
      <c r="E25" s="2742"/>
      <c r="F25" s="2742"/>
      <c r="G25" s="2742"/>
      <c r="H25" s="2742"/>
      <c r="I25" s="2742"/>
      <c r="J25" s="2742"/>
      <c r="K25" s="2742"/>
      <c r="L25" s="2742"/>
      <c r="M25" s="2742"/>
      <c r="N25" s="2742"/>
    </row>
    <row r="26" spans="1:14">
      <c r="A26" s="2742"/>
      <c r="B26" s="2742"/>
      <c r="C26" s="2742"/>
      <c r="D26" s="2742"/>
      <c r="E26" s="2742"/>
      <c r="F26" s="2742"/>
      <c r="G26" s="2742"/>
      <c r="H26" s="2742"/>
      <c r="I26" s="2742"/>
      <c r="J26" s="2742"/>
      <c r="K26" s="2742"/>
      <c r="L26" s="2742"/>
      <c r="M26" s="2742"/>
      <c r="N26" s="2742"/>
    </row>
    <row r="27" spans="1:14">
      <c r="A27" s="2742"/>
      <c r="B27" s="2742"/>
      <c r="C27" s="2742"/>
      <c r="D27" s="2742"/>
      <c r="E27" s="2742"/>
      <c r="F27" s="2742"/>
      <c r="G27" s="2742"/>
      <c r="H27" s="2742"/>
      <c r="I27" s="2742"/>
      <c r="J27" s="2742"/>
      <c r="K27" s="2742"/>
      <c r="L27" s="2742"/>
      <c r="M27" s="2742"/>
      <c r="N27" s="2742"/>
    </row>
    <row r="28" spans="1:14">
      <c r="A28" s="2742"/>
      <c r="B28" s="2742"/>
      <c r="C28" s="2742"/>
      <c r="D28" s="2742"/>
      <c r="E28" s="2742"/>
      <c r="F28" s="2742"/>
      <c r="G28" s="2742"/>
      <c r="H28" s="2742"/>
      <c r="I28" s="2742"/>
      <c r="J28" s="2742"/>
      <c r="K28" s="2742"/>
      <c r="L28" s="2742"/>
      <c r="M28" s="2742"/>
      <c r="N28" s="2742"/>
    </row>
    <row r="29" spans="1:14">
      <c r="A29" s="2742"/>
      <c r="B29" s="2742"/>
      <c r="C29" s="2742"/>
      <c r="D29" s="2742"/>
      <c r="E29" s="2742"/>
      <c r="F29" s="2742"/>
      <c r="G29" s="2742"/>
      <c r="H29" s="2742"/>
      <c r="I29" s="2742"/>
      <c r="J29" s="2742"/>
      <c r="K29" s="2742"/>
      <c r="L29" s="2742"/>
      <c r="M29" s="2742"/>
      <c r="N29" s="274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5" customWidth="1"/>
    <col min="2" max="2" width="24.625" style="1271" customWidth="1"/>
    <col min="3" max="4" width="12" style="1186"/>
    <col min="5" max="5" width="14.625" style="1186" customWidth="1"/>
    <col min="6" max="8" width="12" style="1186"/>
    <col min="9" max="9" width="12.25" style="1186" bestFit="1" customWidth="1"/>
    <col min="10" max="10" width="12" style="1186"/>
    <col min="11" max="11" width="9.625" style="1183" customWidth="1"/>
    <col min="12" max="12" width="15.75" style="1186" customWidth="1"/>
    <col min="13" max="14" width="10.625" style="1186" customWidth="1"/>
    <col min="15" max="17" width="12" style="1186"/>
    <col min="18" max="18" width="12" style="1185"/>
    <col min="19" max="22" width="15.5" style="1185" customWidth="1"/>
    <col min="23" max="28" width="12" style="1186"/>
    <col min="29" max="29" width="9.375" style="1185" customWidth="1"/>
    <col min="30" max="35" width="9.375" style="1184" customWidth="1"/>
    <col min="36" max="39" width="9.375" style="1185" customWidth="1"/>
    <col min="40" max="41" width="9.375" style="1186" customWidth="1"/>
    <col min="42" max="16384" width="12" style="1186"/>
  </cols>
  <sheetData>
    <row r="1" spans="1:39" ht="20.25">
      <c r="A1" s="1180" t="s">
        <v>1227</v>
      </c>
      <c r="B1" s="1181"/>
      <c r="C1" s="1187" t="s">
        <v>1776</v>
      </c>
      <c r="D1" s="1264">
        <f>SUM(D33:D34,D37:D42)</f>
        <v>42996.28</v>
      </c>
      <c r="E1" s="1187" t="s">
        <v>1777</v>
      </c>
      <c r="F1" s="1249"/>
      <c r="G1" s="1182"/>
      <c r="H1" s="1182"/>
      <c r="I1" s="1182"/>
      <c r="J1" s="1182"/>
      <c r="K1" s="1786"/>
      <c r="L1" s="1538" t="s">
        <v>1595</v>
      </c>
      <c r="M1" s="1539">
        <f>SUMPRODUCT((区片价!B5:B9=I2)*(区片价!C3:G3=E2)*(区片价!C5:G9))</f>
        <v>0</v>
      </c>
      <c r="N1" s="1540">
        <f>SUMPRODUCT((因素修正幅度!B5:B9=I2)*(因素修正幅度!C3:G3=E2)*(因素修正幅度!C5:G9))</f>
        <v>0</v>
      </c>
      <c r="O1" s="1786"/>
      <c r="P1" s="1786"/>
      <c r="Q1" s="1786"/>
      <c r="R1" s="2228" t="s">
        <v>2041</v>
      </c>
      <c r="S1" s="2228" t="s">
        <v>2042</v>
      </c>
      <c r="T1" s="2228" t="s">
        <v>2059</v>
      </c>
      <c r="U1" s="2228" t="s">
        <v>2060</v>
      </c>
      <c r="V1" s="2228" t="s">
        <v>2061</v>
      </c>
      <c r="W1" s="1786"/>
      <c r="X1" s="1786"/>
      <c r="Y1" s="1786"/>
      <c r="Z1" s="1786"/>
      <c r="AA1" s="1786"/>
      <c r="AB1" s="1786"/>
      <c r="AC1" s="1787"/>
    </row>
    <row r="2" spans="1:39" ht="15.75">
      <c r="A2" s="1187" t="s">
        <v>848</v>
      </c>
      <c r="B2" s="938">
        <f>C30</f>
        <v>19218</v>
      </c>
      <c r="C2" s="1188" t="s">
        <v>849</v>
      </c>
      <c r="D2" s="1189" t="s">
        <v>850</v>
      </c>
      <c r="E2" s="1190" t="s">
        <v>851</v>
      </c>
      <c r="F2" s="1189" t="s">
        <v>852</v>
      </c>
      <c r="G2" s="1369" t="str">
        <f>IF(E2="商业",项目基本情况!B43,IF(E2="办公",项目基本情况!C43,IF(E2="住宅",项目基本情况!D43,IF(E2="工业",项目基本情况!E43,项目基本情况!F43))))</f>
        <v>九级</v>
      </c>
      <c r="H2" s="1189" t="s">
        <v>854</v>
      </c>
      <c r="I2" s="943" t="str">
        <f>IF(E2="商业",项目基本情况!B44,IF(E2="办公",项目基本情况!C44,IF(E2="住宅",项目基本情况!D44,IF(E2="工业",项目基本情况!E44,项目基本情况!F44))))</f>
        <v>Ⅸ-兴3</v>
      </c>
      <c r="J2" s="1182"/>
      <c r="K2" s="1786"/>
      <c r="L2" s="1541" t="s">
        <v>1596</v>
      </c>
      <c r="M2" s="1542">
        <f>SUMPRODUCT((区片价!B10:B29=I2)*(区片价!C3:G3=E2)*(区片价!C10:G29))</f>
        <v>0</v>
      </c>
      <c r="N2" s="1543">
        <f>SUMPRODUCT((因素修正幅度!B10:B29=I2)*(因素修正幅度!C3:G3=E2)*(因素修正幅度!C10:G29))</f>
        <v>0</v>
      </c>
      <c r="O2" s="1786"/>
      <c r="P2" s="1786"/>
      <c r="Q2" s="1786"/>
      <c r="R2" s="2229">
        <v>1</v>
      </c>
      <c r="S2" s="2229">
        <f>ROUND(SUMPRODUCT((B107:B111=R2)*(C106:N106=G2)*(C107:N111)),4)</f>
        <v>1.5418000000000001</v>
      </c>
      <c r="T2" s="2229">
        <f>ROUND($C$5*$C$22*$C$23*$C$24*S2*$C$28,0)</f>
        <v>9085</v>
      </c>
      <c r="U2" s="2219"/>
      <c r="V2" s="2229">
        <f>ROUND(T2*U2/10000,0)</f>
        <v>0</v>
      </c>
      <c r="W2" s="1786"/>
      <c r="X2" s="1786"/>
      <c r="Y2" s="1786"/>
      <c r="Z2" s="1786"/>
      <c r="AA2" s="1786"/>
      <c r="AB2" s="1786"/>
      <c r="AC2" s="1787"/>
    </row>
    <row r="3" spans="1:39" ht="15.75">
      <c r="A3" s="1191" t="s">
        <v>1220</v>
      </c>
      <c r="B3" s="938">
        <f>ROUND(B2*10000/D1,0)</f>
        <v>4470</v>
      </c>
      <c r="C3" s="1188" t="s">
        <v>855</v>
      </c>
      <c r="D3" s="1189" t="s">
        <v>856</v>
      </c>
      <c r="E3" s="1192" t="s">
        <v>3347</v>
      </c>
      <c r="F3" s="1193" t="s">
        <v>3348</v>
      </c>
      <c r="G3" s="939">
        <f>IF(F3="宗地容积率",'数据-汇总表'!I4,IF(F3="估价对象容积率",'数据-汇总表'!I6,'数据-汇总表'!I7))</f>
        <v>2</v>
      </c>
      <c r="H3" s="1189" t="s">
        <v>857</v>
      </c>
      <c r="I3" s="940"/>
      <c r="J3" s="1182" t="s">
        <v>858</v>
      </c>
      <c r="K3" s="1786"/>
      <c r="L3" s="1541" t="s">
        <v>1597</v>
      </c>
      <c r="M3" s="1542">
        <f>SUMPRODUCT((区片价!B30:B54=I2)*(区片价!C3:G3=E2)*(区片价!C30:G54))</f>
        <v>0</v>
      </c>
      <c r="N3" s="1543">
        <f>SUMPRODUCT((因素修正幅度!B30:B54=I2)*(因素修正幅度!C3:G3=E2)*(因素修正幅度!C30:G54))</f>
        <v>0</v>
      </c>
      <c r="O3" s="1786"/>
      <c r="P3" s="1786"/>
      <c r="Q3" s="1786"/>
      <c r="R3" s="2229">
        <v>2</v>
      </c>
      <c r="S3" s="2229">
        <f>ROUND(SUMPRODUCT((B107:B111=R3)*(C106:N106=G2)*(C107:N111)),4)</f>
        <v>1.1883999999999999</v>
      </c>
      <c r="T3" s="2229">
        <f t="shared" ref="T3:T16" si="0">ROUND($C$5*$C$22*$C$23*$C$24*S3*$C$28,0)</f>
        <v>7003</v>
      </c>
      <c r="U3" s="2219"/>
      <c r="V3" s="2229">
        <f t="shared" ref="V3:V16" si="1">ROUND(T3*U3/10000,0)</f>
        <v>0</v>
      </c>
      <c r="W3" s="1786"/>
      <c r="X3" s="1786"/>
      <c r="Y3" s="1786"/>
      <c r="Z3" s="1786"/>
      <c r="AA3" s="1786"/>
      <c r="AB3" s="1786"/>
      <c r="AC3" s="1787"/>
    </row>
    <row r="4" spans="1:39" ht="28.5">
      <c r="A4" s="1547" t="s">
        <v>1636</v>
      </c>
      <c r="B4" s="1967" t="e">
        <f>ROUND(B2*10000/F1,0)</f>
        <v>#DIV/0!</v>
      </c>
      <c r="C4" s="1550" t="s">
        <v>1611</v>
      </c>
      <c r="D4" s="1550" t="e">
        <f>ROUND(B2/(F1/666.67),0)</f>
        <v>#DIV/0!</v>
      </c>
      <c r="E4" s="1550" t="s">
        <v>1612</v>
      </c>
      <c r="F4" s="1548"/>
      <c r="G4" s="1548"/>
      <c r="H4" s="1548"/>
      <c r="I4" s="1548"/>
      <c r="J4" s="1549"/>
      <c r="K4" s="2733"/>
      <c r="L4" s="1541" t="s">
        <v>1598</v>
      </c>
      <c r="M4" s="1542">
        <f>SUMPRODUCT((区片价!B55:B86=I2)*(区片价!C3:G3=E2)*(区片价!C55:G86))</f>
        <v>0</v>
      </c>
      <c r="N4" s="1543">
        <f>SUMPRODUCT((因素修正幅度!B55:B86=I2)*(因素修正幅度!C3:G3=E2)*(因素修正幅度!C55:G86))</f>
        <v>0</v>
      </c>
      <c r="O4" s="2733"/>
      <c r="P4" s="1786"/>
      <c r="Q4" s="1786"/>
      <c r="R4" s="2229">
        <v>3</v>
      </c>
      <c r="S4" s="2229">
        <f>ROUND(SUMPRODUCT((B107:B111=R4)*(C106:N106=G2)*(C107:N111)),4)</f>
        <v>0.96940000000000004</v>
      </c>
      <c r="T4" s="2229">
        <f t="shared" si="0"/>
        <v>5712</v>
      </c>
      <c r="U4" s="2219"/>
      <c r="V4" s="2229">
        <f t="shared" si="1"/>
        <v>0</v>
      </c>
      <c r="W4" s="1786"/>
      <c r="X4" s="1786"/>
      <c r="Y4" s="1786"/>
      <c r="Z4" s="1786"/>
      <c r="AA4" s="1786"/>
      <c r="AB4" s="1786"/>
      <c r="AC4" s="1787"/>
    </row>
    <row r="5" spans="1:39" s="1200" customFormat="1" ht="15.75" thickBot="1">
      <c r="A5" s="1356" t="s">
        <v>1352</v>
      </c>
      <c r="B5" s="1194" t="s">
        <v>859</v>
      </c>
      <c r="C5" s="941">
        <f>ROUND(IF(E2="商业",C6*C7*C17+C20,(IF(E2="住宅",C6*C13*C17+C20,IF(E2="办公",C6*C12*C17+C20,C6+C20)))),0)</f>
        <v>5523</v>
      </c>
      <c r="D5" s="2354">
        <f>ROUND(C6*C17+C20,0)</f>
        <v>5523</v>
      </c>
      <c r="E5" s="2354"/>
      <c r="F5" s="1195"/>
      <c r="G5" s="1196"/>
      <c r="H5" s="1196"/>
      <c r="I5" s="1196"/>
      <c r="J5" s="1197"/>
      <c r="K5" s="2734"/>
      <c r="L5" s="1541" t="s">
        <v>1599</v>
      </c>
      <c r="M5" s="1542">
        <f>SUMPRODUCT((区片价!B87:B126=I2)*(区片价!C3:G3=E2)*(区片价!C87:G126))</f>
        <v>0</v>
      </c>
      <c r="N5" s="1543">
        <f>SUMPRODUCT((因素修正幅度!B87:B126=I2)*(因素修正幅度!C3:G3=E2)*(因素修正幅度!C87:G126))</f>
        <v>0</v>
      </c>
      <c r="O5" s="2734"/>
      <c r="P5" s="2736"/>
      <c r="Q5" s="1786"/>
      <c r="R5" s="2229">
        <v>4</v>
      </c>
      <c r="S5" s="2229">
        <f>ROUND(SUMPRODUCT((B107:B111=R5)*(C106:N106=G2)*(C107:N111)),4)</f>
        <v>0.82299999999999995</v>
      </c>
      <c r="T5" s="2229">
        <f t="shared" si="0"/>
        <v>4850</v>
      </c>
      <c r="U5" s="2219"/>
      <c r="V5" s="2229">
        <f t="shared" si="1"/>
        <v>0</v>
      </c>
      <c r="W5" s="1786"/>
      <c r="X5" s="1786"/>
      <c r="Y5" s="1786"/>
      <c r="Z5" s="1786"/>
      <c r="AA5" s="1786"/>
      <c r="AB5" s="1786"/>
      <c r="AC5" s="1788"/>
      <c r="AD5" s="1198"/>
      <c r="AE5" s="1198"/>
      <c r="AF5" s="1198"/>
      <c r="AG5" s="1198"/>
      <c r="AH5" s="1198"/>
      <c r="AI5" s="1198"/>
      <c r="AJ5" s="1199"/>
      <c r="AK5" s="1199"/>
      <c r="AL5" s="1199"/>
      <c r="AM5" s="1199"/>
    </row>
    <row r="6" spans="1:39" ht="15.75" thickBot="1">
      <c r="A6" s="3244" t="s">
        <v>1395</v>
      </c>
      <c r="B6" s="1201" t="s">
        <v>859</v>
      </c>
      <c r="C6" s="3245">
        <f>SUMIF(L1:L12,G2,M1:M12)</f>
        <v>5560</v>
      </c>
      <c r="D6" s="3246" t="s">
        <v>1228</v>
      </c>
      <c r="E6" s="1201"/>
      <c r="F6" s="1201"/>
      <c r="G6" s="3247"/>
      <c r="H6" s="3247"/>
      <c r="I6" s="3247"/>
      <c r="J6" s="3248"/>
      <c r="K6" s="1786"/>
      <c r="L6" s="1541" t="s">
        <v>1600</v>
      </c>
      <c r="M6" s="1542">
        <f>SUMPRODUCT((区片价!B127:B189=I2)*(区片价!C3:G3=E2)*(区片价!C127:G189))</f>
        <v>0</v>
      </c>
      <c r="N6" s="1543">
        <f>SUMPRODUCT((因素修正幅度!B127:B189=I2)*(因素修正幅度!C3:G3=E2)*(因素修正幅度!C127:G189))</f>
        <v>0</v>
      </c>
      <c r="O6" s="1786"/>
      <c r="P6" s="2737"/>
      <c r="Q6" s="1786"/>
      <c r="R6" s="2229">
        <v>5</v>
      </c>
      <c r="S6" s="2229">
        <f>ROUND(SUMPRODUCT((B107:B111=R6)*(C106:N106=G2)*(C107:N111)),4)</f>
        <v>0.74980000000000002</v>
      </c>
      <c r="T6" s="2229">
        <f t="shared" si="0"/>
        <v>4418</v>
      </c>
      <c r="U6" s="2219"/>
      <c r="V6" s="2229">
        <f t="shared" si="1"/>
        <v>0</v>
      </c>
      <c r="W6" s="1786"/>
      <c r="X6" s="1786"/>
      <c r="Y6" s="1786"/>
      <c r="Z6" s="1786"/>
      <c r="AA6" s="1786"/>
      <c r="AB6" s="1786"/>
      <c r="AC6" s="1788"/>
      <c r="AD6" s="1198"/>
      <c r="AE6" s="1198"/>
      <c r="AF6" s="1198"/>
      <c r="AG6" s="1198"/>
      <c r="AH6" s="1198"/>
      <c r="AI6" s="1198"/>
      <c r="AJ6" s="1199"/>
    </row>
    <row r="7" spans="1:39" ht="24.75" thickBot="1">
      <c r="A7" s="3249" t="s">
        <v>3185</v>
      </c>
      <c r="B7" s="1202" t="s">
        <v>860</v>
      </c>
      <c r="C7" s="3250">
        <f>IF(C8="不临65条商业街",1,ROUND(1+(1.6*E8+1.2*E9+0.8*E10+0.4*E11)*C9,4))</f>
        <v>1</v>
      </c>
      <c r="D7" s="3251" t="s">
        <v>861</v>
      </c>
      <c r="E7" s="3252"/>
      <c r="F7" s="3253"/>
      <c r="G7" s="3253"/>
      <c r="H7" s="3253"/>
      <c r="I7" s="3253"/>
      <c r="J7" s="3254"/>
      <c r="K7" s="1786"/>
      <c r="L7" s="1541" t="s">
        <v>1601</v>
      </c>
      <c r="M7" s="1542">
        <f>SUMPRODUCT((区片价!B190:B233=I2)*(区片价!C3:G3=E2)*(区片价!C190:G233))</f>
        <v>0</v>
      </c>
      <c r="N7" s="1543">
        <f>SUMPRODUCT((因素修正幅度!B190:B233=I2)*(因素修正幅度!C3:G3=E2)*(因素修正幅度!C190:G233))</f>
        <v>0</v>
      </c>
      <c r="O7" s="1786"/>
      <c r="P7" s="2737"/>
      <c r="Q7" s="1786"/>
      <c r="R7" s="2229">
        <v>6</v>
      </c>
      <c r="S7" s="2219"/>
      <c r="T7" s="2229">
        <f t="shared" si="0"/>
        <v>0</v>
      </c>
      <c r="U7" s="2219"/>
      <c r="V7" s="2229">
        <f t="shared" si="1"/>
        <v>0</v>
      </c>
      <c r="W7" s="2227" t="s">
        <v>2044</v>
      </c>
      <c r="X7" s="2220" t="str">
        <f>G2</f>
        <v>九级</v>
      </c>
      <c r="Y7" s="2220" t="s">
        <v>2045</v>
      </c>
      <c r="Z7" s="2221">
        <f>G3</f>
        <v>2</v>
      </c>
      <c r="AA7" s="1789"/>
      <c r="AB7" s="1789"/>
      <c r="AC7" s="1790"/>
      <c r="AD7" s="2222"/>
      <c r="AE7" s="2222"/>
      <c r="AF7" s="2222"/>
      <c r="AG7" s="2222"/>
      <c r="AH7" s="2222"/>
      <c r="AI7" s="2222"/>
      <c r="AJ7" s="2223"/>
    </row>
    <row r="8" spans="1:39" ht="25.5">
      <c r="A8" s="3255"/>
      <c r="B8" s="1189" t="s">
        <v>862</v>
      </c>
      <c r="C8" s="3256" t="s">
        <v>3349</v>
      </c>
      <c r="D8" s="3257" t="s">
        <v>863</v>
      </c>
      <c r="E8" s="3258" t="e">
        <f>ROUND(C11/E7,4)</f>
        <v>#DIV/0!</v>
      </c>
      <c r="F8" s="3259" t="s">
        <v>864</v>
      </c>
      <c r="G8" s="3260"/>
      <c r="H8" s="3260"/>
      <c r="I8" s="3260"/>
      <c r="J8" s="3261"/>
      <c r="K8" s="1786"/>
      <c r="L8" s="1541" t="s">
        <v>1602</v>
      </c>
      <c r="M8" s="1542">
        <f>SUMPRODUCT((区片价!B234:B276=I2)*(区片价!C3:G3=E2)*(区片价!C234:G276))</f>
        <v>0</v>
      </c>
      <c r="N8" s="1543">
        <f>SUMPRODUCT((因素修正幅度!B234:B276=I2)*(因素修正幅度!C3:G3=E2)*(因素修正幅度!C234:G276))</f>
        <v>0</v>
      </c>
      <c r="O8" s="1786"/>
      <c r="P8" s="1786"/>
      <c r="Q8" s="1786"/>
      <c r="R8" s="2229">
        <v>7</v>
      </c>
      <c r="S8" s="2219"/>
      <c r="T8" s="2229">
        <f t="shared" si="0"/>
        <v>0</v>
      </c>
      <c r="U8" s="2219"/>
      <c r="V8" s="2229">
        <f t="shared" si="1"/>
        <v>0</v>
      </c>
      <c r="W8" s="3727" t="s">
        <v>2058</v>
      </c>
      <c r="X8" s="3728"/>
      <c r="Y8" s="1535" t="s">
        <v>2046</v>
      </c>
      <c r="Z8" s="1535" t="s">
        <v>2047</v>
      </c>
      <c r="AA8" s="1535" t="s">
        <v>2048</v>
      </c>
      <c r="AB8" s="1535" t="s">
        <v>2049</v>
      </c>
      <c r="AC8" s="1535" t="s">
        <v>2050</v>
      </c>
      <c r="AD8" s="1535" t="s">
        <v>2051</v>
      </c>
      <c r="AE8" s="1535" t="s">
        <v>2052</v>
      </c>
      <c r="AF8" s="1535" t="s">
        <v>2053</v>
      </c>
      <c r="AG8" s="1535" t="s">
        <v>2054</v>
      </c>
      <c r="AH8" s="1535" t="s">
        <v>2055</v>
      </c>
      <c r="AI8" s="1535" t="s">
        <v>2056</v>
      </c>
      <c r="AJ8" s="1535" t="s">
        <v>2057</v>
      </c>
    </row>
    <row r="9" spans="1:39" ht="15">
      <c r="A9" s="3255"/>
      <c r="B9" s="1189" t="s">
        <v>865</v>
      </c>
      <c r="C9" s="3262">
        <f>SUMIF(修正!C71:C139,C8,修正!E71:E139)</f>
        <v>0</v>
      </c>
      <c r="D9" s="3263" t="s">
        <v>866</v>
      </c>
      <c r="E9" s="3263" t="e">
        <f>ROUND(C11/E7,4)</f>
        <v>#DIV/0!</v>
      </c>
      <c r="F9" s="3259" t="s">
        <v>867</v>
      </c>
      <c r="G9" s="3260"/>
      <c r="H9" s="3260"/>
      <c r="I9" s="3260"/>
      <c r="J9" s="3261"/>
      <c r="K9" s="1786"/>
      <c r="L9" s="1541" t="s">
        <v>1603</v>
      </c>
      <c r="M9" s="1542">
        <f>SUMPRODUCT((区片价!B277:B326=I2)*(区片价!C3:G3=E2)*(区片价!C277:G326))</f>
        <v>5560</v>
      </c>
      <c r="N9" s="1543">
        <f>SUMPRODUCT((因素修正幅度!B277:B326=I2)*(因素修正幅度!C3:G3=E2)*(因素修正幅度!C277:G326))</f>
        <v>0.14099999999999999</v>
      </c>
      <c r="O9" s="1786"/>
      <c r="P9" s="1786"/>
      <c r="Q9" s="1786"/>
      <c r="R9" s="2229">
        <v>8</v>
      </c>
      <c r="S9" s="2219"/>
      <c r="T9" s="2229">
        <f t="shared" si="0"/>
        <v>0</v>
      </c>
      <c r="U9" s="2219"/>
      <c r="V9" s="2229">
        <f t="shared" si="1"/>
        <v>0</v>
      </c>
      <c r="W9" s="3726"/>
      <c r="X9" s="2224" t="s">
        <v>3208</v>
      </c>
      <c r="Y9" s="2347">
        <v>6</v>
      </c>
      <c r="Z9" s="2225">
        <f t="shared" ref="Z9:AJ9" si="2">$Y$9</f>
        <v>6</v>
      </c>
      <c r="AA9" s="2225">
        <f t="shared" si="2"/>
        <v>6</v>
      </c>
      <c r="AB9" s="2225">
        <f t="shared" si="2"/>
        <v>6</v>
      </c>
      <c r="AC9" s="2225">
        <f t="shared" si="2"/>
        <v>6</v>
      </c>
      <c r="AD9" s="2225">
        <f t="shared" si="2"/>
        <v>6</v>
      </c>
      <c r="AE9" s="2225">
        <f t="shared" si="2"/>
        <v>6</v>
      </c>
      <c r="AF9" s="2225">
        <f t="shared" si="2"/>
        <v>6</v>
      </c>
      <c r="AG9" s="2225">
        <f t="shared" si="2"/>
        <v>6</v>
      </c>
      <c r="AH9" s="2225">
        <f t="shared" si="2"/>
        <v>6</v>
      </c>
      <c r="AI9" s="2225">
        <f t="shared" si="2"/>
        <v>6</v>
      </c>
      <c r="AJ9" s="2225">
        <f t="shared" si="2"/>
        <v>6</v>
      </c>
    </row>
    <row r="10" spans="1:39" ht="15">
      <c r="A10" s="3255"/>
      <c r="B10" s="1189" t="s">
        <v>868</v>
      </c>
      <c r="C10" s="3263">
        <f>SUMIF(修正!C71:C139,C8,修正!F71:F139)</f>
        <v>0</v>
      </c>
      <c r="D10" s="3263" t="s">
        <v>869</v>
      </c>
      <c r="E10" s="3263" t="e">
        <f>ROUND(C11/E7,4)</f>
        <v>#DIV/0!</v>
      </c>
      <c r="F10" s="3259" t="s">
        <v>870</v>
      </c>
      <c r="G10" s="3260"/>
      <c r="H10" s="3260"/>
      <c r="I10" s="3260"/>
      <c r="J10" s="3261"/>
      <c r="K10" s="1786"/>
      <c r="L10" s="1541" t="s">
        <v>1604</v>
      </c>
      <c r="M10" s="1542">
        <f>SUMPRODUCT((区片价!B327:B357=I2)*(区片价!C3:G3=E2)*(区片价!C327:G357))</f>
        <v>0</v>
      </c>
      <c r="N10" s="1543">
        <f>SUMPRODUCT((因素修正幅度!B327:B357=I2)*(因素修正幅度!C3:G3=E2)*(因素修正幅度!C327:G357))</f>
        <v>0</v>
      </c>
      <c r="O10" s="1786"/>
      <c r="P10" s="1786"/>
      <c r="Q10" s="1786"/>
      <c r="R10" s="2229">
        <v>9</v>
      </c>
      <c r="S10" s="2219"/>
      <c r="T10" s="2229">
        <f t="shared" si="0"/>
        <v>0</v>
      </c>
      <c r="U10" s="2219"/>
      <c r="V10" s="2229">
        <f t="shared" si="1"/>
        <v>0</v>
      </c>
      <c r="W10" s="3726"/>
      <c r="X10" s="2224">
        <v>6</v>
      </c>
      <c r="Y10" s="2226">
        <f>ROUND((-0.5556*(Y9^2)-0.2719*Y9+8944)*(10^(-4)),4)</f>
        <v>0.89219999999999999</v>
      </c>
      <c r="Z10" s="2226">
        <f>ROUND((-0.5556*(Z9^2)-0.2719*Z9+8944)*(10^(-4)),4)</f>
        <v>0.89219999999999999</v>
      </c>
      <c r="AA10" s="2226">
        <f>ROUND((-0.7912*(AA9^2)-11.3794*AA9+8482)*(10^(-4)),4)</f>
        <v>0.83850000000000002</v>
      </c>
      <c r="AB10" s="2226">
        <f>ROUND((-0.7912*(AB9^2)-11.3794*AB9+8482)*(10^(-4)),4)</f>
        <v>0.83850000000000002</v>
      </c>
      <c r="AC10" s="2226">
        <f>ROUND((-0.7912*(AC9^2)-11.3794*AC9+8482)*(10^(-4)),4)</f>
        <v>0.83850000000000002</v>
      </c>
      <c r="AD10" s="2226">
        <f>ROUND((-0.7912*(AD9^2)-11.3794*AD9+8482)*(10^(-4)),4)</f>
        <v>0.83850000000000002</v>
      </c>
      <c r="AE10" s="2226">
        <f>ROUND((-0.7912*(AE9^2)-11.3794*AE9+8482)*(10^(-4)),4)</f>
        <v>0.83850000000000002</v>
      </c>
      <c r="AF10" s="2226">
        <f>ROUND((-0.989*(AF9^2)-63.78*AF9+7771)*(10^(-4)),4)</f>
        <v>0.73529999999999995</v>
      </c>
      <c r="AG10" s="2226">
        <f>ROUND((-0.989*(AG9^2)-63.78*AG9+7771)*(10^(-4)),4)</f>
        <v>0.73529999999999995</v>
      </c>
      <c r="AH10" s="2226">
        <f>ROUND((-0.989*(AH9^2)-63.78*AH9+7771)*(10^(-4)),4)</f>
        <v>0.73529999999999995</v>
      </c>
      <c r="AI10" s="2226">
        <f>ROUND((-0.989*(AI9^2)-63.78*AI9+7771)*(10^(-4)),4)</f>
        <v>0.73529999999999995</v>
      </c>
      <c r="AJ10" s="2226">
        <f>ROUND((-0.989*(AJ9^2)-63.78*AJ9+7771)*(10^(-4)),4)</f>
        <v>0.73529999999999995</v>
      </c>
    </row>
    <row r="11" spans="1:39" ht="15.75" customHeight="1" thickBot="1">
      <c r="A11" s="3255"/>
      <c r="B11" s="1206" t="s">
        <v>871</v>
      </c>
      <c r="C11" s="3264">
        <f>C10/4</f>
        <v>0</v>
      </c>
      <c r="D11" s="3264" t="s">
        <v>872</v>
      </c>
      <c r="E11" s="3264" t="e">
        <f>ROUND(C11/E7,4)</f>
        <v>#DIV/0!</v>
      </c>
      <c r="F11" s="3265" t="s">
        <v>873</v>
      </c>
      <c r="G11" s="3266"/>
      <c r="H11" s="3266"/>
      <c r="I11" s="3266"/>
      <c r="J11" s="3267"/>
      <c r="K11" s="1786"/>
      <c r="L11" s="1541" t="s">
        <v>1605</v>
      </c>
      <c r="M11" s="1542">
        <f>SUMPRODUCT((区片价!B358:B377=I2)*(区片价!C3:G3=E2)*(区片价!C358:G377))</f>
        <v>0</v>
      </c>
      <c r="N11" s="1543">
        <f>SUMPRODUCT((因素修正幅度!B358:B377=I2)*(因素修正幅度!C3:G3=E2)*(因素修正幅度!C358:G377))</f>
        <v>0</v>
      </c>
      <c r="O11" s="1786"/>
      <c r="P11" s="1786"/>
      <c r="Q11" s="1786"/>
      <c r="R11" s="2229">
        <v>10</v>
      </c>
      <c r="S11" s="2219"/>
      <c r="T11" s="2229">
        <f t="shared" si="0"/>
        <v>0</v>
      </c>
      <c r="U11" s="2219"/>
      <c r="V11" s="2229">
        <f t="shared" si="1"/>
        <v>0</v>
      </c>
      <c r="W11" s="1786"/>
      <c r="X11" s="1786"/>
      <c r="Y11" s="1786"/>
      <c r="Z11" s="1786"/>
      <c r="AA11" s="1786"/>
      <c r="AB11" s="1786"/>
      <c r="AC11" s="1787"/>
    </row>
    <row r="12" spans="1:39" ht="25.5" thickBot="1">
      <c r="A12" s="3249" t="s">
        <v>3186</v>
      </c>
      <c r="B12" s="3231" t="s">
        <v>3187</v>
      </c>
      <c r="C12" s="3237">
        <v>1</v>
      </c>
      <c r="D12" s="3232" t="s">
        <v>3188</v>
      </c>
      <c r="E12" s="3233" t="s">
        <v>3189</v>
      </c>
      <c r="F12" s="3234"/>
      <c r="G12" s="3235"/>
      <c r="H12" s="3235"/>
      <c r="I12" s="3235"/>
      <c r="J12" s="3236"/>
      <c r="K12" s="1786"/>
      <c r="L12" s="1544" t="s">
        <v>1606</v>
      </c>
      <c r="M12" s="1545">
        <f>SUMPRODUCT((区片价!B378:B384=I2)*(区片价!C3:G3=E2)*(区片价!C378:G384))</f>
        <v>0</v>
      </c>
      <c r="N12" s="1546">
        <f>SUMPRODUCT((因素修正幅度!B378:B384=I2)*(因素修正幅度!C3:G3=E2)*(因素修正幅度!C378:G384))</f>
        <v>0</v>
      </c>
      <c r="O12" s="1786"/>
      <c r="P12" s="1786"/>
      <c r="Q12" s="1786"/>
      <c r="R12" s="2229">
        <v>11</v>
      </c>
      <c r="S12" s="2219"/>
      <c r="T12" s="2229">
        <f t="shared" si="0"/>
        <v>0</v>
      </c>
      <c r="U12" s="2219"/>
      <c r="V12" s="2229">
        <f t="shared" si="1"/>
        <v>0</v>
      </c>
      <c r="W12" s="1786"/>
      <c r="X12" s="1786"/>
      <c r="Y12" s="1786"/>
      <c r="Z12" s="1786"/>
      <c r="AA12" s="1786"/>
      <c r="AB12" s="1786"/>
      <c r="AC12" s="1787"/>
    </row>
    <row r="13" spans="1:39" ht="15.75" thickBot="1">
      <c r="A13" s="3249" t="s">
        <v>3190</v>
      </c>
      <c r="B13" s="1207" t="s">
        <v>874</v>
      </c>
      <c r="C13" s="3250">
        <f>ROUND(C16*D16*E16*F16*G16*H16*I16*J16,4)</f>
        <v>1</v>
      </c>
      <c r="D13" s="3268" t="s">
        <v>3191</v>
      </c>
      <c r="E13" s="3269"/>
      <c r="F13" s="3269"/>
      <c r="G13" s="3269"/>
      <c r="H13" s="3269"/>
      <c r="I13" s="3269"/>
      <c r="J13" s="3270"/>
      <c r="K13" s="1787"/>
      <c r="L13" s="1787"/>
      <c r="M13" s="1787"/>
      <c r="N13" s="1787"/>
      <c r="O13" s="1787"/>
      <c r="P13" s="1786"/>
      <c r="Q13" s="1786"/>
      <c r="R13" s="2229">
        <v>12</v>
      </c>
      <c r="S13" s="2219"/>
      <c r="T13" s="2229">
        <f t="shared" si="0"/>
        <v>0</v>
      </c>
      <c r="U13" s="2219"/>
      <c r="V13" s="2229">
        <f t="shared" si="1"/>
        <v>0</v>
      </c>
      <c r="W13" s="1786"/>
      <c r="X13" s="1786"/>
      <c r="Y13" s="1786"/>
      <c r="Z13" s="1786"/>
      <c r="AA13" s="1786"/>
      <c r="AB13" s="1786"/>
      <c r="AC13" s="1787"/>
    </row>
    <row r="14" spans="1:39" ht="12.75" customHeight="1">
      <c r="A14" s="3271"/>
      <c r="B14" s="1211" t="s">
        <v>1229</v>
      </c>
      <c r="C14" s="3187" t="s">
        <v>1230</v>
      </c>
      <c r="D14" s="1213" t="s">
        <v>1231</v>
      </c>
      <c r="E14" s="748" t="s">
        <v>3192</v>
      </c>
      <c r="F14" s="3272" t="s">
        <v>1178</v>
      </c>
      <c r="G14" s="3272" t="s">
        <v>1178</v>
      </c>
      <c r="H14" s="3273" t="s">
        <v>1178</v>
      </c>
      <c r="I14" s="3273" t="s">
        <v>1178</v>
      </c>
      <c r="J14" s="3273" t="s">
        <v>1178</v>
      </c>
      <c r="K14" s="2735"/>
      <c r="L14" s="2735"/>
      <c r="M14" s="2735"/>
      <c r="N14" s="2735"/>
      <c r="O14" s="2735"/>
      <c r="P14" s="1786"/>
      <c r="Q14" s="1786"/>
      <c r="R14" s="2229">
        <v>13</v>
      </c>
      <c r="S14" s="2219"/>
      <c r="T14" s="2229">
        <f t="shared" si="0"/>
        <v>0</v>
      </c>
      <c r="U14" s="2219"/>
      <c r="V14" s="2229">
        <f t="shared" si="1"/>
        <v>0</v>
      </c>
      <c r="W14" s="1786"/>
      <c r="X14" s="1786"/>
      <c r="Y14" s="1786"/>
      <c r="Z14" s="1786"/>
      <c r="AA14" s="1786"/>
      <c r="AB14" s="1786"/>
      <c r="AC14" s="1787"/>
    </row>
    <row r="15" spans="1:39" ht="13.5" customHeight="1">
      <c r="A15" s="3271"/>
      <c r="B15" s="1213"/>
      <c r="C15" s="3274" t="s">
        <v>3278</v>
      </c>
      <c r="D15" s="3275" t="s">
        <v>3278</v>
      </c>
      <c r="E15" s="3276" t="s">
        <v>3353</v>
      </c>
      <c r="F15" s="3276"/>
      <c r="G15" s="1035" t="s">
        <v>3193</v>
      </c>
      <c r="H15" s="3240"/>
      <c r="I15" s="3241"/>
      <c r="J15" s="3242"/>
      <c r="K15" s="3243"/>
      <c r="L15" s="1790"/>
      <c r="M15" s="1790"/>
      <c r="N15" s="1790"/>
      <c r="O15" s="1790"/>
      <c r="P15" s="1786"/>
      <c r="Q15" s="1786"/>
      <c r="R15" s="2229">
        <v>14</v>
      </c>
      <c r="S15" s="2219"/>
      <c r="T15" s="2229">
        <f t="shared" si="0"/>
        <v>0</v>
      </c>
      <c r="U15" s="2219"/>
      <c r="V15" s="2229">
        <f t="shared" si="1"/>
        <v>0</v>
      </c>
      <c r="W15" s="1786"/>
      <c r="X15" s="1786"/>
      <c r="Y15" s="1786"/>
      <c r="Z15" s="1786"/>
      <c r="AA15" s="1786"/>
      <c r="AB15" s="1786"/>
      <c r="AC15" s="1787"/>
    </row>
    <row r="16" spans="1:39" ht="24.6" customHeight="1" thickBot="1">
      <c r="A16" s="3271"/>
      <c r="B16" s="2402" t="s">
        <v>1232</v>
      </c>
      <c r="C16" s="3238">
        <v>1</v>
      </c>
      <c r="D16" s="3238">
        <v>1</v>
      </c>
      <c r="E16" s="3238">
        <v>1</v>
      </c>
      <c r="F16" s="3238">
        <v>1</v>
      </c>
      <c r="G16" s="3238">
        <v>1</v>
      </c>
      <c r="H16" s="3238">
        <v>1</v>
      </c>
      <c r="I16" s="3238">
        <v>1</v>
      </c>
      <c r="J16" s="3239">
        <v>1</v>
      </c>
      <c r="K16" s="1790"/>
      <c r="L16" s="1790"/>
      <c r="M16" s="1790"/>
      <c r="N16" s="1790"/>
      <c r="O16" s="1790"/>
      <c r="P16" s="1786"/>
      <c r="Q16" s="1786"/>
      <c r="R16" s="2229">
        <v>15</v>
      </c>
      <c r="S16" s="2219"/>
      <c r="T16" s="2229">
        <f t="shared" si="0"/>
        <v>0</v>
      </c>
      <c r="U16" s="2219"/>
      <c r="V16" s="2229">
        <f t="shared" si="1"/>
        <v>0</v>
      </c>
      <c r="W16" s="1789"/>
      <c r="X16" s="1789"/>
      <c r="Y16" s="1789"/>
      <c r="Z16" s="1789"/>
      <c r="AA16" s="1789"/>
      <c r="AB16" s="1789"/>
      <c r="AC16" s="1790"/>
    </row>
    <row r="17" spans="1:40" ht="24">
      <c r="A17" s="3278" t="s">
        <v>3194</v>
      </c>
      <c r="B17" s="3279" t="s">
        <v>3195</v>
      </c>
      <c r="C17" s="3287">
        <f>ROUND(IF(OR(E2="工业",E2="公共服务"),1,IF(AND(E18=0,E19=0),1,IF(AND(E18=J24,E19=G19),0.8,IF(E19=0,1+E17*(-0.2),1+E17*G17*(-0.2))))),4)</f>
        <v>1</v>
      </c>
      <c r="D17" s="3280" t="s">
        <v>3196</v>
      </c>
      <c r="E17" s="3287">
        <f>ROUND(G18/I18,2)</f>
        <v>0</v>
      </c>
      <c r="F17" s="3280" t="s">
        <v>3199</v>
      </c>
      <c r="G17" s="3287" t="e">
        <f>ROUND(E19/G19,2)</f>
        <v>#DIV/0!</v>
      </c>
      <c r="H17" s="3287"/>
      <c r="I17" s="3287"/>
      <c r="J17" s="3366"/>
      <c r="K17" s="1790"/>
      <c r="L17" s="1790"/>
      <c r="M17" s="1790"/>
      <c r="N17" s="1790"/>
      <c r="O17" s="1790"/>
      <c r="P17" s="1786"/>
      <c r="Q17" s="1786"/>
      <c r="R17" s="1790"/>
      <c r="S17" s="1790"/>
      <c r="T17" s="1790"/>
      <c r="U17" s="1790"/>
      <c r="V17" s="1790"/>
      <c r="W17" s="1789"/>
      <c r="X17" s="1789"/>
      <c r="Y17" s="1789"/>
      <c r="Z17" s="1789"/>
      <c r="AA17" s="1789"/>
      <c r="AB17" s="1789"/>
      <c r="AC17" s="1790"/>
      <c r="AH17" s="1183"/>
      <c r="AI17" s="1183"/>
      <c r="AJ17" s="1186"/>
      <c r="AK17" s="1186"/>
      <c r="AL17" s="1186"/>
      <c r="AM17" s="1186"/>
    </row>
    <row r="18" spans="1:40" s="1200" customFormat="1" ht="14.25">
      <c r="A18" s="3271"/>
      <c r="B18" s="3151"/>
      <c r="C18" s="3285"/>
      <c r="D18" s="3281" t="s">
        <v>3197</v>
      </c>
      <c r="E18" s="3286"/>
      <c r="F18" s="3283" t="s">
        <v>3200</v>
      </c>
      <c r="G18" s="3285">
        <f>ROUND(1-(1/(POWER(1+G24,E18))),4)</f>
        <v>0</v>
      </c>
      <c r="H18" s="3283" t="s">
        <v>3202</v>
      </c>
      <c r="I18" s="3285">
        <f>ROUND(1-(1/(POWER(1+G24,J24))),4)</f>
        <v>0.96709999999999996</v>
      </c>
      <c r="J18" s="3367"/>
      <c r="K18" s="1790"/>
      <c r="L18" s="1790"/>
      <c r="M18" s="1790"/>
      <c r="N18" s="1790"/>
      <c r="O18" s="1790"/>
      <c r="P18" s="1786"/>
      <c r="Q18" s="1786"/>
      <c r="R18" s="1791"/>
      <c r="S18" s="1791"/>
      <c r="T18" s="1791"/>
      <c r="U18" s="1791"/>
      <c r="V18" s="1791"/>
      <c r="W18" s="1790"/>
      <c r="X18" s="1790"/>
      <c r="Y18" s="1790"/>
      <c r="Z18" s="1790"/>
      <c r="AA18" s="1789"/>
      <c r="AB18" s="1789"/>
      <c r="AC18" s="1792"/>
      <c r="AD18" s="1218"/>
      <c r="AE18" s="1218"/>
      <c r="AF18" s="1218"/>
      <c r="AG18" s="1218"/>
      <c r="AH18" s="1184"/>
      <c r="AI18" s="1184"/>
      <c r="AJ18" s="1185"/>
      <c r="AK18" s="1185"/>
      <c r="AL18" s="1185"/>
    </row>
    <row r="19" spans="1:40" s="1200" customFormat="1" ht="15" thickBot="1">
      <c r="A19" s="3277"/>
      <c r="B19" s="3154"/>
      <c r="C19" s="3282"/>
      <c r="D19" s="3282" t="s">
        <v>3198</v>
      </c>
      <c r="E19" s="3288"/>
      <c r="F19" s="3284" t="s">
        <v>3201</v>
      </c>
      <c r="G19" s="3288"/>
      <c r="H19" s="3282"/>
      <c r="I19" s="3282"/>
      <c r="J19" s="3368"/>
      <c r="K19" s="1790"/>
      <c r="L19" s="1790"/>
      <c r="M19" s="1790"/>
      <c r="N19" s="1790"/>
      <c r="O19" s="1790"/>
      <c r="P19" s="1786"/>
      <c r="Q19" s="1786"/>
      <c r="R19" s="1792"/>
      <c r="S19" s="1792"/>
      <c r="T19" s="1792"/>
      <c r="U19" s="1792"/>
      <c r="V19" s="1792"/>
      <c r="W19" s="1792"/>
      <c r="X19" s="1792"/>
      <c r="Y19" s="1184"/>
      <c r="Z19" s="1184"/>
      <c r="AA19" s="1184"/>
      <c r="AB19" s="1184"/>
      <c r="AC19" s="1218"/>
      <c r="AD19" s="1219"/>
      <c r="AE19" s="1223"/>
      <c r="AF19" s="1185"/>
      <c r="AG19" s="1199"/>
      <c r="AH19" s="1199"/>
      <c r="AI19" s="1199"/>
    </row>
    <row r="20" spans="1:40" s="1200" customFormat="1" ht="14.25">
      <c r="A20" s="3737" t="s">
        <v>1370</v>
      </c>
      <c r="B20" s="1202" t="s">
        <v>875</v>
      </c>
      <c r="C20" s="945">
        <f>ROUND(IF(F21="与级别开发程度一致",0,(G21-E21)/C21),0)</f>
        <v>-37</v>
      </c>
      <c r="D20" s="3732" t="s">
        <v>879</v>
      </c>
      <c r="E20" s="3733"/>
      <c r="F20" s="3732" t="s">
        <v>876</v>
      </c>
      <c r="G20" s="3733"/>
      <c r="H20" s="1214" t="s">
        <v>2759</v>
      </c>
      <c r="I20" s="1214" t="s">
        <v>2760</v>
      </c>
      <c r="J20" s="1214" t="s">
        <v>2762</v>
      </c>
      <c r="K20" s="1214"/>
      <c r="L20" s="1214"/>
      <c r="M20" s="1214"/>
      <c r="N20" s="1214"/>
      <c r="O20" s="2407"/>
      <c r="P20" s="1786"/>
      <c r="Q20" s="1789"/>
      <c r="R20" s="1792"/>
      <c r="S20" s="1792"/>
      <c r="T20" s="1792"/>
      <c r="U20" s="1792"/>
      <c r="V20" s="1792"/>
      <c r="W20" s="1792"/>
      <c r="X20" s="1792"/>
      <c r="Y20" s="1218"/>
      <c r="Z20" s="1218"/>
      <c r="AA20" s="1218"/>
      <c r="AB20" s="1218"/>
      <c r="AC20" s="1218"/>
      <c r="AD20" s="1218"/>
    </row>
    <row r="21" spans="1:40" s="1200" customFormat="1" ht="24.75" thickBot="1">
      <c r="A21" s="3738"/>
      <c r="B21" s="2408" t="s">
        <v>878</v>
      </c>
      <c r="C21" s="2409">
        <f>IF(E3="M4科研用地",SUMPRODUCT((修正!A2:A7=E3)*(修正!B1:M1=G2)*(修正!B2:M7)),SUMPRODUCT((修正!A2:A7=E2)*(修正!B1:M1=G2)*(修正!B2:M7)))</f>
        <v>1.5</v>
      </c>
      <c r="D21" s="2410" t="str">
        <f>IF(OR(G2="八级",G2="九级",G2="十级",G2="十一级",G2="十二级"),"五通一平","七通一平")</f>
        <v>五通一平</v>
      </c>
      <c r="E21" s="2400">
        <f>SUMPRODUCT((修正!B1:M1=G2)*(修正!B17:M17))</f>
        <v>185</v>
      </c>
      <c r="F21" s="2401" t="s">
        <v>3350</v>
      </c>
      <c r="G21" s="2400">
        <f>SUM(H21:O21)</f>
        <v>130</v>
      </c>
      <c r="H21" s="944">
        <f>SUMPRODUCT((七通一平=H20)*(修正!B1:M1=G2)*(修正!B8:M16))</f>
        <v>60</v>
      </c>
      <c r="I21" s="944">
        <f>SUMPRODUCT((七通一平=I20)*(修正!B1:M1=G2)*(修正!B8:M16))</f>
        <v>50</v>
      </c>
      <c r="J21" s="944">
        <f>SUMPRODUCT((七通一平=J20)*(修正!B1:M1=G2)*(修正!B8:M16))</f>
        <v>20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1">
        <f>SUMPRODUCT((七通一平=O20)*(修正!B1:M1=G2)*(修正!B8:M16))</f>
        <v>0</v>
      </c>
      <c r="P21" s="1786"/>
      <c r="Q21" s="1789"/>
      <c r="R21" s="1792"/>
      <c r="S21" s="1792"/>
      <c r="T21" s="1792"/>
      <c r="U21" s="1792"/>
      <c r="V21" s="1792"/>
      <c r="W21" s="1792"/>
      <c r="X21" s="1792"/>
      <c r="Y21" s="1184"/>
      <c r="Z21" s="1184"/>
      <c r="AA21" s="1184"/>
      <c r="AB21" s="1184"/>
      <c r="AC21" s="1218"/>
      <c r="AD21" s="1218"/>
    </row>
    <row r="22" spans="1:40" s="1200" customFormat="1" ht="15.75" thickBot="1">
      <c r="A22" s="2092" t="s">
        <v>1358</v>
      </c>
      <c r="B22" s="2403" t="s">
        <v>880</v>
      </c>
      <c r="C22" s="2404">
        <f>SUMIF(修正!C20:C51,E3,修正!E20:E51)</f>
        <v>1</v>
      </c>
      <c r="D22" s="2405"/>
      <c r="E22" s="2406"/>
      <c r="F22" s="2393"/>
      <c r="G22" s="1227"/>
      <c r="H22" s="1227"/>
      <c r="I22" s="1227"/>
      <c r="J22" s="2398"/>
      <c r="K22" s="2734"/>
      <c r="L22" s="1227"/>
      <c r="M22" s="1227"/>
      <c r="N22" s="1227"/>
      <c r="O22" s="1227"/>
      <c r="P22" s="2734"/>
      <c r="Q22" s="1791"/>
      <c r="R22" s="1792"/>
      <c r="S22" s="1792"/>
      <c r="T22" s="1792"/>
      <c r="U22" s="1792"/>
      <c r="V22" s="1792"/>
      <c r="W22" s="1792"/>
      <c r="X22" s="1792"/>
      <c r="Y22" s="1218"/>
      <c r="Z22" s="1218"/>
      <c r="AA22" s="1218"/>
      <c r="AB22" s="1218"/>
      <c r="AC22" s="1218"/>
      <c r="AD22" s="1218"/>
    </row>
    <row r="23" spans="1:40" ht="27.75" thickBot="1">
      <c r="A23" s="1357" t="s">
        <v>1364</v>
      </c>
      <c r="B23" s="1217"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0" t="s">
        <v>882</v>
      </c>
      <c r="E23" s="947">
        <v>44197</v>
      </c>
      <c r="F23" s="1220" t="s">
        <v>883</v>
      </c>
      <c r="G23" s="948">
        <f>'数据-取费表'!B2</f>
        <v>45617</v>
      </c>
      <c r="H23" s="1221" t="s">
        <v>2240</v>
      </c>
      <c r="I23" s="2098" t="str">
        <f>IF(H23="季度增幅（自定义）",SUMIF(N25:N28,E2,O25:O28),"")</f>
        <v/>
      </c>
      <c r="J23" s="3289" t="s">
        <v>3351</v>
      </c>
      <c r="K23" s="2734"/>
      <c r="L23" s="2319" t="s">
        <v>2114</v>
      </c>
      <c r="M23" s="2320">
        <f>ROUND(SUMIF(地价!B2:F2,E2,地价!B41:F41),0)</f>
        <v>423</v>
      </c>
      <c r="N23" s="2100" t="s">
        <v>1211</v>
      </c>
      <c r="O23" s="2099">
        <f>ROUNDDOWN(DATEDIF(E23,G23,"M")/3,0)</f>
        <v>15</v>
      </c>
      <c r="P23" s="1790"/>
      <c r="Q23" s="2218"/>
      <c r="R23" s="1792"/>
      <c r="S23" s="1792"/>
      <c r="T23" s="1792"/>
      <c r="U23" s="1792"/>
      <c r="V23" s="1792"/>
      <c r="W23" s="1792"/>
      <c r="X23" s="1792"/>
      <c r="Y23" s="1184"/>
      <c r="Z23" s="1184"/>
      <c r="AA23" s="1184"/>
      <c r="AB23" s="1184"/>
      <c r="AC23" s="1184"/>
      <c r="AE23" s="1185"/>
      <c r="AF23" s="1185"/>
      <c r="AG23" s="1185"/>
      <c r="AH23" s="1185"/>
      <c r="AI23" s="1185"/>
      <c r="AJ23" s="1186"/>
      <c r="AK23" s="1186"/>
      <c r="AL23" s="1186"/>
      <c r="AM23" s="1186"/>
    </row>
    <row r="24" spans="1:40" s="1200" customFormat="1" ht="24.75" thickBot="1">
      <c r="A24" s="2092" t="s">
        <v>1365</v>
      </c>
      <c r="B24" s="2093" t="s">
        <v>896</v>
      </c>
      <c r="C24" s="2094">
        <f>ROUND(POWER(1+G24,J24-I24)*(POWER(1+G24,I24)-1)/(POWER(1+G24,J24)-1),4)</f>
        <v>0.99850000000000005</v>
      </c>
      <c r="D24" s="2095" t="s">
        <v>897</v>
      </c>
      <c r="E24" s="2346">
        <f>存贷款利率!E27/100</f>
        <v>4.3499999999999997E-2</v>
      </c>
      <c r="F24" s="2095" t="s">
        <v>898</v>
      </c>
      <c r="G24" s="2096">
        <f>SUMIF(M30:Q30,E2,M33:Q33)</f>
        <v>0.05</v>
      </c>
      <c r="H24" s="2095" t="s">
        <v>899</v>
      </c>
      <c r="I24" s="2091">
        <f>SUMIF('数据-取费表'!C6:C15,E2,'数据-取费表'!F6:F15)/COUNTIF('数据-取费表'!C6:C15,E2)</f>
        <v>69.09</v>
      </c>
      <c r="J24" s="2097">
        <f>IF(E2="住宅",70,IF(E2="商业",40,50))</f>
        <v>70</v>
      </c>
      <c r="K24" s="1790"/>
      <c r="L24" s="2321" t="s">
        <v>2115</v>
      </c>
      <c r="M24" s="2395">
        <f>ROUND(SUMPRODUCT((地价!A4:A41=YEAR(G23)&amp;"-"&amp;ROUNDUP(MONTH(G23)/3,0))*(地价!B2:F2=E2)*(地价!B4:F41)),0)</f>
        <v>0</v>
      </c>
      <c r="N24" s="2103" t="s">
        <v>1925</v>
      </c>
      <c r="O24" s="2101" t="s">
        <v>1924</v>
      </c>
      <c r="P24" s="2102" t="s">
        <v>1930</v>
      </c>
      <c r="Q24" s="2218"/>
      <c r="R24" s="1792"/>
      <c r="S24" s="1792"/>
      <c r="T24" s="1792"/>
      <c r="U24" s="1792"/>
      <c r="V24" s="1792"/>
      <c r="W24" s="1792"/>
      <c r="X24" s="1792"/>
      <c r="Y24" s="1218"/>
      <c r="Z24" s="1218"/>
      <c r="AA24" s="1218"/>
      <c r="AB24" s="1218"/>
      <c r="AC24" s="1218"/>
      <c r="AD24" s="1218"/>
    </row>
    <row r="25" spans="1:40" ht="14.25">
      <c r="A25" s="1359" t="s">
        <v>1366</v>
      </c>
      <c r="B25" s="1226" t="s">
        <v>2270</v>
      </c>
      <c r="C25" s="1001">
        <f>IF(B25="容积率修正",IF(G3&lt;10,D26,J26),C27)</f>
        <v>0.92130000000000001</v>
      </c>
      <c r="D25" s="1227"/>
      <c r="E25" s="1227"/>
      <c r="F25" s="1227"/>
      <c r="G25" s="1227"/>
      <c r="H25" s="1227"/>
      <c r="I25" s="1227"/>
      <c r="J25" s="1228"/>
      <c r="K25" s="2734"/>
      <c r="L25" s="1227"/>
      <c r="M25" s="1227"/>
      <c r="N25" s="1224" t="s">
        <v>900</v>
      </c>
      <c r="O25" s="1284"/>
      <c r="P25" s="2090">
        <f>SUMPRODUCT((地价!A3:A41=YEAR(G23)&amp;"-"&amp;ROUNDUP(MONTH(G23)/3,0))*(地价!AD2:AH2=N25)*(地价!AD3:AH41))</f>
        <v>0</v>
      </c>
      <c r="Q25" s="2218"/>
      <c r="R25" s="1792"/>
      <c r="S25" s="1792"/>
      <c r="T25" s="1792"/>
      <c r="U25" s="1792"/>
      <c r="V25" s="1792"/>
      <c r="W25" s="1792"/>
      <c r="X25" s="1792"/>
      <c r="Y25" s="1184"/>
      <c r="Z25" s="1184"/>
      <c r="AA25" s="1184"/>
      <c r="AB25" s="1184"/>
      <c r="AC25" s="1184"/>
      <c r="AE25" s="1185"/>
      <c r="AF25" s="1185"/>
      <c r="AG25" s="1185"/>
      <c r="AH25" s="1185"/>
      <c r="AI25" s="1186"/>
      <c r="AJ25" s="1186"/>
      <c r="AK25" s="1186"/>
      <c r="AL25" s="1186"/>
      <c r="AM25" s="1186"/>
    </row>
    <row r="26" spans="1:40" ht="14.25">
      <c r="A26" s="1360" t="s">
        <v>1395</v>
      </c>
      <c r="B26" s="1229" t="s">
        <v>901</v>
      </c>
      <c r="C26" s="3290" t="s">
        <v>3203</v>
      </c>
      <c r="D26" s="949">
        <f>IF(E26=G26,F26,IF(G3&lt;10,ROUND(F26+(H26-F26)*(G3-E26)/(G26-E26),4),"——"))</f>
        <v>0.92130000000000001</v>
      </c>
      <c r="E26" s="939">
        <f>ROUNDDOWN(G3,1)</f>
        <v>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39">
        <f>ROUNDUP(G3,1)</f>
        <v>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0" t="s">
        <v>3204</v>
      </c>
      <c r="J26" s="949" t="str">
        <f>IF(G3&gt;=10,D116,"——")</f>
        <v>——</v>
      </c>
      <c r="K26" s="2218"/>
      <c r="L26" s="1227"/>
      <c r="M26" s="1227"/>
      <c r="N26" s="1224" t="s">
        <v>902</v>
      </c>
      <c r="O26" s="1284"/>
      <c r="P26" s="2090">
        <f>SUMPRODUCT((地价!A3:A41=YEAR(G23)&amp;"-"&amp;ROUNDUP(MONTH(G23)/3,0))*(地价!AD2:AH2=N26)*(地价!AD3:AH41))</f>
        <v>0</v>
      </c>
      <c r="Q26" s="2218"/>
      <c r="R26" s="1792"/>
      <c r="S26" s="1792"/>
      <c r="T26" s="1792"/>
      <c r="U26" s="1792"/>
      <c r="V26" s="1792"/>
      <c r="W26" s="1792"/>
      <c r="X26" s="1792"/>
      <c r="Y26" s="1218"/>
      <c r="Z26" s="1218"/>
      <c r="AA26" s="1218"/>
      <c r="AB26" s="1218"/>
      <c r="AC26" s="1184"/>
      <c r="AE26" s="1185"/>
      <c r="AF26" s="1185"/>
      <c r="AG26" s="1185"/>
      <c r="AH26" s="1185"/>
      <c r="AI26" s="1186"/>
      <c r="AJ26" s="1186"/>
      <c r="AK26" s="1186"/>
      <c r="AL26" s="1186"/>
      <c r="AM26" s="1186"/>
    </row>
    <row r="27" spans="1:40" ht="15.75" thickBot="1">
      <c r="A27" s="1360" t="s">
        <v>1396</v>
      </c>
      <c r="B27" s="1229" t="s">
        <v>903</v>
      </c>
      <c r="C27" s="950">
        <f>ROUND(IF(I3&lt;6,SUMPRODUCT((B107:B111=I3)*(C106:N106=G2)*(C107:N111)),SUMIF(C106:N106,G2,C113:N113)),4)</f>
        <v>0</v>
      </c>
      <c r="D27" s="1272"/>
      <c r="E27" s="1272"/>
      <c r="F27" s="1273"/>
      <c r="G27" s="1274"/>
      <c r="H27" s="1275"/>
      <c r="I27" s="1276"/>
      <c r="J27" s="1276"/>
      <c r="K27" s="1792"/>
      <c r="L27" s="1182"/>
      <c r="M27" s="1182"/>
      <c r="N27" s="1224" t="s">
        <v>851</v>
      </c>
      <c r="O27" s="1284"/>
      <c r="P27" s="2090">
        <f>SUMPRODUCT((地价!A3:A41=YEAR(G23)&amp;"-"&amp;ROUNDUP(MONTH(G23)/3,0))*(地价!AD2:AH2=N27)*(地价!AD3:AH41))</f>
        <v>0</v>
      </c>
      <c r="Q27" s="2218"/>
      <c r="R27" s="2218"/>
      <c r="S27" s="2218"/>
      <c r="T27" s="2218"/>
      <c r="U27" s="2218"/>
      <c r="V27" s="2218"/>
      <c r="W27" s="1792"/>
      <c r="X27" s="1792"/>
      <c r="Y27" s="1792"/>
      <c r="Z27" s="1792"/>
      <c r="AA27" s="1792"/>
      <c r="AB27" s="1792"/>
      <c r="AC27" s="1792"/>
    </row>
    <row r="28" spans="1:40" ht="15.75" thickBot="1">
      <c r="A28" s="1358" t="s">
        <v>1397</v>
      </c>
      <c r="B28" s="1194" t="s">
        <v>904</v>
      </c>
      <c r="C28" s="951">
        <f>SUMIF(A47:A101,E2,B47:B101)</f>
        <v>1.0196000000000001</v>
      </c>
      <c r="D28" s="1277"/>
      <c r="E28" s="1278"/>
      <c r="F28" s="1278"/>
      <c r="G28" s="1278"/>
      <c r="H28" s="1278"/>
      <c r="I28" s="1278"/>
      <c r="J28" s="1278"/>
      <c r="K28" s="1792"/>
      <c r="L28" s="1227"/>
      <c r="M28" s="1227"/>
      <c r="N28" s="1224" t="s">
        <v>905</v>
      </c>
      <c r="O28" s="2394"/>
      <c r="P28" s="2090">
        <f>SUMPRODUCT((地价!A3:A41=YEAR(G23)&amp;"-"&amp;ROUNDUP(MONTH(G23)/3,0))*(地价!AD2:AH2=N28)*(地价!AD3:AH41))</f>
        <v>0</v>
      </c>
      <c r="Q28" s="2218"/>
      <c r="R28" s="2218"/>
      <c r="S28" s="2218"/>
      <c r="T28" s="2218"/>
      <c r="U28" s="2218"/>
      <c r="V28" s="2218"/>
      <c r="W28" s="1792"/>
      <c r="X28" s="1792"/>
      <c r="Y28" s="1792"/>
      <c r="Z28" s="1792"/>
      <c r="AA28" s="1792"/>
      <c r="AB28" s="1792"/>
      <c r="AC28" s="1792"/>
      <c r="AD28" s="1218"/>
      <c r="AE28" s="1218"/>
      <c r="AF28" s="1218"/>
      <c r="AG28" s="1218"/>
    </row>
    <row r="29" spans="1:40" ht="15" thickBot="1">
      <c r="A29" s="1358" t="s">
        <v>1398</v>
      </c>
      <c r="B29" s="1231" t="s">
        <v>906</v>
      </c>
      <c r="C29" s="1232"/>
      <c r="D29" s="1204"/>
      <c r="E29" s="1204"/>
      <c r="F29" s="1233"/>
      <c r="G29" s="1204"/>
      <c r="H29" s="1204"/>
      <c r="I29" s="1204"/>
      <c r="J29" s="1205"/>
      <c r="K29" s="1786"/>
      <c r="L29" s="1792"/>
      <c r="M29" s="1792"/>
      <c r="N29" s="2396" t="s">
        <v>1928</v>
      </c>
      <c r="O29" s="2397"/>
      <c r="P29" s="1964">
        <f>SUMPRODUCT((地价!A3:A41=YEAR(G23)&amp;"-"&amp;ROUNDUP(MONTH(G23)/3,0))*(地价!AD2:AH2=N29)*(地价!AD3:AH41))</f>
        <v>0</v>
      </c>
      <c r="Q29" s="2218"/>
      <c r="R29" s="1792"/>
      <c r="S29" s="1792"/>
      <c r="T29" s="1792"/>
      <c r="U29" s="1792"/>
      <c r="V29" s="1792"/>
      <c r="W29" s="2218"/>
      <c r="X29" s="2218"/>
      <c r="Y29" s="2218"/>
      <c r="Z29" s="2218"/>
      <c r="AA29" s="2218"/>
      <c r="AB29" s="1792"/>
      <c r="AC29" s="1792"/>
      <c r="AD29" s="1792"/>
      <c r="AE29" s="1792"/>
      <c r="AF29" s="1792"/>
      <c r="AG29" s="1792"/>
      <c r="AH29" s="1792"/>
      <c r="AJ29" s="1184"/>
      <c r="AK29" s="1184"/>
      <c r="AL29" s="1184"/>
      <c r="AM29" s="1183"/>
      <c r="AN29" s="1183"/>
    </row>
    <row r="30" spans="1:40" ht="13.5">
      <c r="A30" s="1234"/>
      <c r="B30" s="1229" t="s">
        <v>910</v>
      </c>
      <c r="C30" s="2549">
        <f>IF(B25="容积率修正",E33+SUM(E37:E42),SUM(V2:V16)+SUM(E37:E42))</f>
        <v>19218</v>
      </c>
      <c r="D30" s="1235"/>
      <c r="E30" s="1182"/>
      <c r="F30" s="1236"/>
      <c r="G30" s="1182"/>
      <c r="H30" s="1182"/>
      <c r="I30" s="1182"/>
      <c r="J30" s="1237"/>
      <c r="K30" s="1786"/>
      <c r="L30" s="1323" t="s">
        <v>833</v>
      </c>
      <c r="M30" s="1203" t="s">
        <v>907</v>
      </c>
      <c r="N30" s="1203" t="s">
        <v>908</v>
      </c>
      <c r="O30" s="1203" t="s">
        <v>835</v>
      </c>
      <c r="P30" s="1222" t="s">
        <v>909</v>
      </c>
      <c r="Q30" s="1222" t="s">
        <v>3230</v>
      </c>
      <c r="R30" s="1786"/>
      <c r="S30" s="1786"/>
      <c r="T30" s="1786"/>
      <c r="U30" s="1786"/>
      <c r="V30" s="1786"/>
      <c r="W30" s="1787"/>
      <c r="X30" s="1787"/>
      <c r="Y30" s="1787"/>
      <c r="Z30" s="1787"/>
      <c r="AA30" s="1787"/>
      <c r="AB30" s="1786"/>
      <c r="AC30" s="1786"/>
      <c r="AD30" s="1786"/>
      <c r="AE30" s="1786"/>
      <c r="AF30" s="1786"/>
      <c r="AG30" s="1786"/>
      <c r="AH30" s="1786"/>
      <c r="AI30" s="1218"/>
      <c r="AJ30" s="1218"/>
      <c r="AK30" s="1218"/>
      <c r="AL30" s="1218"/>
      <c r="AM30" s="1183"/>
      <c r="AN30" s="1183"/>
    </row>
    <row r="31" spans="1:40" ht="14.25" thickBot="1">
      <c r="A31" s="1234"/>
      <c r="B31" s="1238" t="s">
        <v>912</v>
      </c>
      <c r="C31" s="953">
        <f>E34+SUM(I37:I42)</f>
        <v>125</v>
      </c>
      <c r="D31" s="1239"/>
      <c r="E31" s="1240"/>
      <c r="F31" s="1241"/>
      <c r="G31" s="1240"/>
      <c r="H31" s="1240"/>
      <c r="I31" s="1240"/>
      <c r="J31" s="1242"/>
      <c r="K31" s="1786"/>
      <c r="L31" s="1215" t="s">
        <v>911</v>
      </c>
      <c r="M31" s="942">
        <v>0.25</v>
      </c>
      <c r="N31" s="942">
        <v>0.2</v>
      </c>
      <c r="O31" s="942">
        <v>0.15</v>
      </c>
      <c r="P31" s="1281">
        <v>0.1</v>
      </c>
      <c r="Q31" s="1281">
        <v>0.15</v>
      </c>
      <c r="R31" s="1786"/>
      <c r="S31" s="1786"/>
      <c r="T31" s="1786"/>
      <c r="U31" s="1786"/>
      <c r="V31" s="1786"/>
      <c r="W31" s="1787"/>
      <c r="X31" s="1787"/>
      <c r="Y31" s="1787"/>
      <c r="Z31" s="1787"/>
      <c r="AA31" s="1787"/>
      <c r="AB31" s="1786"/>
      <c r="AC31" s="1786"/>
      <c r="AD31" s="1786"/>
      <c r="AE31" s="1786"/>
      <c r="AF31" s="1786"/>
      <c r="AG31" s="1786"/>
      <c r="AH31" s="1786"/>
      <c r="AJ31" s="1184"/>
      <c r="AK31" s="1184"/>
      <c r="AL31" s="1184"/>
      <c r="AM31" s="1183"/>
      <c r="AN31" s="1183"/>
    </row>
    <row r="32" spans="1:40" ht="14.25" thickBot="1">
      <c r="A32" s="1230"/>
      <c r="B32" s="1243" t="s">
        <v>913</v>
      </c>
      <c r="C32" s="1244" t="s">
        <v>914</v>
      </c>
      <c r="D32" s="1244" t="s">
        <v>915</v>
      </c>
      <c r="E32" s="1245" t="s">
        <v>916</v>
      </c>
      <c r="F32" s="1246"/>
      <c r="G32" s="1209"/>
      <c r="H32" s="1209"/>
      <c r="I32" s="1209"/>
      <c r="J32" s="1210"/>
      <c r="K32" s="1786"/>
      <c r="L32" s="1216" t="s">
        <v>898</v>
      </c>
      <c r="M32" s="1282">
        <f>ROUND($E$24*(1+M31),3)</f>
        <v>5.3999999999999999E-2</v>
      </c>
      <c r="N32" s="1282">
        <f>ROUND($E$24*(1+N31),3)</f>
        <v>5.1999999999999998E-2</v>
      </c>
      <c r="O32" s="1282">
        <f>ROUND($E$24*(1+O31),3)</f>
        <v>0.05</v>
      </c>
      <c r="P32" s="1283">
        <f>ROUND($E$24*(1+P31),3)</f>
        <v>4.8000000000000001E-2</v>
      </c>
      <c r="Q32" s="1283">
        <f>ROUND($E$24*(1+Q31),3)</f>
        <v>0.05</v>
      </c>
      <c r="R32" s="1786"/>
      <c r="S32" s="1786"/>
      <c r="T32" s="1786"/>
      <c r="U32" s="1786"/>
      <c r="V32" s="1786"/>
      <c r="W32" s="1787"/>
      <c r="X32" s="1787"/>
      <c r="Y32" s="1787"/>
      <c r="Z32" s="1787"/>
      <c r="AA32" s="1787"/>
      <c r="AB32" s="1786"/>
      <c r="AC32" s="1786"/>
      <c r="AD32" s="1786"/>
      <c r="AE32" s="1786"/>
      <c r="AF32" s="1786"/>
      <c r="AG32" s="1786"/>
      <c r="AH32" s="1786"/>
      <c r="AI32" s="1183"/>
      <c r="AJ32" s="1183"/>
      <c r="AK32" s="1183"/>
      <c r="AL32" s="1183"/>
      <c r="AM32" s="1183"/>
      <c r="AN32" s="1183"/>
    </row>
    <row r="33" spans="1:44" ht="12.75">
      <c r="A33" s="1247"/>
      <c r="B33" s="1248" t="s">
        <v>917</v>
      </c>
      <c r="C33" s="952">
        <f>ROUND(C5*C22*C23*C24*C25*C28,0)</f>
        <v>5429</v>
      </c>
      <c r="D33" s="1249">
        <f>'数据-汇总表'!F19</f>
        <v>34475.879999999997</v>
      </c>
      <c r="E33" s="1535">
        <f>ROUND(C33*D33/10000,0)</f>
        <v>18717</v>
      </c>
      <c r="F33" s="3291" t="s">
        <v>3205</v>
      </c>
      <c r="G33" s="1250"/>
      <c r="H33" s="1250"/>
      <c r="I33" s="1250"/>
      <c r="J33" s="1251"/>
      <c r="K33" s="2738"/>
      <c r="L33" s="3359" t="s">
        <v>3231</v>
      </c>
      <c r="M33" s="3360">
        <v>5.5E-2</v>
      </c>
      <c r="N33" s="3360">
        <v>5.5E-2</v>
      </c>
      <c r="O33" s="3360">
        <v>0.05</v>
      </c>
      <c r="P33" s="3360">
        <v>0.05</v>
      </c>
      <c r="Q33" s="3360">
        <v>0.05</v>
      </c>
      <c r="R33" s="1786"/>
      <c r="S33" s="1786"/>
      <c r="T33" s="1786"/>
      <c r="U33" s="1786"/>
      <c r="V33" s="1786"/>
      <c r="W33" s="1787"/>
      <c r="X33" s="1787"/>
      <c r="Y33" s="1787"/>
      <c r="Z33" s="1787"/>
      <c r="AA33" s="1787"/>
      <c r="AB33" s="1786"/>
      <c r="AC33" s="1786"/>
      <c r="AD33" s="1786"/>
      <c r="AE33" s="1786"/>
      <c r="AF33" s="1786"/>
      <c r="AG33" s="1786"/>
      <c r="AH33" s="1787"/>
      <c r="AJ33" s="1184"/>
      <c r="AK33" s="1184"/>
      <c r="AL33" s="1184"/>
      <c r="AM33" s="1184"/>
      <c r="AN33" s="1184"/>
      <c r="AO33" s="1185"/>
      <c r="AP33" s="1185"/>
      <c r="AQ33" s="1185"/>
      <c r="AR33" s="1185"/>
    </row>
    <row r="34" spans="1:44" ht="24.75" thickBot="1">
      <c r="A34" s="1252"/>
      <c r="B34" s="1253" t="s">
        <v>918</v>
      </c>
      <c r="C34" s="944">
        <f>ROUND(IF(E2="工业",C33*M42,IF(B25="楼层修正",SUM(V2:V16)*M41*10000/D34,C33*M41)),0)</f>
        <v>1357</v>
      </c>
      <c r="D34" s="1254"/>
      <c r="E34" s="1535">
        <f>ROUND(IF(B25="楼层修正",SUM(V2:V16)*#REF!,C34*D34/10000),0)</f>
        <v>0</v>
      </c>
      <c r="F34" s="3292" t="s">
        <v>3206</v>
      </c>
      <c r="G34" s="1255"/>
      <c r="H34" s="1255"/>
      <c r="I34" s="1255"/>
      <c r="J34" s="1256"/>
      <c r="K34" s="1786"/>
      <c r="L34" s="3359" t="s">
        <v>3232</v>
      </c>
      <c r="M34" s="3360">
        <v>6.5000000000000002E-2</v>
      </c>
      <c r="N34" s="3360">
        <v>6.5000000000000002E-2</v>
      </c>
      <c r="O34" s="3360">
        <v>0.06</v>
      </c>
      <c r="P34" s="3360">
        <v>0.06</v>
      </c>
      <c r="Q34" s="3360">
        <v>0.06</v>
      </c>
      <c r="R34" s="1786"/>
      <c r="S34" s="1786"/>
      <c r="T34" s="1786"/>
      <c r="U34" s="1786"/>
      <c r="V34" s="1786"/>
      <c r="W34" s="1787"/>
      <c r="X34" s="1787"/>
      <c r="Y34" s="1787"/>
      <c r="Z34" s="1787"/>
      <c r="AA34" s="1787"/>
      <c r="AB34" s="1786"/>
      <c r="AC34" s="1786"/>
      <c r="AD34" s="1786"/>
      <c r="AE34" s="1786"/>
      <c r="AF34" s="1786"/>
      <c r="AG34" s="1786"/>
      <c r="AH34" s="1787"/>
      <c r="AJ34" s="1184"/>
      <c r="AK34" s="1184"/>
      <c r="AL34" s="1184"/>
      <c r="AM34" s="1184"/>
      <c r="AN34" s="1184"/>
      <c r="AO34" s="1185"/>
      <c r="AP34" s="1185"/>
      <c r="AQ34" s="1185"/>
      <c r="AR34" s="1185"/>
    </row>
    <row r="35" spans="1:44">
      <c r="A35" s="1257"/>
      <c r="B35" s="1258" t="s">
        <v>920</v>
      </c>
      <c r="C35" s="1259" t="s">
        <v>921</v>
      </c>
      <c r="D35" s="1209"/>
      <c r="E35" s="1259"/>
      <c r="F35" s="1259"/>
      <c r="G35" s="1208" t="s">
        <v>919</v>
      </c>
      <c r="H35" s="1209"/>
      <c r="I35" s="1260"/>
      <c r="J35" s="1210"/>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4"/>
      <c r="AK35" s="1184"/>
      <c r="AL35" s="1184"/>
      <c r="AM35" s="1184"/>
      <c r="AN35" s="1184"/>
      <c r="AO35" s="1185"/>
      <c r="AP35" s="1185"/>
      <c r="AQ35" s="1185"/>
      <c r="AR35" s="1185"/>
    </row>
    <row r="36" spans="1:44" ht="24.75" thickBot="1">
      <c r="A36" s="1247"/>
      <c r="B36" s="1261"/>
      <c r="C36" s="1262" t="s">
        <v>914</v>
      </c>
      <c r="D36" s="1263" t="s">
        <v>915</v>
      </c>
      <c r="E36" s="1263" t="s">
        <v>916</v>
      </c>
      <c r="F36" s="1264" t="s">
        <v>922</v>
      </c>
      <c r="G36" s="1225" t="s">
        <v>914</v>
      </c>
      <c r="H36" s="1225" t="s">
        <v>915</v>
      </c>
      <c r="I36" s="1225" t="s">
        <v>916</v>
      </c>
      <c r="J36" s="1265"/>
      <c r="K36" s="3361" t="s">
        <v>3233</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4"/>
      <c r="AK36" s="1184"/>
      <c r="AL36" s="1184"/>
      <c r="AM36" s="1184"/>
      <c r="AN36" s="1184"/>
      <c r="AO36" s="1185"/>
      <c r="AP36" s="1185"/>
      <c r="AQ36" s="1185"/>
      <c r="AR36" s="1185"/>
    </row>
    <row r="37" spans="1:44" ht="13.5" thickBot="1">
      <c r="A37" s="3734"/>
      <c r="B37" s="1267" t="s">
        <v>923</v>
      </c>
      <c r="C37" s="952">
        <f>ROUND(D5*C22*C23*C24*C28*F37,0)</f>
        <v>2946</v>
      </c>
      <c r="D37" s="1279"/>
      <c r="E37" s="943">
        <f>ROUND(C37*D37/10000,0)</f>
        <v>0</v>
      </c>
      <c r="F37" s="943">
        <f>SUMIF(修正!A57:A68,G2,修正!B57:B68)</f>
        <v>0.5</v>
      </c>
      <c r="G37" s="943">
        <f>ROUND(IF(E2="工业",C37*$M$42,C37*$M$41),0)</f>
        <v>737</v>
      </c>
      <c r="H37" s="943">
        <f>D37</f>
        <v>0</v>
      </c>
      <c r="I37" s="943">
        <f>ROUND(G37*H37/10000,0)</f>
        <v>0</v>
      </c>
      <c r="J37" s="3734"/>
      <c r="K37" s="3362" t="s">
        <v>3234</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7"/>
      <c r="S37" s="1787"/>
      <c r="T37" s="1787"/>
      <c r="U37" s="1787"/>
      <c r="V37" s="1787"/>
      <c r="W37" s="1786"/>
      <c r="X37" s="1786"/>
      <c r="Y37" s="1786"/>
      <c r="Z37" s="1786"/>
      <c r="AA37" s="1786"/>
      <c r="AB37" s="1786"/>
      <c r="AC37" s="1787"/>
    </row>
    <row r="38" spans="1:44" ht="12.75">
      <c r="A38" s="3735"/>
      <c r="B38" s="1212" t="s">
        <v>924</v>
      </c>
      <c r="C38" s="952">
        <f>ROUND(D5*C22*C23*C24*C28*F38,0)</f>
        <v>1179</v>
      </c>
      <c r="D38" s="1279"/>
      <c r="E38" s="943">
        <f t="shared" ref="E38:E42" si="4">ROUND(C38*D38/10000,0)</f>
        <v>0</v>
      </c>
      <c r="F38" s="943">
        <f>SUMIF(修正!A57:A68,G2,修正!C57:C68)</f>
        <v>0.2</v>
      </c>
      <c r="G38" s="943">
        <f>ROUND(IF(E2="工业",C38*$M$42,C38*$M$41),0)</f>
        <v>295</v>
      </c>
      <c r="H38" s="943">
        <f t="shared" ref="H38:H42" si="5">D38</f>
        <v>0</v>
      </c>
      <c r="I38" s="943">
        <f t="shared" ref="I38:I42" si="6">ROUND(G38*H38/10000,0)</f>
        <v>0</v>
      </c>
      <c r="J38" s="3735"/>
      <c r="K38" s="3361">
        <v>5.0000000000000001E-3</v>
      </c>
      <c r="L38" s="3361"/>
      <c r="M38" s="3361"/>
      <c r="N38" s="3361"/>
      <c r="O38" s="3361"/>
      <c r="P38" s="3361"/>
      <c r="Q38" s="3361"/>
      <c r="R38" s="1787"/>
      <c r="S38" s="1787"/>
      <c r="T38" s="1787"/>
      <c r="U38" s="1787"/>
      <c r="V38" s="1787"/>
      <c r="W38" s="1786"/>
      <c r="X38" s="1786"/>
      <c r="Y38" s="1786"/>
      <c r="Z38" s="1786"/>
      <c r="AA38" s="1786"/>
      <c r="AB38" s="1786"/>
      <c r="AC38" s="1787"/>
    </row>
    <row r="39" spans="1:44" ht="13.5" thickBot="1">
      <c r="A39" s="3735"/>
      <c r="B39" s="3293" t="s">
        <v>3207</v>
      </c>
      <c r="C39" s="952">
        <f>ROUND(D5*C22*C23*C24*C28*F39,0)</f>
        <v>1179</v>
      </c>
      <c r="D39" s="1279"/>
      <c r="E39" s="943">
        <f t="shared" si="4"/>
        <v>0</v>
      </c>
      <c r="F39" s="943">
        <f>SUMIF(修正!A57:A68,G2,修正!D57:D68)</f>
        <v>0.2</v>
      </c>
      <c r="G39" s="943">
        <f>ROUND(IF(E2="工业",C39*$M$42,C39*$M$41),0)</f>
        <v>295</v>
      </c>
      <c r="H39" s="943">
        <f t="shared" si="5"/>
        <v>0</v>
      </c>
      <c r="I39" s="943">
        <f t="shared" si="6"/>
        <v>0</v>
      </c>
      <c r="J39" s="3735"/>
      <c r="K39" s="1787"/>
      <c r="L39" s="1787"/>
      <c r="M39" s="1787"/>
      <c r="N39" s="1787"/>
      <c r="O39" s="1787"/>
      <c r="P39" s="1786"/>
      <c r="Q39" s="1786"/>
      <c r="R39" s="1787"/>
      <c r="S39" s="1787"/>
      <c r="T39" s="1787"/>
      <c r="U39" s="1787"/>
      <c r="V39" s="1787"/>
      <c r="W39" s="1786"/>
      <c r="X39" s="1786"/>
      <c r="Y39" s="1786"/>
      <c r="Z39" s="1786"/>
      <c r="AA39" s="1786"/>
      <c r="AB39" s="1786"/>
      <c r="AC39" s="1787"/>
    </row>
    <row r="40" spans="1:44" s="1183" customFormat="1" ht="12.75">
      <c r="A40" s="1266"/>
      <c r="B40" s="1212" t="s">
        <v>925</v>
      </c>
      <c r="C40" s="943">
        <f>ROUND(D5*C22*C23*C24*C28*F40,0)</f>
        <v>1179</v>
      </c>
      <c r="D40" s="1279"/>
      <c r="E40" s="943">
        <f t="shared" si="4"/>
        <v>0</v>
      </c>
      <c r="F40" s="952">
        <f>SUMIF(修正!A57:A68,G2,修正!E57:E68)</f>
        <v>0.2</v>
      </c>
      <c r="G40" s="943">
        <f>ROUND(IF(E2="工业",C40*$M$42,C40*$M$41),0)</f>
        <v>295</v>
      </c>
      <c r="H40" s="943">
        <f t="shared" si="5"/>
        <v>0</v>
      </c>
      <c r="I40" s="943">
        <f t="shared" si="6"/>
        <v>0</v>
      </c>
      <c r="J40" s="1268"/>
      <c r="K40" s="1786"/>
      <c r="L40" s="1285" t="s">
        <v>1233</v>
      </c>
      <c r="M40" s="1286"/>
      <c r="N40" s="1786"/>
      <c r="O40" s="1786"/>
      <c r="P40" s="1786"/>
      <c r="Q40" s="1786"/>
      <c r="R40" s="1794"/>
      <c r="S40" s="1794"/>
      <c r="T40" s="1794"/>
      <c r="U40" s="1794"/>
      <c r="V40" s="1794"/>
      <c r="W40" s="1793"/>
      <c r="X40" s="1793"/>
      <c r="Y40" s="1793"/>
      <c r="Z40" s="1793"/>
      <c r="AA40" s="1793"/>
      <c r="AB40" s="1793"/>
      <c r="AC40" s="1794"/>
      <c r="AD40" s="1184"/>
      <c r="AE40" s="1184"/>
      <c r="AF40" s="1184"/>
      <c r="AG40" s="1184"/>
      <c r="AH40" s="1184"/>
      <c r="AI40" s="1184"/>
      <c r="AJ40" s="1184"/>
      <c r="AK40" s="1184"/>
      <c r="AL40" s="1184"/>
      <c r="AM40" s="1184"/>
    </row>
    <row r="41" spans="1:44" s="1183" customFormat="1" ht="12.75">
      <c r="A41" s="1266"/>
      <c r="B41" s="1212" t="s">
        <v>926</v>
      </c>
      <c r="C41" s="943">
        <f>ROUND(D5*C22*C23*C44*C28*F41,0)</f>
        <v>1175</v>
      </c>
      <c r="D41" s="1279"/>
      <c r="E41" s="943">
        <f t="shared" si="4"/>
        <v>0</v>
      </c>
      <c r="F41" s="952">
        <f>SUMIF(修正!A57:A68,G2,修正!F57:F68)</f>
        <v>0.2</v>
      </c>
      <c r="G41" s="943">
        <f>ROUND(IF(E2="工业",C41*$M$42,C41*$M$41),0)</f>
        <v>294</v>
      </c>
      <c r="H41" s="943">
        <f t="shared" si="5"/>
        <v>0</v>
      </c>
      <c r="I41" s="943">
        <f t="shared" si="6"/>
        <v>0</v>
      </c>
      <c r="J41" s="1268"/>
      <c r="K41" s="1786"/>
      <c r="L41" s="3365" t="s">
        <v>3235</v>
      </c>
      <c r="M41" s="1287">
        <v>0.25</v>
      </c>
      <c r="N41" s="1786"/>
      <c r="O41" s="1786"/>
      <c r="P41" s="1786"/>
      <c r="Q41" s="1786"/>
      <c r="R41" s="1794"/>
      <c r="S41" s="1794"/>
      <c r="T41" s="1794"/>
      <c r="U41" s="1794"/>
      <c r="V41" s="1794"/>
      <c r="W41" s="1793"/>
      <c r="X41" s="1793"/>
      <c r="Y41" s="1793"/>
      <c r="Z41" s="1793"/>
      <c r="AA41" s="1793"/>
      <c r="AB41" s="1793"/>
      <c r="AC41" s="1794"/>
      <c r="AD41" s="1184"/>
      <c r="AE41" s="1184"/>
      <c r="AF41" s="1184"/>
      <c r="AG41" s="1184"/>
      <c r="AH41" s="1184"/>
      <c r="AI41" s="1184"/>
      <c r="AJ41" s="1184"/>
      <c r="AK41" s="1184"/>
      <c r="AL41" s="1184"/>
      <c r="AM41" s="1184"/>
    </row>
    <row r="42" spans="1:44" s="1183" customFormat="1" ht="13.5" thickBot="1">
      <c r="A42" s="1252"/>
      <c r="B42" s="1269" t="s">
        <v>927</v>
      </c>
      <c r="C42" s="944">
        <f>ROUND(D5*C22*C23*C44*C28*F42,0)</f>
        <v>588</v>
      </c>
      <c r="D42" s="1280">
        <f>'数据-汇总表'!G22</f>
        <v>8520.4</v>
      </c>
      <c r="E42" s="944">
        <f t="shared" si="4"/>
        <v>501</v>
      </c>
      <c r="F42" s="954">
        <f>SUMIF(修正!A57:A68,G2,修正!G57:G68)</f>
        <v>0.1</v>
      </c>
      <c r="G42" s="944">
        <f>ROUND(IF(E2="工业",C42*$M$42,C42*$M$41),0)</f>
        <v>147</v>
      </c>
      <c r="H42" s="944">
        <f t="shared" si="5"/>
        <v>8520.4</v>
      </c>
      <c r="I42" s="944">
        <f t="shared" si="6"/>
        <v>125</v>
      </c>
      <c r="J42" s="1270"/>
      <c r="K42" s="1786"/>
      <c r="L42" s="1288" t="s">
        <v>1234</v>
      </c>
      <c r="M42" s="1289">
        <v>0.15</v>
      </c>
      <c r="N42" s="1786"/>
      <c r="O42" s="1786"/>
      <c r="P42" s="1786"/>
      <c r="Q42" s="1786"/>
      <c r="R42" s="1794"/>
      <c r="S42" s="1794"/>
      <c r="T42" s="1794"/>
      <c r="U42" s="1794"/>
      <c r="V42" s="1794"/>
      <c r="W42" s="1793"/>
      <c r="X42" s="1793"/>
      <c r="Y42" s="1793"/>
      <c r="Z42" s="1793"/>
      <c r="AA42" s="1793"/>
      <c r="AB42" s="1793"/>
      <c r="AC42" s="1794"/>
      <c r="AD42" s="1184"/>
      <c r="AE42" s="1184"/>
      <c r="AF42" s="1184"/>
      <c r="AG42" s="1184"/>
      <c r="AH42" s="1184"/>
      <c r="AI42" s="1184"/>
      <c r="AJ42" s="1184"/>
      <c r="AK42" s="1184"/>
      <c r="AL42" s="1184"/>
      <c r="AM42" s="1184"/>
    </row>
    <row r="43" spans="1:44" s="1183"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4"/>
      <c r="AE43" s="1184"/>
      <c r="AF43" s="1184"/>
      <c r="AG43" s="1184"/>
      <c r="AH43" s="1184"/>
      <c r="AI43" s="1184"/>
      <c r="AJ43" s="1184"/>
      <c r="AK43" s="1184"/>
      <c r="AL43" s="1184"/>
      <c r="AM43" s="1184"/>
    </row>
    <row r="44" spans="1:44" s="1183" customFormat="1" ht="12.75">
      <c r="A44" s="1184"/>
      <c r="B44" s="2392" t="s">
        <v>2236</v>
      </c>
      <c r="C44" s="771">
        <f>ROUND(POWER(1+E44,H44-G44)*(POWER(1+E44,G44)-1)/(POWER(1+E44,H44)-1),4)</f>
        <v>0.99560000000000004</v>
      </c>
      <c r="D44" s="346" t="s">
        <v>2234</v>
      </c>
      <c r="E44" s="2391">
        <f>G24</f>
        <v>0.05</v>
      </c>
      <c r="F44" s="346" t="s">
        <v>2235</v>
      </c>
      <c r="G44" s="364">
        <f>项目基本情况!F19</f>
        <v>49.08</v>
      </c>
      <c r="H44" s="346">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4"/>
      <c r="AE44" s="1184"/>
      <c r="AF44" s="1184"/>
      <c r="AG44" s="1184"/>
      <c r="AH44" s="1184"/>
      <c r="AI44" s="1184"/>
      <c r="AJ44" s="1184"/>
      <c r="AK44" s="1184"/>
      <c r="AL44" s="1184"/>
      <c r="AM44" s="1184"/>
    </row>
    <row r="45" spans="1:44" s="1183" customFormat="1">
      <c r="A45" s="1184"/>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4"/>
      <c r="AF45" s="1184"/>
      <c r="AG45" s="1184"/>
      <c r="AH45" s="1184"/>
      <c r="AI45" s="1184"/>
      <c r="AJ45" s="1184"/>
      <c r="AK45" s="1184"/>
      <c r="AL45" s="1184"/>
      <c r="AM45" s="1184"/>
      <c r="AN45" s="1184"/>
    </row>
    <row r="46" spans="1:44" s="1183" customFormat="1">
      <c r="A46" s="1184"/>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4"/>
      <c r="AF46" s="1184"/>
      <c r="AG46" s="1184"/>
      <c r="AH46" s="1184"/>
      <c r="AI46" s="1184"/>
      <c r="AJ46" s="1184"/>
      <c r="AK46" s="1184"/>
      <c r="AL46" s="1184"/>
      <c r="AM46" s="1184"/>
      <c r="AN46" s="1184"/>
    </row>
    <row r="47" spans="1:44" s="3306" customFormat="1" ht="15" thickBot="1">
      <c r="A47" s="3302" t="s">
        <v>928</v>
      </c>
      <c r="B47" s="3303"/>
      <c r="C47" s="3304"/>
      <c r="D47" s="3305"/>
      <c r="E47" s="3305"/>
      <c r="F47" s="3305"/>
      <c r="G47" s="3161"/>
      <c r="H47" s="3305"/>
      <c r="I47" s="3161"/>
      <c r="J47" s="3161"/>
      <c r="K47" s="3161"/>
      <c r="L47" s="3161"/>
      <c r="M47" s="3161"/>
      <c r="O47" s="1795"/>
      <c r="P47" s="1795"/>
      <c r="Q47" s="1795"/>
      <c r="R47" s="1795"/>
      <c r="S47" s="1795"/>
      <c r="T47" s="1795"/>
      <c r="U47" s="1795"/>
      <c r="V47" s="1795"/>
      <c r="W47" s="1795"/>
      <c r="X47" s="1795"/>
      <c r="Y47" s="1795"/>
      <c r="Z47" s="1795"/>
      <c r="AA47" s="1795"/>
      <c r="AB47" s="1795"/>
      <c r="AC47" s="1795"/>
      <c r="AD47" s="1795"/>
    </row>
    <row r="48" spans="1:44" s="3306" customFormat="1" ht="15">
      <c r="A48" s="3307" t="s">
        <v>929</v>
      </c>
      <c r="B48" s="3369">
        <f>1+E50</f>
        <v>1</v>
      </c>
      <c r="C48" s="3308"/>
      <c r="D48" s="3309"/>
      <c r="E48" s="3310"/>
      <c r="F48" s="3302"/>
      <c r="G48" s="3305"/>
      <c r="H48" s="3305"/>
      <c r="I48" s="3161"/>
      <c r="J48" s="3161"/>
      <c r="K48" s="3161"/>
      <c r="L48" s="3161"/>
      <c r="M48" s="3161"/>
      <c r="O48" s="1795"/>
      <c r="P48" s="1795"/>
      <c r="Q48" s="1795"/>
      <c r="R48" s="1795"/>
      <c r="S48" s="1795"/>
      <c r="T48" s="1795"/>
      <c r="U48" s="1795"/>
      <c r="V48" s="1795"/>
      <c r="W48" s="1795"/>
      <c r="X48" s="1795"/>
      <c r="Y48" s="1795"/>
      <c r="Z48" s="1795"/>
      <c r="AA48" s="1795"/>
      <c r="AB48" s="1795"/>
      <c r="AC48" s="1795"/>
      <c r="AD48" s="1795"/>
    </row>
    <row r="49" spans="1:30" s="3306" customFormat="1" ht="24">
      <c r="A49" s="3311" t="s">
        <v>930</v>
      </c>
      <c r="B49" s="3312" t="s">
        <v>931</v>
      </c>
      <c r="C49" s="3313" t="s">
        <v>932</v>
      </c>
      <c r="D49" s="3314" t="s">
        <v>933</v>
      </c>
      <c r="E49" s="3315" t="s">
        <v>935</v>
      </c>
      <c r="F49" s="3189" t="s">
        <v>1607</v>
      </c>
      <c r="G49" s="3314" t="s">
        <v>936</v>
      </c>
      <c r="H49" s="3316" t="s">
        <v>1770</v>
      </c>
      <c r="I49" s="3314" t="s">
        <v>934</v>
      </c>
      <c r="J49" s="3317" t="s">
        <v>937</v>
      </c>
      <c r="K49" s="3317" t="s">
        <v>938</v>
      </c>
      <c r="L49" s="3317" t="s">
        <v>939</v>
      </c>
      <c r="M49" s="3317" t="s">
        <v>940</v>
      </c>
      <c r="N49" s="3317" t="s">
        <v>941</v>
      </c>
      <c r="P49" s="1795"/>
      <c r="Q49" s="1795"/>
      <c r="R49" s="1795"/>
      <c r="S49" s="1795"/>
      <c r="T49" s="1795"/>
      <c r="U49" s="1795"/>
      <c r="V49" s="1795"/>
      <c r="W49" s="1795"/>
      <c r="X49" s="1795"/>
      <c r="Y49" s="1795"/>
      <c r="Z49" s="1795"/>
      <c r="AA49" s="1795"/>
      <c r="AB49" s="1795"/>
      <c r="AC49" s="1795"/>
      <c r="AD49" s="1795"/>
    </row>
    <row r="50" spans="1:30" s="3306" customFormat="1" ht="24">
      <c r="A50" s="3311" t="s">
        <v>942</v>
      </c>
      <c r="B50" s="3318">
        <f>估价对象房地状况!C16</f>
        <v>0</v>
      </c>
      <c r="C50" s="3319"/>
      <c r="D50" s="3320">
        <f t="shared" ref="D50:D58" si="7">SUMIF($J$49:$N$49,C50,J50:N50)</f>
        <v>0</v>
      </c>
      <c r="E50" s="3321">
        <f>ROUND(SUM(D50:D58),4)</f>
        <v>0</v>
      </c>
      <c r="F50" s="3322" t="str">
        <f>IF(E2="商业",SUMIF(L1:L12,G2,N1:N12),"——")</f>
        <v>——</v>
      </c>
      <c r="G50" s="3323"/>
      <c r="H50" s="3324" t="str">
        <f t="shared" ref="H50:H58" si="8">IFERROR(ROUNDDOWN(($F$50*I50/2),4),"——")</f>
        <v>——</v>
      </c>
      <c r="I50" s="3299">
        <v>0.3</v>
      </c>
      <c r="J50" s="3325">
        <f t="shared" ref="J50:J58" si="9">K50+$G50</f>
        <v>0</v>
      </c>
      <c r="K50" s="3325">
        <f t="shared" ref="K50:K58" si="10">$L50+$G50</f>
        <v>0</v>
      </c>
      <c r="L50" s="3325">
        <v>0</v>
      </c>
      <c r="M50" s="3325">
        <f t="shared" ref="M50:N58" si="11">L50-$G50</f>
        <v>0</v>
      </c>
      <c r="N50" s="3325">
        <f t="shared" si="11"/>
        <v>0</v>
      </c>
      <c r="P50" s="1795"/>
      <c r="Q50" s="1795"/>
      <c r="R50" s="1795"/>
      <c r="S50" s="1795"/>
      <c r="T50" s="1795"/>
      <c r="U50" s="1795"/>
      <c r="V50" s="1795"/>
      <c r="W50" s="1795"/>
      <c r="X50" s="1795"/>
      <c r="Y50" s="1795"/>
      <c r="Z50" s="1795"/>
      <c r="AA50" s="1795"/>
      <c r="AB50" s="1795"/>
      <c r="AC50" s="1795"/>
      <c r="AD50" s="1795"/>
    </row>
    <row r="51" spans="1:30" s="3306" customFormat="1" ht="14.25">
      <c r="A51" s="3311" t="s">
        <v>943</v>
      </c>
      <c r="B51" s="3312">
        <f>估价对象房地状况!C18</f>
        <v>0</v>
      </c>
      <c r="C51" s="3319"/>
      <c r="D51" s="3320">
        <f t="shared" si="7"/>
        <v>0</v>
      </c>
      <c r="E51" s="3326"/>
      <c r="F51" s="3322"/>
      <c r="G51" s="3323"/>
      <c r="H51" s="3324" t="str">
        <f t="shared" si="8"/>
        <v>——</v>
      </c>
      <c r="I51" s="3299">
        <v>0.22</v>
      </c>
      <c r="J51" s="3325">
        <f t="shared" si="9"/>
        <v>0</v>
      </c>
      <c r="K51" s="3325">
        <f t="shared" si="10"/>
        <v>0</v>
      </c>
      <c r="L51" s="3325">
        <v>0</v>
      </c>
      <c r="M51" s="3325">
        <f t="shared" si="11"/>
        <v>0</v>
      </c>
      <c r="N51" s="3325">
        <f t="shared" si="11"/>
        <v>0</v>
      </c>
      <c r="P51" s="1795"/>
      <c r="Q51" s="1795"/>
      <c r="R51" s="1795"/>
      <c r="S51" s="1795"/>
      <c r="T51" s="1795"/>
      <c r="U51" s="1795"/>
      <c r="V51" s="1795"/>
      <c r="W51" s="1795"/>
      <c r="X51" s="1795"/>
      <c r="Y51" s="1795"/>
      <c r="Z51" s="1795"/>
      <c r="AA51" s="1795"/>
      <c r="AB51" s="1795"/>
      <c r="AC51" s="1795"/>
      <c r="AD51" s="1795"/>
    </row>
    <row r="52" spans="1:30" s="3306" customFormat="1" ht="36">
      <c r="A52" s="3294" t="s">
        <v>3209</v>
      </c>
      <c r="B52" s="3312">
        <f>估价对象房地状况!C19</f>
        <v>0</v>
      </c>
      <c r="C52" s="3319"/>
      <c r="D52" s="3320">
        <f t="shared" si="7"/>
        <v>0</v>
      </c>
      <c r="E52" s="3326"/>
      <c r="F52" s="3322"/>
      <c r="G52" s="3323"/>
      <c r="H52" s="3324" t="str">
        <f t="shared" si="8"/>
        <v>——</v>
      </c>
      <c r="I52" s="3299">
        <v>0.12</v>
      </c>
      <c r="J52" s="3325">
        <f t="shared" si="9"/>
        <v>0</v>
      </c>
      <c r="K52" s="3325">
        <f t="shared" si="10"/>
        <v>0</v>
      </c>
      <c r="L52" s="3325">
        <v>0</v>
      </c>
      <c r="M52" s="3325">
        <f t="shared" si="11"/>
        <v>0</v>
      </c>
      <c r="N52" s="3325">
        <f t="shared" si="11"/>
        <v>0</v>
      </c>
      <c r="P52" s="1795"/>
      <c r="Q52" s="1795"/>
      <c r="R52" s="1795"/>
      <c r="S52" s="1795"/>
      <c r="T52" s="1795"/>
      <c r="U52" s="1795"/>
      <c r="V52" s="1795"/>
      <c r="W52" s="1795"/>
      <c r="X52" s="1795"/>
      <c r="Y52" s="1795"/>
      <c r="Z52" s="1795"/>
      <c r="AA52" s="1795"/>
      <c r="AB52" s="1795"/>
      <c r="AC52" s="1795"/>
      <c r="AD52" s="1795"/>
    </row>
    <row r="53" spans="1:30" s="3306" customFormat="1" ht="36">
      <c r="A53" s="3311" t="s">
        <v>945</v>
      </c>
      <c r="B53" s="3327" t="s">
        <v>2193</v>
      </c>
      <c r="C53" s="3319"/>
      <c r="D53" s="3320">
        <f t="shared" si="7"/>
        <v>0</v>
      </c>
      <c r="E53" s="3326"/>
      <c r="F53" s="3322"/>
      <c r="G53" s="3323"/>
      <c r="H53" s="3324" t="str">
        <f t="shared" si="8"/>
        <v>——</v>
      </c>
      <c r="I53" s="3299">
        <v>0.05</v>
      </c>
      <c r="J53" s="3325">
        <f t="shared" si="9"/>
        <v>0</v>
      </c>
      <c r="K53" s="3325">
        <f t="shared" si="10"/>
        <v>0</v>
      </c>
      <c r="L53" s="3325">
        <v>0</v>
      </c>
      <c r="M53" s="3325">
        <f t="shared" si="11"/>
        <v>0</v>
      </c>
      <c r="N53" s="3325">
        <f t="shared" si="11"/>
        <v>0</v>
      </c>
      <c r="P53" s="1795"/>
      <c r="Q53" s="1795"/>
      <c r="R53" s="1795"/>
      <c r="S53" s="1795"/>
      <c r="T53" s="1795"/>
      <c r="U53" s="1795"/>
      <c r="V53" s="1795"/>
      <c r="W53" s="1795"/>
      <c r="X53" s="1795"/>
      <c r="Y53" s="1795"/>
      <c r="Z53" s="1795"/>
      <c r="AA53" s="1795"/>
      <c r="AB53" s="1795"/>
      <c r="AC53" s="1795"/>
      <c r="AD53" s="1795"/>
    </row>
    <row r="54" spans="1:30" s="3306" customFormat="1" ht="24">
      <c r="A54" s="3311" t="s">
        <v>946</v>
      </c>
      <c r="B54" s="3312">
        <f>估价对象房地状况!C24</f>
        <v>0</v>
      </c>
      <c r="C54" s="3319"/>
      <c r="D54" s="3320">
        <f t="shared" si="7"/>
        <v>0</v>
      </c>
      <c r="E54" s="3326"/>
      <c r="F54" s="3322"/>
      <c r="G54" s="3323"/>
      <c r="H54" s="3324" t="str">
        <f t="shared" si="8"/>
        <v>——</v>
      </c>
      <c r="I54" s="3299">
        <v>0.08</v>
      </c>
      <c r="J54" s="3325">
        <f t="shared" si="9"/>
        <v>0</v>
      </c>
      <c r="K54" s="3325">
        <f t="shared" si="10"/>
        <v>0</v>
      </c>
      <c r="L54" s="3325">
        <v>0</v>
      </c>
      <c r="M54" s="3325">
        <f t="shared" si="11"/>
        <v>0</v>
      </c>
      <c r="N54" s="3325">
        <f t="shared" si="11"/>
        <v>0</v>
      </c>
      <c r="P54" s="1795"/>
      <c r="Q54" s="1795"/>
      <c r="R54" s="1795"/>
      <c r="S54" s="1795"/>
      <c r="T54" s="1795"/>
      <c r="U54" s="1795"/>
      <c r="V54" s="1795"/>
      <c r="W54" s="1795"/>
      <c r="X54" s="1795"/>
      <c r="Y54" s="1795"/>
      <c r="Z54" s="1795"/>
      <c r="AA54" s="1795"/>
      <c r="AB54" s="1795"/>
      <c r="AC54" s="1795"/>
      <c r="AD54" s="1795"/>
    </row>
    <row r="55" spans="1:30" s="3306" customFormat="1" ht="24">
      <c r="A55" s="3311" t="s">
        <v>947</v>
      </c>
      <c r="B55" s="3328" t="s">
        <v>2192</v>
      </c>
      <c r="C55" s="3319"/>
      <c r="D55" s="3320">
        <f t="shared" si="7"/>
        <v>0</v>
      </c>
      <c r="E55" s="3326"/>
      <c r="F55" s="3322"/>
      <c r="G55" s="3323"/>
      <c r="H55" s="3324" t="str">
        <f t="shared" si="8"/>
        <v>——</v>
      </c>
      <c r="I55" s="3299">
        <v>0.05</v>
      </c>
      <c r="J55" s="3325">
        <f t="shared" si="9"/>
        <v>0</v>
      </c>
      <c r="K55" s="3325">
        <f t="shared" si="10"/>
        <v>0</v>
      </c>
      <c r="L55" s="3325">
        <v>0</v>
      </c>
      <c r="M55" s="3325">
        <f t="shared" si="11"/>
        <v>0</v>
      </c>
      <c r="N55" s="3325">
        <f t="shared" si="11"/>
        <v>0</v>
      </c>
      <c r="P55" s="1795"/>
      <c r="Q55" s="1795"/>
      <c r="R55" s="1795"/>
      <c r="S55" s="1795"/>
      <c r="T55" s="1795"/>
      <c r="U55" s="1795"/>
      <c r="V55" s="1795"/>
      <c r="W55" s="1795"/>
      <c r="X55" s="1795"/>
      <c r="Y55" s="1795"/>
      <c r="Z55" s="1795"/>
      <c r="AA55" s="1795"/>
      <c r="AB55" s="1795"/>
      <c r="AC55" s="1795"/>
      <c r="AD55" s="1795"/>
    </row>
    <row r="56" spans="1:30" s="3306" customFormat="1" ht="24">
      <c r="A56" s="3329" t="s">
        <v>948</v>
      </c>
      <c r="B56" s="3330">
        <f>估价对象房地状况!C21</f>
        <v>0</v>
      </c>
      <c r="C56" s="3319"/>
      <c r="D56" s="3320">
        <f t="shared" si="7"/>
        <v>0</v>
      </c>
      <c r="E56" s="3326"/>
      <c r="F56" s="3322"/>
      <c r="G56" s="3323"/>
      <c r="H56" s="3324" t="str">
        <f t="shared" si="8"/>
        <v>——</v>
      </c>
      <c r="I56" s="3299">
        <v>0.05</v>
      </c>
      <c r="J56" s="3325">
        <f t="shared" si="9"/>
        <v>0</v>
      </c>
      <c r="K56" s="3325">
        <f t="shared" si="10"/>
        <v>0</v>
      </c>
      <c r="L56" s="3325">
        <v>0</v>
      </c>
      <c r="M56" s="3325">
        <f t="shared" si="11"/>
        <v>0</v>
      </c>
      <c r="N56" s="3325">
        <f t="shared" si="11"/>
        <v>0</v>
      </c>
      <c r="P56" s="1795"/>
      <c r="Q56" s="1795"/>
      <c r="R56" s="1795"/>
      <c r="S56" s="1795"/>
      <c r="T56" s="1795"/>
      <c r="U56" s="1795"/>
      <c r="V56" s="1795"/>
      <c r="W56" s="1795"/>
      <c r="X56" s="1795"/>
      <c r="Y56" s="1795"/>
      <c r="Z56" s="1795"/>
      <c r="AA56" s="1795"/>
      <c r="AB56" s="1795"/>
      <c r="AC56" s="1795"/>
      <c r="AD56" s="1795"/>
    </row>
    <row r="57" spans="1:30" s="3306" customFormat="1" ht="24">
      <c r="A57" s="3329" t="s">
        <v>949</v>
      </c>
      <c r="B57" s="3312" t="str">
        <f>估价对象房地状况!C22</f>
        <v>七通</v>
      </c>
      <c r="C57" s="3319"/>
      <c r="D57" s="3320">
        <f t="shared" si="7"/>
        <v>0</v>
      </c>
      <c r="E57" s="3326"/>
      <c r="F57" s="3322"/>
      <c r="G57" s="3323"/>
      <c r="H57" s="3324" t="str">
        <f t="shared" si="8"/>
        <v>——</v>
      </c>
      <c r="I57" s="3299">
        <v>0.08</v>
      </c>
      <c r="J57" s="3325">
        <f t="shared" si="9"/>
        <v>0</v>
      </c>
      <c r="K57" s="3325">
        <f t="shared" si="10"/>
        <v>0</v>
      </c>
      <c r="L57" s="3325">
        <v>0</v>
      </c>
      <c r="M57" s="3325">
        <f t="shared" si="11"/>
        <v>0</v>
      </c>
      <c r="N57" s="3325">
        <f t="shared" si="11"/>
        <v>0</v>
      </c>
      <c r="P57" s="1795"/>
      <c r="Q57" s="1795"/>
      <c r="R57" s="1795"/>
      <c r="S57" s="1795"/>
      <c r="T57" s="1795"/>
      <c r="U57" s="1795"/>
      <c r="V57" s="1795"/>
      <c r="W57" s="1795"/>
      <c r="X57" s="1795"/>
      <c r="Y57" s="1795"/>
      <c r="Z57" s="1795"/>
      <c r="AA57" s="1795"/>
      <c r="AB57" s="1795"/>
      <c r="AC57" s="1795"/>
      <c r="AD57" s="1795"/>
    </row>
    <row r="58" spans="1:30" s="3306" customFormat="1" ht="24.75" thickBot="1">
      <c r="A58" s="3331" t="s">
        <v>950</v>
      </c>
      <c r="B58" s="3332">
        <f>估价对象房地状况!C20</f>
        <v>0</v>
      </c>
      <c r="C58" s="3319"/>
      <c r="D58" s="3320">
        <f t="shared" si="7"/>
        <v>0</v>
      </c>
      <c r="E58" s="3333"/>
      <c r="F58" s="3322"/>
      <c r="G58" s="3323"/>
      <c r="H58" s="3324" t="str">
        <f t="shared" si="8"/>
        <v>——</v>
      </c>
      <c r="I58" s="3301">
        <v>0.05</v>
      </c>
      <c r="J58" s="3325">
        <f t="shared" si="9"/>
        <v>0</v>
      </c>
      <c r="K58" s="3325">
        <f t="shared" si="10"/>
        <v>0</v>
      </c>
      <c r="L58" s="3325">
        <v>0</v>
      </c>
      <c r="M58" s="3325">
        <f t="shared" si="11"/>
        <v>0</v>
      </c>
      <c r="N58" s="3325">
        <f t="shared" si="11"/>
        <v>0</v>
      </c>
      <c r="P58" s="1795"/>
      <c r="Q58" s="1795"/>
      <c r="R58" s="1795"/>
      <c r="S58" s="1795"/>
      <c r="T58" s="1795"/>
      <c r="U58" s="1795"/>
      <c r="V58" s="1795"/>
      <c r="W58" s="1795"/>
      <c r="X58" s="1795"/>
      <c r="Y58" s="1795"/>
      <c r="Z58" s="1795"/>
      <c r="AA58" s="1795"/>
      <c r="AB58" s="1795"/>
      <c r="AC58" s="1795"/>
      <c r="AD58" s="1795"/>
    </row>
    <row r="59" spans="1:30" s="3306" customFormat="1" ht="15">
      <c r="A59" s="3307" t="s">
        <v>951</v>
      </c>
      <c r="B59" s="3369">
        <f>1+E61</f>
        <v>1</v>
      </c>
      <c r="C59" s="3334"/>
      <c r="D59" s="3309"/>
      <c r="E59" s="3310"/>
      <c r="F59" s="3302"/>
      <c r="G59" s="3305"/>
      <c r="H59" s="3305"/>
      <c r="I59" s="3305"/>
      <c r="J59" s="3161"/>
      <c r="K59" s="3161"/>
      <c r="L59" s="3161"/>
      <c r="M59" s="3161"/>
      <c r="N59" s="3161"/>
      <c r="P59" s="1795"/>
      <c r="Q59" s="1795"/>
      <c r="R59" s="1795"/>
      <c r="S59" s="1795"/>
      <c r="T59" s="1795"/>
      <c r="U59" s="1795"/>
      <c r="V59" s="1795"/>
      <c r="W59" s="1795"/>
      <c r="X59" s="1795"/>
      <c r="Y59" s="1795"/>
      <c r="Z59" s="1795"/>
      <c r="AA59" s="1795"/>
      <c r="AB59" s="1795"/>
      <c r="AC59" s="1795"/>
      <c r="AD59" s="1795"/>
    </row>
    <row r="60" spans="1:30" s="3306" customFormat="1" ht="24">
      <c r="A60" s="3311" t="s">
        <v>930</v>
      </c>
      <c r="B60" s="3312"/>
      <c r="C60" s="3313" t="s">
        <v>932</v>
      </c>
      <c r="D60" s="3314" t="s">
        <v>933</v>
      </c>
      <c r="E60" s="3315" t="s">
        <v>935</v>
      </c>
      <c r="F60" s="3189" t="s">
        <v>1608</v>
      </c>
      <c r="G60" s="3314" t="s">
        <v>936</v>
      </c>
      <c r="H60" s="3316" t="s">
        <v>1770</v>
      </c>
      <c r="I60" s="3314" t="s">
        <v>934</v>
      </c>
      <c r="J60" s="3317" t="s">
        <v>937</v>
      </c>
      <c r="K60" s="3317" t="s">
        <v>938</v>
      </c>
      <c r="L60" s="3317" t="s">
        <v>939</v>
      </c>
      <c r="M60" s="3317" t="s">
        <v>940</v>
      </c>
      <c r="N60" s="3317" t="s">
        <v>941</v>
      </c>
      <c r="P60" s="1795"/>
      <c r="Q60" s="1795"/>
      <c r="R60" s="1795"/>
      <c r="S60" s="1795"/>
      <c r="T60" s="1795"/>
      <c r="U60" s="1795"/>
      <c r="V60" s="1795"/>
      <c r="W60" s="1795"/>
      <c r="X60" s="1795"/>
      <c r="Y60" s="1795"/>
      <c r="Z60" s="1795"/>
      <c r="AA60" s="1795"/>
      <c r="AB60" s="1795"/>
      <c r="AC60" s="1795"/>
      <c r="AD60" s="1795"/>
    </row>
    <row r="61" spans="1:30" s="3306" customFormat="1" ht="24">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5"/>
      <c r="Q61" s="1795"/>
      <c r="R61" s="1795"/>
      <c r="S61" s="1795"/>
      <c r="T61" s="1795"/>
      <c r="U61" s="1795"/>
      <c r="V61" s="1795"/>
      <c r="W61" s="1795"/>
      <c r="X61" s="1795"/>
      <c r="Y61" s="1795"/>
      <c r="Z61" s="1795"/>
      <c r="AA61" s="1795"/>
      <c r="AB61" s="1795"/>
      <c r="AC61" s="1795"/>
      <c r="AD61" s="1795"/>
    </row>
    <row r="62" spans="1:30" s="3306" customFormat="1" ht="14.25">
      <c r="A62" s="3311" t="s">
        <v>943</v>
      </c>
      <c r="B62" s="3312">
        <f>估价对象房地状况!C18</f>
        <v>0</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5"/>
      <c r="Q62" s="1795"/>
      <c r="R62" s="1795"/>
      <c r="S62" s="1795"/>
      <c r="T62" s="1795"/>
      <c r="U62" s="1795"/>
      <c r="V62" s="1795"/>
      <c r="W62" s="1795"/>
      <c r="X62" s="1795"/>
      <c r="Y62" s="1795"/>
      <c r="Z62" s="1795"/>
      <c r="AA62" s="1795"/>
      <c r="AB62" s="1795"/>
      <c r="AC62" s="1795"/>
      <c r="AD62" s="1795"/>
    </row>
    <row r="63" spans="1:30" s="3306" customFormat="1" ht="36">
      <c r="A63" s="3294" t="s">
        <v>3209</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5"/>
      <c r="Q63" s="1795"/>
      <c r="R63" s="1795"/>
      <c r="S63" s="1795"/>
      <c r="T63" s="1795"/>
      <c r="U63" s="1795"/>
      <c r="V63" s="1795"/>
      <c r="W63" s="1795"/>
      <c r="X63" s="1795"/>
      <c r="Y63" s="1795"/>
      <c r="Z63" s="1795"/>
      <c r="AA63" s="1795"/>
      <c r="AB63" s="1795"/>
      <c r="AC63" s="1795"/>
      <c r="AD63" s="1795"/>
    </row>
    <row r="64" spans="1:30" s="3306" customFormat="1" ht="36">
      <c r="A64" s="3311" t="s">
        <v>945</v>
      </c>
      <c r="B64" s="3327" t="s">
        <v>2194</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5"/>
      <c r="Q64" s="1795"/>
      <c r="R64" s="1795"/>
      <c r="S64" s="1795"/>
      <c r="T64" s="1795"/>
      <c r="U64" s="1795"/>
      <c r="V64" s="1795"/>
      <c r="W64" s="1795"/>
      <c r="X64" s="1795"/>
      <c r="Y64" s="1795"/>
      <c r="Z64" s="1795"/>
      <c r="AA64" s="1795"/>
      <c r="AB64" s="1795"/>
      <c r="AC64" s="1795"/>
      <c r="AD64" s="1795"/>
    </row>
    <row r="65" spans="1:36" s="3306" customFormat="1" ht="24">
      <c r="A65" s="3311" t="s">
        <v>946</v>
      </c>
      <c r="B65" s="3312">
        <f>估价对象房地状况!C24</f>
        <v>0</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5"/>
      <c r="Q65" s="1795"/>
      <c r="R65" s="1795"/>
      <c r="S65" s="1795"/>
      <c r="T65" s="1795"/>
      <c r="U65" s="1795"/>
      <c r="V65" s="1795"/>
      <c r="W65" s="1795"/>
      <c r="X65" s="1795"/>
      <c r="Y65" s="1795"/>
      <c r="Z65" s="1795"/>
      <c r="AA65" s="1795"/>
      <c r="AB65" s="1795"/>
      <c r="AC65" s="1795"/>
      <c r="AD65" s="1795"/>
    </row>
    <row r="66" spans="1:36" s="3306" customFormat="1" ht="24">
      <c r="A66" s="3311" t="s">
        <v>947</v>
      </c>
      <c r="B66" s="3328" t="s">
        <v>2192</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5"/>
      <c r="Q66" s="1795"/>
      <c r="R66" s="1795"/>
      <c r="S66" s="1795"/>
      <c r="T66" s="1795"/>
      <c r="U66" s="1795"/>
      <c r="V66" s="1795"/>
      <c r="W66" s="1795"/>
      <c r="X66" s="1795"/>
      <c r="Y66" s="1795"/>
      <c r="Z66" s="1795"/>
      <c r="AA66" s="1795"/>
      <c r="AB66" s="1795"/>
      <c r="AC66" s="1795"/>
      <c r="AD66" s="1795"/>
    </row>
    <row r="67" spans="1:36" s="3306" customFormat="1" ht="24">
      <c r="A67" s="3311" t="s">
        <v>948</v>
      </c>
      <c r="B67" s="3330">
        <f>估价对象房地状况!C21</f>
        <v>0</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5"/>
      <c r="Q67" s="1795"/>
      <c r="R67" s="1795"/>
      <c r="S67" s="1795"/>
      <c r="T67" s="1795"/>
      <c r="U67" s="1795"/>
      <c r="V67" s="1795"/>
      <c r="W67" s="1795"/>
      <c r="X67" s="1795"/>
      <c r="Y67" s="1795"/>
      <c r="Z67" s="1795"/>
      <c r="AA67" s="1795"/>
      <c r="AB67" s="1795"/>
      <c r="AC67" s="1795"/>
      <c r="AD67" s="1795"/>
    </row>
    <row r="68" spans="1:36" s="3306" customFormat="1" ht="24">
      <c r="A68" s="3311" t="s">
        <v>949</v>
      </c>
      <c r="B68" s="3330" t="str">
        <f>估价对象房地状况!C22</f>
        <v>七通</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5"/>
      <c r="Q68" s="1795"/>
      <c r="R68" s="1795"/>
      <c r="S68" s="1795"/>
      <c r="T68" s="1795"/>
      <c r="U68" s="1795"/>
      <c r="V68" s="1795"/>
      <c r="W68" s="1795"/>
      <c r="X68" s="1795"/>
      <c r="Y68" s="1795"/>
      <c r="Z68" s="1795"/>
      <c r="AA68" s="1795"/>
      <c r="AB68" s="1795"/>
      <c r="AC68" s="1795"/>
      <c r="AD68" s="1795"/>
    </row>
    <row r="69" spans="1:36" s="3306" customFormat="1" ht="24.75" thickBot="1">
      <c r="A69" s="3331" t="s">
        <v>950</v>
      </c>
      <c r="B69" s="3335">
        <f>估价对象房地状况!C20</f>
        <v>0</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5"/>
      <c r="Q69" s="1795"/>
      <c r="R69" s="1795"/>
      <c r="S69" s="1795"/>
      <c r="T69" s="1795"/>
      <c r="U69" s="1795"/>
      <c r="V69" s="1795"/>
      <c r="W69" s="1795"/>
      <c r="X69" s="1795"/>
      <c r="Y69" s="1795"/>
      <c r="Z69" s="1795"/>
      <c r="AA69" s="1795"/>
      <c r="AB69" s="1795"/>
      <c r="AC69" s="1795"/>
      <c r="AD69" s="1795"/>
    </row>
    <row r="70" spans="1:36" s="3306" customFormat="1" ht="15">
      <c r="A70" s="3307" t="s">
        <v>953</v>
      </c>
      <c r="B70" s="3369">
        <f>1+E72</f>
        <v>1.0196000000000001</v>
      </c>
      <c r="C70" s="3334"/>
      <c r="D70" s="3309"/>
      <c r="E70" s="3310"/>
      <c r="F70" s="3302"/>
      <c r="G70" s="3305"/>
      <c r="H70" s="3305"/>
      <c r="I70" s="3305"/>
      <c r="J70" s="3161"/>
      <c r="K70" s="3161"/>
      <c r="L70" s="3161"/>
      <c r="M70" s="3161"/>
      <c r="N70" s="3161"/>
      <c r="P70" s="1795"/>
      <c r="Q70" s="1795"/>
      <c r="R70" s="1795"/>
      <c r="S70" s="1795"/>
      <c r="T70" s="1795"/>
      <c r="U70" s="1795"/>
      <c r="V70" s="1795"/>
      <c r="W70" s="1795"/>
      <c r="X70" s="1795"/>
      <c r="Y70" s="1795"/>
      <c r="Z70" s="1795"/>
      <c r="AA70" s="1795"/>
      <c r="AB70" s="1795"/>
      <c r="AC70" s="1795"/>
      <c r="AD70" s="1795"/>
    </row>
    <row r="71" spans="1:36" s="3306" customFormat="1" ht="24">
      <c r="A71" s="3311" t="s">
        <v>930</v>
      </c>
      <c r="B71" s="3312"/>
      <c r="C71" s="3313" t="s">
        <v>932</v>
      </c>
      <c r="D71" s="3314" t="s">
        <v>933</v>
      </c>
      <c r="E71" s="3315" t="s">
        <v>935</v>
      </c>
      <c r="F71" s="3189" t="s">
        <v>1609</v>
      </c>
      <c r="G71" s="3314" t="s">
        <v>936</v>
      </c>
      <c r="H71" s="3316" t="s">
        <v>1770</v>
      </c>
      <c r="I71" s="3314" t="s">
        <v>934</v>
      </c>
      <c r="J71" s="3317" t="s">
        <v>937</v>
      </c>
      <c r="K71" s="3317" t="s">
        <v>938</v>
      </c>
      <c r="L71" s="3317" t="s">
        <v>939</v>
      </c>
      <c r="M71" s="3317" t="s">
        <v>940</v>
      </c>
      <c r="N71" s="3317" t="s">
        <v>941</v>
      </c>
      <c r="P71" s="1795"/>
      <c r="Q71" s="1795"/>
      <c r="R71" s="1795"/>
      <c r="S71" s="1795"/>
      <c r="T71" s="1795"/>
      <c r="U71" s="1795"/>
      <c r="V71" s="1795"/>
      <c r="W71" s="1795"/>
      <c r="X71" s="1795"/>
      <c r="Y71" s="1795"/>
      <c r="Z71" s="1795"/>
      <c r="AA71" s="1795"/>
      <c r="AB71" s="1795"/>
      <c r="AC71" s="1795"/>
      <c r="AD71" s="1795"/>
    </row>
    <row r="72" spans="1:36" s="3306" customFormat="1" ht="24">
      <c r="A72" s="3311" t="s">
        <v>954</v>
      </c>
      <c r="B72" s="3312">
        <f>估价对象房地状况!C15</f>
        <v>0</v>
      </c>
      <c r="C72" s="3336" t="s">
        <v>3342</v>
      </c>
      <c r="D72" s="3320">
        <f t="shared" ref="D72:D80" si="17">SUMIF($J$71:$N$71,C72,J72:N72)</f>
        <v>0</v>
      </c>
      <c r="E72" s="3321">
        <f>ROUND(SUM(D72:D80),4)</f>
        <v>1.9599999999999999E-2</v>
      </c>
      <c r="F72" s="3322">
        <f>IF(E2="住宅",SUMIF(L1:L12,G2,N1:N12),"——")</f>
        <v>0.14099999999999999</v>
      </c>
      <c r="G72" s="3337">
        <v>1.41E-2</v>
      </c>
      <c r="H72" s="3338">
        <f t="shared" ref="H72:H80" si="18">IFERROR(ROUNDDOWN($F$72*I72/2,4),"——")</f>
        <v>1.41E-2</v>
      </c>
      <c r="I72" s="3299">
        <v>0.2</v>
      </c>
      <c r="J72" s="3325">
        <f t="shared" ref="J72:J80" si="19">K72+$G72</f>
        <v>2.8199999999999999E-2</v>
      </c>
      <c r="K72" s="3325">
        <f t="shared" ref="K72:K80" si="20">$L72+$G72</f>
        <v>1.41E-2</v>
      </c>
      <c r="L72" s="3325">
        <v>0</v>
      </c>
      <c r="M72" s="3325">
        <f t="shared" ref="M72:N80" si="21">L72-$G72</f>
        <v>-1.41E-2</v>
      </c>
      <c r="N72" s="3325">
        <f t="shared" si="21"/>
        <v>-2.8199999999999999E-2</v>
      </c>
      <c r="P72" s="1795"/>
      <c r="Q72" s="1795"/>
      <c r="R72" s="1795"/>
      <c r="S72" s="1795"/>
      <c r="T72" s="1795"/>
      <c r="U72" s="1795"/>
      <c r="V72" s="1795"/>
      <c r="W72" s="1795"/>
      <c r="X72" s="1795"/>
      <c r="Y72" s="1795"/>
      <c r="Z72" s="1795"/>
      <c r="AA72" s="1795"/>
      <c r="AB72" s="1795"/>
      <c r="AC72" s="1795"/>
      <c r="AD72" s="1795"/>
    </row>
    <row r="73" spans="1:36" s="3306" customFormat="1" ht="14.25">
      <c r="A73" s="3311" t="s">
        <v>955</v>
      </c>
      <c r="B73" s="3312">
        <f>估价对象房地状况!C18</f>
        <v>0</v>
      </c>
      <c r="C73" s="3336" t="s">
        <v>3342</v>
      </c>
      <c r="D73" s="3320">
        <f t="shared" si="17"/>
        <v>0</v>
      </c>
      <c r="E73" s="3326"/>
      <c r="F73" s="3322"/>
      <c r="G73" s="3337">
        <v>1.83E-2</v>
      </c>
      <c r="H73" s="3338">
        <f t="shared" si="18"/>
        <v>1.83E-2</v>
      </c>
      <c r="I73" s="3299">
        <v>0.26</v>
      </c>
      <c r="J73" s="3325">
        <f t="shared" si="19"/>
        <v>3.6600000000000001E-2</v>
      </c>
      <c r="K73" s="3325">
        <f t="shared" si="20"/>
        <v>1.83E-2</v>
      </c>
      <c r="L73" s="3325">
        <v>0</v>
      </c>
      <c r="M73" s="3325">
        <f t="shared" si="21"/>
        <v>-1.83E-2</v>
      </c>
      <c r="N73" s="3325">
        <f t="shared" si="21"/>
        <v>-3.6600000000000001E-2</v>
      </c>
      <c r="P73" s="1795"/>
      <c r="Q73" s="1795"/>
      <c r="R73" s="1795"/>
      <c r="S73" s="1795"/>
      <c r="T73" s="1795"/>
      <c r="U73" s="1795"/>
      <c r="V73" s="1795"/>
      <c r="W73" s="1795"/>
      <c r="X73" s="1795"/>
      <c r="Y73" s="1795"/>
      <c r="Z73" s="1795"/>
      <c r="AA73" s="1795"/>
      <c r="AB73" s="1795"/>
      <c r="AC73" s="1795"/>
      <c r="AD73" s="1795"/>
    </row>
    <row r="74" spans="1:36" s="3306" customFormat="1" ht="36">
      <c r="A74" s="3294" t="s">
        <v>3209</v>
      </c>
      <c r="B74" s="3312">
        <f>估价对象房地状况!C19</f>
        <v>0</v>
      </c>
      <c r="C74" s="3336" t="s">
        <v>3346</v>
      </c>
      <c r="D74" s="3320">
        <f t="shared" si="17"/>
        <v>7.0000000000000001E-3</v>
      </c>
      <c r="E74" s="3326"/>
      <c r="F74" s="3322"/>
      <c r="G74" s="3337">
        <v>7.0000000000000001E-3</v>
      </c>
      <c r="H74" s="3338">
        <f t="shared" si="18"/>
        <v>7.0000000000000001E-3</v>
      </c>
      <c r="I74" s="3299">
        <v>0.1</v>
      </c>
      <c r="J74" s="3325">
        <f t="shared" si="19"/>
        <v>1.4E-2</v>
      </c>
      <c r="K74" s="3325">
        <f t="shared" si="20"/>
        <v>7.0000000000000001E-3</v>
      </c>
      <c r="L74" s="3325">
        <v>0</v>
      </c>
      <c r="M74" s="3325">
        <f t="shared" si="21"/>
        <v>-7.0000000000000001E-3</v>
      </c>
      <c r="N74" s="3325">
        <f t="shared" si="21"/>
        <v>-1.4E-2</v>
      </c>
      <c r="P74" s="1795"/>
      <c r="Q74" s="1795"/>
      <c r="R74" s="1795"/>
      <c r="S74" s="1795"/>
      <c r="T74" s="1795"/>
      <c r="U74" s="1795"/>
      <c r="V74" s="1795"/>
      <c r="W74" s="1795"/>
      <c r="X74" s="1795"/>
      <c r="Y74" s="1795"/>
      <c r="Z74" s="1795"/>
      <c r="AA74" s="1795"/>
      <c r="AB74" s="1795"/>
      <c r="AC74" s="1795"/>
      <c r="AD74" s="1795"/>
    </row>
    <row r="75" spans="1:36" s="1271" customFormat="1" ht="14.25">
      <c r="A75" s="3311" t="s">
        <v>956</v>
      </c>
      <c r="B75" s="3312">
        <f>估价对象房地状况!C24</f>
        <v>0</v>
      </c>
      <c r="C75" s="3336" t="s">
        <v>3342</v>
      </c>
      <c r="D75" s="3320">
        <f t="shared" si="17"/>
        <v>0</v>
      </c>
      <c r="E75" s="3326"/>
      <c r="F75" s="3322"/>
      <c r="G75" s="3337">
        <v>3.5000000000000001E-3</v>
      </c>
      <c r="H75" s="3338">
        <f t="shared" si="18"/>
        <v>3.5000000000000001E-3</v>
      </c>
      <c r="I75" s="3299">
        <v>0.05</v>
      </c>
      <c r="J75" s="3325">
        <f t="shared" si="19"/>
        <v>7.0000000000000001E-3</v>
      </c>
      <c r="K75" s="3325">
        <f t="shared" si="20"/>
        <v>3.5000000000000001E-3</v>
      </c>
      <c r="L75" s="3325">
        <v>0</v>
      </c>
      <c r="M75" s="3325">
        <f t="shared" si="21"/>
        <v>-3.5000000000000001E-3</v>
      </c>
      <c r="N75" s="3325">
        <f t="shared" si="21"/>
        <v>-7.0000000000000001E-3</v>
      </c>
      <c r="O75" s="3306"/>
      <c r="P75" s="1795"/>
      <c r="Q75" s="1795"/>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1" customFormat="1" ht="24">
      <c r="A76" s="3311" t="s">
        <v>948</v>
      </c>
      <c r="B76" s="3330">
        <f>估价对象房地状况!C21</f>
        <v>0</v>
      </c>
      <c r="C76" s="3336" t="s">
        <v>3342</v>
      </c>
      <c r="D76" s="3320">
        <f t="shared" si="17"/>
        <v>0</v>
      </c>
      <c r="E76" s="3326"/>
      <c r="F76" s="3322"/>
      <c r="G76" s="3337">
        <v>5.5999999999999999E-3</v>
      </c>
      <c r="H76" s="3338">
        <f t="shared" si="18"/>
        <v>5.5999999999999999E-3</v>
      </c>
      <c r="I76" s="3299">
        <v>0.08</v>
      </c>
      <c r="J76" s="3325">
        <f t="shared" si="19"/>
        <v>1.12E-2</v>
      </c>
      <c r="K76" s="3325">
        <f t="shared" si="20"/>
        <v>5.5999999999999999E-3</v>
      </c>
      <c r="L76" s="3325">
        <v>0</v>
      </c>
      <c r="M76" s="3325">
        <f t="shared" si="21"/>
        <v>-5.5999999999999999E-3</v>
      </c>
      <c r="N76" s="3325">
        <f t="shared" si="21"/>
        <v>-1.12E-2</v>
      </c>
      <c r="O76" s="3306"/>
      <c r="P76" s="1795"/>
      <c r="Q76" s="1795"/>
      <c r="AE76" s="3306"/>
      <c r="AF76" s="3306"/>
      <c r="AG76" s="3306"/>
      <c r="AH76" s="3306"/>
      <c r="AI76" s="3306"/>
      <c r="AJ76" s="3306"/>
    </row>
    <row r="77" spans="1:36" s="1271" customFormat="1" ht="24">
      <c r="A77" s="3311" t="s">
        <v>949</v>
      </c>
      <c r="B77" s="3330" t="str">
        <f>估价对象房地状况!C22</f>
        <v>七通</v>
      </c>
      <c r="C77" s="3336" t="s">
        <v>3352</v>
      </c>
      <c r="D77" s="3320">
        <f t="shared" si="17"/>
        <v>1.26E-2</v>
      </c>
      <c r="E77" s="3326"/>
      <c r="F77" s="3322"/>
      <c r="G77" s="3337">
        <v>6.3E-3</v>
      </c>
      <c r="H77" s="3338">
        <f t="shared" si="18"/>
        <v>6.3E-3</v>
      </c>
      <c r="I77" s="3299">
        <v>0.09</v>
      </c>
      <c r="J77" s="3325">
        <f t="shared" si="19"/>
        <v>1.26E-2</v>
      </c>
      <c r="K77" s="3325">
        <f t="shared" si="20"/>
        <v>6.3E-3</v>
      </c>
      <c r="L77" s="3325">
        <v>0</v>
      </c>
      <c r="M77" s="3325">
        <f t="shared" si="21"/>
        <v>-6.3E-3</v>
      </c>
      <c r="N77" s="3325">
        <f t="shared" si="21"/>
        <v>-1.26E-2</v>
      </c>
      <c r="O77" s="3306"/>
      <c r="P77" s="1795"/>
      <c r="Q77" s="1795"/>
      <c r="AE77" s="3306"/>
      <c r="AF77" s="3306"/>
      <c r="AG77" s="3306"/>
      <c r="AH77" s="3306"/>
      <c r="AI77" s="3306"/>
      <c r="AJ77" s="3306"/>
    </row>
    <row r="78" spans="1:36" s="1271" customFormat="1" ht="24">
      <c r="A78" s="3311" t="s">
        <v>947</v>
      </c>
      <c r="B78" s="3328" t="s">
        <v>2192</v>
      </c>
      <c r="C78" s="3336" t="s">
        <v>3346</v>
      </c>
      <c r="D78" s="3320">
        <f t="shared" si="17"/>
        <v>3.5000000000000001E-3</v>
      </c>
      <c r="E78" s="3326"/>
      <c r="F78" s="3322"/>
      <c r="G78" s="3337">
        <v>3.5000000000000001E-3</v>
      </c>
      <c r="H78" s="3338">
        <f t="shared" si="18"/>
        <v>3.5000000000000001E-3</v>
      </c>
      <c r="I78" s="3299">
        <v>0.05</v>
      </c>
      <c r="J78" s="3325">
        <f t="shared" si="19"/>
        <v>7.0000000000000001E-3</v>
      </c>
      <c r="K78" s="3325">
        <f t="shared" si="20"/>
        <v>3.5000000000000001E-3</v>
      </c>
      <c r="L78" s="3325">
        <v>0</v>
      </c>
      <c r="M78" s="3325">
        <f t="shared" si="21"/>
        <v>-3.5000000000000001E-3</v>
      </c>
      <c r="N78" s="3325">
        <f t="shared" si="21"/>
        <v>-7.0000000000000001E-3</v>
      </c>
      <c r="O78" s="3306"/>
      <c r="P78" s="1795"/>
      <c r="Q78" s="1795"/>
      <c r="AE78" s="3306"/>
      <c r="AF78" s="3306"/>
      <c r="AG78" s="3306"/>
      <c r="AH78" s="3306"/>
      <c r="AI78" s="3306"/>
      <c r="AJ78" s="3306"/>
    </row>
    <row r="79" spans="1:36" s="1271" customFormat="1" ht="24">
      <c r="A79" s="3311" t="s">
        <v>950</v>
      </c>
      <c r="B79" s="3318">
        <f>估价对象房地状况!C20</f>
        <v>0</v>
      </c>
      <c r="C79" s="3336" t="s">
        <v>3342</v>
      </c>
      <c r="D79" s="3320">
        <f t="shared" si="17"/>
        <v>0</v>
      </c>
      <c r="E79" s="3326"/>
      <c r="F79" s="3322"/>
      <c r="G79" s="3337">
        <v>8.3999999999999995E-3</v>
      </c>
      <c r="H79" s="3338">
        <f t="shared" si="18"/>
        <v>8.3999999999999995E-3</v>
      </c>
      <c r="I79" s="3299">
        <v>0.12</v>
      </c>
      <c r="J79" s="3325">
        <f t="shared" si="19"/>
        <v>1.6799999999999999E-2</v>
      </c>
      <c r="K79" s="3325">
        <f t="shared" si="20"/>
        <v>8.3999999999999995E-3</v>
      </c>
      <c r="L79" s="3325">
        <v>0</v>
      </c>
      <c r="M79" s="3325">
        <f t="shared" si="21"/>
        <v>-8.3999999999999995E-3</v>
      </c>
      <c r="N79" s="3325">
        <f t="shared" si="21"/>
        <v>-1.6799999999999999E-2</v>
      </c>
      <c r="P79" s="3339"/>
      <c r="Q79" s="3339"/>
      <c r="AE79" s="3306"/>
      <c r="AF79" s="3306"/>
      <c r="AG79" s="3306"/>
      <c r="AH79" s="3306"/>
      <c r="AI79" s="3306"/>
      <c r="AJ79" s="3306"/>
    </row>
    <row r="80" spans="1:36" s="1271" customFormat="1" ht="24.75" thickBot="1">
      <c r="A80" s="3331" t="s">
        <v>957</v>
      </c>
      <c r="B80" s="3340"/>
      <c r="C80" s="3336" t="s">
        <v>3343</v>
      </c>
      <c r="D80" s="3320">
        <f t="shared" si="17"/>
        <v>-3.5000000000000001E-3</v>
      </c>
      <c r="E80" s="3333"/>
      <c r="F80" s="3322"/>
      <c r="G80" s="3337">
        <v>3.5000000000000001E-3</v>
      </c>
      <c r="H80" s="3338">
        <f t="shared" si="18"/>
        <v>3.5000000000000001E-3</v>
      </c>
      <c r="I80" s="3301">
        <v>0.05</v>
      </c>
      <c r="J80" s="3325">
        <f t="shared" si="19"/>
        <v>7.0000000000000001E-3</v>
      </c>
      <c r="K80" s="3325">
        <f t="shared" si="20"/>
        <v>3.5000000000000001E-3</v>
      </c>
      <c r="L80" s="3325">
        <v>0</v>
      </c>
      <c r="M80" s="3325">
        <f t="shared" si="21"/>
        <v>-3.5000000000000001E-3</v>
      </c>
      <c r="N80" s="3325">
        <f t="shared" si="21"/>
        <v>-7.0000000000000001E-3</v>
      </c>
      <c r="AE80" s="3306"/>
      <c r="AF80" s="3306"/>
      <c r="AG80" s="3306"/>
      <c r="AH80" s="3306"/>
      <c r="AI80" s="3306"/>
      <c r="AJ80" s="3306"/>
    </row>
    <row r="81" spans="1:36" s="1271" customFormat="1" ht="15">
      <c r="A81" s="3307" t="s">
        <v>958</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1" customFormat="1" ht="24">
      <c r="A82" s="3311" t="s">
        <v>930</v>
      </c>
      <c r="B82" s="3312"/>
      <c r="C82" s="3313" t="s">
        <v>932</v>
      </c>
      <c r="D82" s="3314" t="s">
        <v>933</v>
      </c>
      <c r="E82" s="3315" t="s">
        <v>935</v>
      </c>
      <c r="F82" s="3189" t="s">
        <v>1610</v>
      </c>
      <c r="G82" s="3314" t="s">
        <v>936</v>
      </c>
      <c r="H82" s="3316" t="s">
        <v>1770</v>
      </c>
      <c r="I82" s="3314" t="s">
        <v>934</v>
      </c>
      <c r="J82" s="3317" t="s">
        <v>937</v>
      </c>
      <c r="K82" s="3317" t="s">
        <v>938</v>
      </c>
      <c r="L82" s="3317" t="s">
        <v>939</v>
      </c>
      <c r="M82" s="3317" t="s">
        <v>940</v>
      </c>
      <c r="N82" s="3317" t="s">
        <v>941</v>
      </c>
      <c r="AE82" s="3306"/>
      <c r="AF82" s="3306"/>
      <c r="AG82" s="3306"/>
      <c r="AH82" s="3306"/>
      <c r="AI82" s="3306"/>
      <c r="AJ82" s="3306"/>
    </row>
    <row r="83" spans="1:36" s="1271"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1" customFormat="1" ht="36">
      <c r="A84" s="3311" t="s">
        <v>955</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1"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1"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1"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1"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1" customFormat="1" ht="24">
      <c r="A89" s="3311" t="s">
        <v>947</v>
      </c>
      <c r="B89" s="3328" t="s">
        <v>2192</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1"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1" customFormat="1" ht="15">
      <c r="A91" s="3295" t="s">
        <v>3218</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1" customFormat="1" ht="24">
      <c r="A92" s="3296" t="s">
        <v>3219</v>
      </c>
      <c r="B92" s="3296"/>
      <c r="C92" s="3296" t="s">
        <v>3224</v>
      </c>
      <c r="D92" s="3296" t="s">
        <v>3211</v>
      </c>
      <c r="E92" s="344" t="s">
        <v>3212</v>
      </c>
      <c r="F92" s="3351" t="s">
        <v>1607</v>
      </c>
      <c r="G92" s="3314" t="s">
        <v>936</v>
      </c>
      <c r="H92" s="3316" t="s">
        <v>1770</v>
      </c>
      <c r="I92" s="3314" t="s">
        <v>934</v>
      </c>
      <c r="J92" s="3317" t="s">
        <v>937</v>
      </c>
      <c r="K92" s="3317" t="s">
        <v>938</v>
      </c>
      <c r="L92" s="3317" t="s">
        <v>939</v>
      </c>
      <c r="M92" s="3317" t="s">
        <v>940</v>
      </c>
      <c r="N92" s="3317" t="s">
        <v>941</v>
      </c>
      <c r="AE92" s="3306"/>
      <c r="AF92" s="3306"/>
      <c r="AG92" s="3306"/>
      <c r="AH92" s="3306"/>
      <c r="AI92" s="3306"/>
      <c r="AJ92" s="3306"/>
    </row>
    <row r="93" spans="1:36" s="1271" customFormat="1" ht="24">
      <c r="A93" s="3350" t="s">
        <v>3220</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93" si="28">L93-$G93</f>
        <v>0</v>
      </c>
      <c r="N93" s="3349">
        <f t="shared" si="28"/>
        <v>0</v>
      </c>
      <c r="AE93" s="3306"/>
      <c r="AF93" s="3306"/>
      <c r="AG93" s="3306"/>
      <c r="AH93" s="3306"/>
      <c r="AI93" s="3306"/>
      <c r="AJ93" s="3306"/>
    </row>
    <row r="94" spans="1:36" s="1271" customFormat="1" ht="36">
      <c r="A94" s="3296" t="s">
        <v>3221</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ref="M94:M101" si="31">L94-$G94</f>
        <v>0</v>
      </c>
      <c r="N94" s="3349">
        <f t="shared" ref="N94:N101" si="32">M94-$G94</f>
        <v>0</v>
      </c>
      <c r="AE94" s="3306"/>
      <c r="AF94" s="3306"/>
      <c r="AG94" s="3306"/>
      <c r="AH94" s="3306"/>
      <c r="AI94" s="3306"/>
      <c r="AJ94" s="3306"/>
    </row>
    <row r="95" spans="1:36" s="1271" customFormat="1" ht="36">
      <c r="A95" s="3350" t="s">
        <v>3209</v>
      </c>
      <c r="B95" s="3312">
        <f>估价对象房地状况!G17</f>
        <v>0</v>
      </c>
      <c r="C95" s="3319"/>
      <c r="D95" s="3320">
        <f t="shared" si="29"/>
        <v>0</v>
      </c>
      <c r="E95" s="3344"/>
      <c r="F95" s="3322"/>
      <c r="G95" s="3337"/>
      <c r="H95" s="3324" t="str">
        <f t="shared" si="30"/>
        <v>——</v>
      </c>
      <c r="I95" s="3299">
        <v>0.11</v>
      </c>
      <c r="J95" s="3349">
        <f t="shared" ref="J95:J101" si="33">K95+$G95</f>
        <v>0</v>
      </c>
      <c r="K95" s="3349">
        <f t="shared" si="27"/>
        <v>0</v>
      </c>
      <c r="L95" s="3349">
        <v>0</v>
      </c>
      <c r="M95" s="3349">
        <f t="shared" si="31"/>
        <v>0</v>
      </c>
      <c r="N95" s="3349">
        <f t="shared" si="32"/>
        <v>0</v>
      </c>
      <c r="AE95" s="3306"/>
      <c r="AF95" s="3306"/>
      <c r="AG95" s="3306"/>
      <c r="AH95" s="3306"/>
      <c r="AI95" s="3306"/>
      <c r="AJ95" s="3306"/>
    </row>
    <row r="96" spans="1:36" s="1271" customFormat="1" ht="36.75">
      <c r="A96" s="3296" t="s">
        <v>3213</v>
      </c>
      <c r="B96" s="3300" t="s">
        <v>3214</v>
      </c>
      <c r="C96" s="3319"/>
      <c r="D96" s="3320">
        <f t="shared" si="29"/>
        <v>0</v>
      </c>
      <c r="E96" s="3344"/>
      <c r="F96" s="3322"/>
      <c r="G96" s="3337"/>
      <c r="H96" s="3324" t="str">
        <f t="shared" si="30"/>
        <v>——</v>
      </c>
      <c r="I96" s="3299">
        <v>0.05</v>
      </c>
      <c r="J96" s="3349">
        <f t="shared" si="33"/>
        <v>0</v>
      </c>
      <c r="K96" s="3349">
        <f t="shared" si="27"/>
        <v>0</v>
      </c>
      <c r="L96" s="3349">
        <v>0</v>
      </c>
      <c r="M96" s="3349">
        <f>L96-$G96</f>
        <v>0</v>
      </c>
      <c r="N96" s="3349">
        <f t="shared" si="32"/>
        <v>0</v>
      </c>
      <c r="AE96" s="3306"/>
      <c r="AF96" s="3306"/>
      <c r="AG96" s="3306"/>
      <c r="AH96" s="3306"/>
      <c r="AI96" s="3306"/>
      <c r="AJ96" s="3306"/>
    </row>
    <row r="97" spans="1:36" s="1271" customFormat="1" ht="24">
      <c r="A97" s="3296" t="s">
        <v>3215</v>
      </c>
      <c r="B97" s="3312">
        <f>估价对象房地状况!G22</f>
        <v>0</v>
      </c>
      <c r="C97" s="3319"/>
      <c r="D97" s="3320">
        <f t="shared" si="29"/>
        <v>0</v>
      </c>
      <c r="E97" s="3344"/>
      <c r="F97" s="3322"/>
      <c r="G97" s="3337"/>
      <c r="H97" s="3324" t="str">
        <f t="shared" si="30"/>
        <v>——</v>
      </c>
      <c r="I97" s="3299">
        <v>0.05</v>
      </c>
      <c r="J97" s="3349">
        <f t="shared" si="33"/>
        <v>0</v>
      </c>
      <c r="K97" s="3349">
        <f t="shared" si="27"/>
        <v>0</v>
      </c>
      <c r="L97" s="3349">
        <v>0</v>
      </c>
      <c r="M97" s="3349">
        <f t="shared" si="31"/>
        <v>0</v>
      </c>
      <c r="N97" s="3349">
        <f t="shared" si="32"/>
        <v>0</v>
      </c>
      <c r="AE97" s="3306"/>
      <c r="AF97" s="3306"/>
      <c r="AG97" s="3306"/>
      <c r="AH97" s="3306"/>
      <c r="AI97" s="3306"/>
      <c r="AJ97" s="3306"/>
    </row>
    <row r="98" spans="1:36" s="1271" customFormat="1" ht="24">
      <c r="A98" s="3296" t="s">
        <v>3222</v>
      </c>
      <c r="B98" s="3327" t="s">
        <v>2192</v>
      </c>
      <c r="C98" s="3319"/>
      <c r="D98" s="3320">
        <f t="shared" si="29"/>
        <v>0</v>
      </c>
      <c r="E98" s="3344"/>
      <c r="F98" s="3322"/>
      <c r="G98" s="3337"/>
      <c r="H98" s="3324" t="str">
        <f t="shared" si="30"/>
        <v>——</v>
      </c>
      <c r="I98" s="3299">
        <v>0.06</v>
      </c>
      <c r="J98" s="3349">
        <f t="shared" si="33"/>
        <v>0</v>
      </c>
      <c r="K98" s="3349">
        <f t="shared" si="27"/>
        <v>0</v>
      </c>
      <c r="L98" s="3349">
        <v>0</v>
      </c>
      <c r="M98" s="3349">
        <f t="shared" si="31"/>
        <v>0</v>
      </c>
      <c r="N98" s="3349">
        <f t="shared" si="32"/>
        <v>0</v>
      </c>
      <c r="AE98" s="3306"/>
      <c r="AF98" s="3306"/>
      <c r="AG98" s="3306"/>
      <c r="AH98" s="3306"/>
      <c r="AI98" s="3306"/>
      <c r="AJ98" s="3306"/>
    </row>
    <row r="99" spans="1:36" s="1271" customFormat="1" ht="24">
      <c r="A99" s="3296" t="s">
        <v>3223</v>
      </c>
      <c r="B99" s="3312">
        <f>估价对象房地状况!C21</f>
        <v>0</v>
      </c>
      <c r="C99" s="3319"/>
      <c r="D99" s="3320">
        <f t="shared" si="29"/>
        <v>0</v>
      </c>
      <c r="E99" s="3344"/>
      <c r="F99" s="3322"/>
      <c r="G99" s="3337"/>
      <c r="H99" s="3324" t="str">
        <f t="shared" si="30"/>
        <v>——</v>
      </c>
      <c r="I99" s="3299">
        <v>0.06</v>
      </c>
      <c r="J99" s="3349">
        <f t="shared" si="33"/>
        <v>0</v>
      </c>
      <c r="K99" s="3349">
        <f t="shared" si="27"/>
        <v>0</v>
      </c>
      <c r="L99" s="3349">
        <v>0</v>
      </c>
      <c r="M99" s="3349">
        <f t="shared" si="31"/>
        <v>0</v>
      </c>
      <c r="N99" s="3349">
        <f t="shared" si="32"/>
        <v>0</v>
      </c>
      <c r="AE99" s="3306"/>
      <c r="AF99" s="3306"/>
      <c r="AG99" s="3306"/>
      <c r="AH99" s="3306"/>
      <c r="AI99" s="3306"/>
      <c r="AJ99" s="3306"/>
    </row>
    <row r="100" spans="1:36" s="1271" customFormat="1" ht="24">
      <c r="A100" s="3296" t="s">
        <v>3216</v>
      </c>
      <c r="B100" s="3312" t="str">
        <f>估价对象房地状况!C22</f>
        <v>七通</v>
      </c>
      <c r="C100" s="3319"/>
      <c r="D100" s="3320">
        <f t="shared" si="29"/>
        <v>0</v>
      </c>
      <c r="E100" s="3344"/>
      <c r="F100" s="3322"/>
      <c r="G100" s="3337"/>
      <c r="H100" s="3324" t="str">
        <f t="shared" si="30"/>
        <v>——</v>
      </c>
      <c r="I100" s="3299">
        <v>0.09</v>
      </c>
      <c r="J100" s="3349">
        <f t="shared" si="33"/>
        <v>0</v>
      </c>
      <c r="K100" s="3349">
        <f t="shared" si="27"/>
        <v>0</v>
      </c>
      <c r="L100" s="3349">
        <v>0</v>
      </c>
      <c r="M100" s="3349">
        <f t="shared" si="31"/>
        <v>0</v>
      </c>
      <c r="N100" s="3349">
        <f t="shared" si="32"/>
        <v>0</v>
      </c>
      <c r="AE100" s="3306"/>
      <c r="AF100" s="3306"/>
      <c r="AG100" s="3306"/>
      <c r="AH100" s="3306"/>
      <c r="AI100" s="3306"/>
      <c r="AJ100" s="3306"/>
    </row>
    <row r="101" spans="1:36" s="1271" customFormat="1" ht="24.75" thickBot="1">
      <c r="A101" s="3296" t="s">
        <v>3217</v>
      </c>
      <c r="B101" s="3318">
        <f>估价对象房地状况!C20</f>
        <v>0</v>
      </c>
      <c r="C101" s="3319"/>
      <c r="D101" s="3320">
        <f t="shared" si="29"/>
        <v>0</v>
      </c>
      <c r="E101" s="3344"/>
      <c r="F101" s="3322"/>
      <c r="G101" s="3337"/>
      <c r="H101" s="3324" t="str">
        <f t="shared" si="30"/>
        <v>——</v>
      </c>
      <c r="I101" s="3301">
        <v>7.0000000000000007E-2</v>
      </c>
      <c r="J101" s="3349">
        <f t="shared" si="33"/>
        <v>0</v>
      </c>
      <c r="K101" s="3349">
        <f t="shared" si="27"/>
        <v>0</v>
      </c>
      <c r="L101" s="3349">
        <v>0</v>
      </c>
      <c r="M101" s="3349">
        <f t="shared" si="31"/>
        <v>0</v>
      </c>
      <c r="N101" s="3349">
        <f t="shared" si="32"/>
        <v>0</v>
      </c>
      <c r="AE101" s="3306"/>
      <c r="AF101" s="3306"/>
      <c r="AG101" s="3306"/>
      <c r="AH101" s="3306"/>
      <c r="AI101" s="3306"/>
      <c r="AJ101" s="3306"/>
    </row>
    <row r="102" spans="1:36" s="1271"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1" customFormat="1">
      <c r="K103" s="3306"/>
      <c r="AD103" s="3306"/>
      <c r="AE103" s="3306"/>
      <c r="AF103" s="3306"/>
      <c r="AG103" s="3306"/>
      <c r="AH103" s="3306"/>
      <c r="AI103" s="3306"/>
    </row>
    <row r="104" spans="1:36">
      <c r="A104" s="3739" t="s">
        <v>1172</v>
      </c>
      <c r="B104" s="3739"/>
      <c r="C104" s="3739"/>
      <c r="D104" s="3739"/>
      <c r="E104" s="3739"/>
      <c r="F104" s="3739"/>
      <c r="G104" s="3739"/>
      <c r="H104" s="3739"/>
      <c r="I104" s="3739"/>
      <c r="J104" s="3739"/>
      <c r="K104" s="998"/>
      <c r="L104" s="998"/>
      <c r="M104" s="998"/>
      <c r="N104" s="998"/>
    </row>
    <row r="105" spans="1:36">
      <c r="A105" s="3740" t="s">
        <v>1161</v>
      </c>
      <c r="B105" s="3740" t="s">
        <v>1173</v>
      </c>
      <c r="C105" s="986" t="s">
        <v>1174</v>
      </c>
      <c r="D105" s="987"/>
      <c r="E105" s="987"/>
      <c r="F105" s="987"/>
      <c r="G105" s="987"/>
      <c r="H105" s="987"/>
      <c r="I105" s="987"/>
      <c r="J105" s="988"/>
      <c r="K105" s="981"/>
      <c r="L105" s="981"/>
      <c r="M105" s="981"/>
      <c r="N105" s="981"/>
    </row>
    <row r="106" spans="1:36">
      <c r="A106" s="3740"/>
      <c r="B106" s="3740"/>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29" t="s">
        <v>2043</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30"/>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30"/>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30"/>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30"/>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30"/>
      <c r="B112" s="989" t="s">
        <v>3225</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31"/>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36" t="s">
        <v>1175</v>
      </c>
      <c r="B114" s="3736"/>
      <c r="C114" s="3736"/>
      <c r="D114" s="3736"/>
      <c r="E114" s="3736"/>
      <c r="F114" s="3736"/>
      <c r="G114" s="3736"/>
      <c r="H114" s="3736"/>
      <c r="I114" s="3736"/>
      <c r="J114" s="3736"/>
      <c r="K114" s="1965"/>
      <c r="L114" s="1965"/>
      <c r="M114" s="1965"/>
      <c r="N114" s="1965"/>
    </row>
    <row r="116" spans="1:14" ht="12.75" thickBot="1"/>
    <row r="117" spans="1:14" ht="25.5" thickBot="1">
      <c r="A117" s="924" t="s">
        <v>831</v>
      </c>
      <c r="B117" s="1966">
        <f>G3</f>
        <v>2</v>
      </c>
      <c r="C117" s="925" t="s">
        <v>832</v>
      </c>
      <c r="D117" s="926" t="e">
        <f>SUMPRODUCT((A118:A122=F116)*(B117:M117=H116)*B118:M122)</f>
        <v>#VALUE!</v>
      </c>
      <c r="E117" s="927" t="s">
        <v>833</v>
      </c>
      <c r="F117" s="928" t="str">
        <f>E2</f>
        <v>住宅</v>
      </c>
      <c r="G117" s="927" t="s">
        <v>834</v>
      </c>
      <c r="H117" s="928" t="str">
        <f>G2</f>
        <v>九级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3" t="s">
        <v>3226</v>
      </c>
      <c r="B119" s="3297">
        <f>ROUND(0.9968-0.011*B117,4)</f>
        <v>0.9748</v>
      </c>
      <c r="C119" s="3297">
        <f>B119</f>
        <v>0.9748</v>
      </c>
      <c r="D119" s="3297">
        <f>ROUND(0.949-0.014*B117,4)</f>
        <v>0.92100000000000004</v>
      </c>
      <c r="E119" s="3297">
        <f>D119</f>
        <v>0.92100000000000004</v>
      </c>
      <c r="F119" s="3297">
        <f>E119</f>
        <v>0.92100000000000004</v>
      </c>
      <c r="G119" s="3297">
        <f>F119</f>
        <v>0.92100000000000004</v>
      </c>
      <c r="H119" s="3297">
        <f>G119</f>
        <v>0.92100000000000004</v>
      </c>
      <c r="I119" s="3297">
        <f>ROUND(0.8486-0.018*B117,4)</f>
        <v>0.81259999999999999</v>
      </c>
      <c r="J119" s="3297">
        <f t="shared" ref="J119:M123" si="35">I119</f>
        <v>0.81259999999999999</v>
      </c>
      <c r="K119" s="3297">
        <f t="shared" si="35"/>
        <v>0.81259999999999999</v>
      </c>
      <c r="L119" s="3297">
        <f t="shared" si="35"/>
        <v>0.81259999999999999</v>
      </c>
      <c r="M119" s="3356">
        <f t="shared" si="35"/>
        <v>0.81259999999999999</v>
      </c>
    </row>
    <row r="120" spans="1:14" ht="12.75">
      <c r="A120" s="3353" t="s">
        <v>3227</v>
      </c>
      <c r="B120" s="3297">
        <f>ROUND(0.993-0.0112*B117,4)</f>
        <v>0.97060000000000002</v>
      </c>
      <c r="C120" s="3297">
        <f>B120</f>
        <v>0.97060000000000002</v>
      </c>
      <c r="D120" s="3297">
        <f>ROUND(0.9415-0.0142*B117,4)</f>
        <v>0.91310000000000002</v>
      </c>
      <c r="E120" s="3297">
        <f t="shared" ref="E120:H121" si="36">D120</f>
        <v>0.91310000000000002</v>
      </c>
      <c r="F120" s="3297">
        <f t="shared" si="36"/>
        <v>0.91310000000000002</v>
      </c>
      <c r="G120" s="3297">
        <f t="shared" si="36"/>
        <v>0.91310000000000002</v>
      </c>
      <c r="H120" s="3297">
        <f t="shared" si="36"/>
        <v>0.91310000000000002</v>
      </c>
      <c r="I120" s="3297">
        <f>ROUND(0.838-0.0182*B117,4)</f>
        <v>0.80159999999999998</v>
      </c>
      <c r="J120" s="3297">
        <f t="shared" si="35"/>
        <v>0.80159999999999998</v>
      </c>
      <c r="K120" s="3297">
        <f t="shared" si="35"/>
        <v>0.80159999999999998</v>
      </c>
      <c r="L120" s="3297">
        <f t="shared" si="35"/>
        <v>0.80159999999999998</v>
      </c>
      <c r="M120" s="3356">
        <f t="shared" si="35"/>
        <v>0.80159999999999998</v>
      </c>
    </row>
    <row r="121" spans="1:14" ht="12.75">
      <c r="A121" s="3353" t="s">
        <v>3228</v>
      </c>
      <c r="B121" s="3297">
        <f>ROUND(0.9448-0.0115*B117,4)</f>
        <v>0.92179999999999995</v>
      </c>
      <c r="C121" s="3297">
        <f>B121</f>
        <v>0.92179999999999995</v>
      </c>
      <c r="D121" s="3297">
        <f>ROUND(0.937-0.0145*B117,4)</f>
        <v>0.90800000000000003</v>
      </c>
      <c r="E121" s="3297">
        <f t="shared" si="36"/>
        <v>0.90800000000000003</v>
      </c>
      <c r="F121" s="3297">
        <f t="shared" si="36"/>
        <v>0.90800000000000003</v>
      </c>
      <c r="G121" s="3297">
        <f t="shared" si="36"/>
        <v>0.90800000000000003</v>
      </c>
      <c r="H121" s="3297">
        <f t="shared" si="36"/>
        <v>0.90800000000000003</v>
      </c>
      <c r="I121" s="3297">
        <f>ROUND(0.7965-0.0185*B117,4)</f>
        <v>0.75949999999999995</v>
      </c>
      <c r="J121" s="3297">
        <f t="shared" si="35"/>
        <v>0.75949999999999995</v>
      </c>
      <c r="K121" s="3297">
        <f t="shared" si="35"/>
        <v>0.75949999999999995</v>
      </c>
      <c r="L121" s="3297">
        <f t="shared" si="35"/>
        <v>0.75949999999999995</v>
      </c>
      <c r="M121" s="3356">
        <f t="shared" si="35"/>
        <v>0.75949999999999995</v>
      </c>
    </row>
    <row r="122" spans="1:14" ht="13.5" thickBot="1">
      <c r="A122" s="3354" t="s">
        <v>3229</v>
      </c>
      <c r="B122" s="3357">
        <f>ROUND(0.7836-0.012*B117,4)</f>
        <v>0.75960000000000005</v>
      </c>
      <c r="C122" s="3357">
        <f>B122</f>
        <v>0.75960000000000005</v>
      </c>
      <c r="D122" s="3357">
        <f>ROUND(0.753-0.015*B117,4)</f>
        <v>0.72299999999999998</v>
      </c>
      <c r="E122" s="3357">
        <f>D122</f>
        <v>0.72299999999999998</v>
      </c>
      <c r="F122" s="3357">
        <f>E122</f>
        <v>0.72299999999999998</v>
      </c>
      <c r="G122" s="3357">
        <f>ROUND(0.6612-0.018*B117,4)</f>
        <v>0.62519999999999998</v>
      </c>
      <c r="H122" s="3357">
        <f>G122</f>
        <v>0.62519999999999998</v>
      </c>
      <c r="I122" s="3357">
        <f>ROUND(0.5905-0.019*B117,4)</f>
        <v>0.55249999999999999</v>
      </c>
      <c r="J122" s="3357">
        <f t="shared" si="35"/>
        <v>0.55249999999999999</v>
      </c>
      <c r="K122" s="3357">
        <f t="shared" si="35"/>
        <v>0.55249999999999999</v>
      </c>
      <c r="L122" s="3357">
        <f t="shared" si="35"/>
        <v>0.55249999999999999</v>
      </c>
      <c r="M122" s="3358">
        <f t="shared" si="35"/>
        <v>0.55249999999999999</v>
      </c>
    </row>
    <row r="123" spans="1:14" ht="12.75">
      <c r="A123" s="3355" t="s">
        <v>3210</v>
      </c>
      <c r="B123" s="3297">
        <f>ROUND(0.9404-0.0106*B117,4)</f>
        <v>0.91920000000000002</v>
      </c>
      <c r="C123" s="3297">
        <f>B123</f>
        <v>0.91920000000000002</v>
      </c>
      <c r="D123" s="3297">
        <f>ROUND(0.8955-0.0135*B117,4)</f>
        <v>0.86850000000000005</v>
      </c>
      <c r="E123" s="3297">
        <f t="shared" ref="E123:H123" si="37">D123</f>
        <v>0.86850000000000005</v>
      </c>
      <c r="F123" s="3297">
        <f t="shared" si="37"/>
        <v>0.86850000000000005</v>
      </c>
      <c r="G123" s="3297">
        <f t="shared" si="37"/>
        <v>0.86850000000000005</v>
      </c>
      <c r="H123" s="3297">
        <f t="shared" si="37"/>
        <v>0.86850000000000005</v>
      </c>
      <c r="I123" s="3297">
        <f>ROUND(0.7632-0.0166*B117,4)</f>
        <v>0.73</v>
      </c>
      <c r="J123" s="3297">
        <f t="shared" si="35"/>
        <v>0.73</v>
      </c>
      <c r="K123" s="3297">
        <f t="shared" si="35"/>
        <v>0.73</v>
      </c>
      <c r="L123" s="3297">
        <f t="shared" si="35"/>
        <v>0.73</v>
      </c>
      <c r="M123" s="3356">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80" priority="7" stopIfTrue="1" operator="notEqual">
      <formula>"——"</formula>
    </cfRule>
  </conditionalFormatting>
  <conditionalFormatting sqref="F61">
    <cfRule type="cellIs" dxfId="79" priority="6" stopIfTrue="1" operator="notEqual">
      <formula>"——"</formula>
    </cfRule>
  </conditionalFormatting>
  <conditionalFormatting sqref="F72">
    <cfRule type="cellIs" dxfId="78" priority="5" stopIfTrue="1" operator="notEqual">
      <formula>"——"</formula>
    </cfRule>
  </conditionalFormatting>
  <conditionalFormatting sqref="F83">
    <cfRule type="cellIs" dxfId="77" priority="4" stopIfTrue="1" operator="notEqual">
      <formula>"——"</formula>
    </cfRule>
  </conditionalFormatting>
  <conditionalFormatting sqref="H50:H58 H61:H69 H72:H80 H83:H91 H93:H102">
    <cfRule type="cellIs" dxfId="7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2755</v>
      </c>
      <c r="B1" s="960" t="s">
        <v>990</v>
      </c>
      <c r="C1" s="960" t="s">
        <v>1031</v>
      </c>
      <c r="D1" s="960" t="s">
        <v>1145</v>
      </c>
      <c r="E1" s="960" t="s">
        <v>853</v>
      </c>
      <c r="F1" s="960" t="s">
        <v>1152</v>
      </c>
      <c r="G1" s="960" t="s">
        <v>1153</v>
      </c>
      <c r="H1" s="960" t="s">
        <v>1154</v>
      </c>
      <c r="I1" s="960" t="s">
        <v>1155</v>
      </c>
      <c r="J1" s="960" t="s">
        <v>1156</v>
      </c>
      <c r="K1" s="960" t="s">
        <v>1157</v>
      </c>
      <c r="L1" s="960" t="s">
        <v>2756</v>
      </c>
      <c r="M1" s="961" t="s">
        <v>2757</v>
      </c>
    </row>
    <row r="2" spans="1:13">
      <c r="A2" s="2978" t="s">
        <v>2732</v>
      </c>
      <c r="B2" s="2979">
        <v>3.5</v>
      </c>
      <c r="C2" s="2979">
        <v>3.5</v>
      </c>
      <c r="D2" s="2980">
        <v>2.5</v>
      </c>
      <c r="E2" s="2980">
        <v>2.5</v>
      </c>
      <c r="F2" s="2980">
        <v>2.5</v>
      </c>
      <c r="G2" s="2980">
        <v>2.5</v>
      </c>
      <c r="H2" s="2980">
        <v>2.5</v>
      </c>
      <c r="I2" s="2979">
        <v>2</v>
      </c>
      <c r="J2" s="2979">
        <v>2</v>
      </c>
      <c r="K2" s="2979">
        <v>2</v>
      </c>
      <c r="L2" s="2979">
        <v>2</v>
      </c>
      <c r="M2" s="2981">
        <v>2</v>
      </c>
    </row>
    <row r="3" spans="1:13">
      <c r="A3" s="2982" t="s">
        <v>1212</v>
      </c>
      <c r="B3" s="2983">
        <v>3.5</v>
      </c>
      <c r="C3" s="2983">
        <v>3.5</v>
      </c>
      <c r="D3" s="2984">
        <v>2.5</v>
      </c>
      <c r="E3" s="2984">
        <v>2.5</v>
      </c>
      <c r="F3" s="2984">
        <v>2.5</v>
      </c>
      <c r="G3" s="2984">
        <v>2.5</v>
      </c>
      <c r="H3" s="2984">
        <v>2.5</v>
      </c>
      <c r="I3" s="2983">
        <v>2</v>
      </c>
      <c r="J3" s="2983">
        <v>2</v>
      </c>
      <c r="K3" s="2983">
        <v>2</v>
      </c>
      <c r="L3" s="2983">
        <v>2</v>
      </c>
      <c r="M3" s="2985">
        <v>2</v>
      </c>
    </row>
    <row r="4" spans="1:13">
      <c r="A4" s="2982" t="s">
        <v>851</v>
      </c>
      <c r="B4" s="2984">
        <v>2.5</v>
      </c>
      <c r="C4" s="2984">
        <v>2.5</v>
      </c>
      <c r="D4" s="2984">
        <v>2.5</v>
      </c>
      <c r="E4" s="2984">
        <v>2.5</v>
      </c>
      <c r="F4" s="2984">
        <v>2.5</v>
      </c>
      <c r="G4" s="2984">
        <v>2.5</v>
      </c>
      <c r="H4" s="2984">
        <v>2.5</v>
      </c>
      <c r="I4" s="2983">
        <v>1.5</v>
      </c>
      <c r="J4" s="2983">
        <v>1.5</v>
      </c>
      <c r="K4" s="2983">
        <v>1.5</v>
      </c>
      <c r="L4" s="2983">
        <v>1.5</v>
      </c>
      <c r="M4" s="2985">
        <v>1.5</v>
      </c>
    </row>
    <row r="5" spans="1:13">
      <c r="A5" s="2986" t="s">
        <v>905</v>
      </c>
      <c r="B5" s="2983">
        <v>1.5</v>
      </c>
      <c r="C5" s="2983">
        <v>1.5</v>
      </c>
      <c r="D5" s="2983">
        <v>1.5</v>
      </c>
      <c r="E5" s="2983">
        <v>1.5</v>
      </c>
      <c r="F5" s="2983">
        <v>1.5</v>
      </c>
      <c r="G5" s="2983">
        <v>1.2</v>
      </c>
      <c r="H5" s="2983">
        <v>1.2</v>
      </c>
      <c r="I5" s="2983">
        <v>1</v>
      </c>
      <c r="J5" s="2983">
        <v>1</v>
      </c>
      <c r="K5" s="2983">
        <v>1</v>
      </c>
      <c r="L5" s="2983">
        <v>1</v>
      </c>
      <c r="M5" s="2985">
        <v>1</v>
      </c>
    </row>
    <row r="6" spans="1:13">
      <c r="A6" s="2987" t="s">
        <v>2758</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2730</v>
      </c>
      <c r="B7" s="2992">
        <v>2.5</v>
      </c>
      <c r="C7" s="2992">
        <v>2.5</v>
      </c>
      <c r="D7" s="2992">
        <v>2</v>
      </c>
      <c r="E7" s="2992">
        <v>2</v>
      </c>
      <c r="F7" s="2992">
        <v>2</v>
      </c>
      <c r="G7" s="2992">
        <v>2</v>
      </c>
      <c r="H7" s="2992">
        <v>2</v>
      </c>
      <c r="I7" s="2993">
        <v>1.5</v>
      </c>
      <c r="J7" s="2993">
        <v>1.5</v>
      </c>
      <c r="K7" s="2993">
        <v>1.5</v>
      </c>
      <c r="L7" s="2993">
        <v>1.5</v>
      </c>
      <c r="M7" s="2994">
        <v>1.5</v>
      </c>
    </row>
    <row r="8" spans="1:13">
      <c r="A8" s="973" t="s">
        <v>2759</v>
      </c>
      <c r="B8" s="2995">
        <v>80</v>
      </c>
      <c r="C8" s="2995">
        <v>80</v>
      </c>
      <c r="D8" s="2995">
        <v>70</v>
      </c>
      <c r="E8" s="2995">
        <v>70</v>
      </c>
      <c r="F8" s="2995">
        <v>70</v>
      </c>
      <c r="G8" s="2995">
        <v>70</v>
      </c>
      <c r="H8" s="2995">
        <v>70</v>
      </c>
      <c r="I8" s="2995">
        <v>60</v>
      </c>
      <c r="J8" s="2995">
        <v>60</v>
      </c>
      <c r="K8" s="2995">
        <v>60</v>
      </c>
      <c r="L8" s="2995">
        <v>60</v>
      </c>
      <c r="M8" s="2996">
        <v>60</v>
      </c>
    </row>
    <row r="9" spans="1:13">
      <c r="A9" s="956" t="s">
        <v>2760</v>
      </c>
      <c r="B9" s="2997">
        <v>70</v>
      </c>
      <c r="C9" s="2997">
        <v>70</v>
      </c>
      <c r="D9" s="2997">
        <v>60</v>
      </c>
      <c r="E9" s="2997">
        <v>60</v>
      </c>
      <c r="F9" s="2997">
        <v>60</v>
      </c>
      <c r="G9" s="2997">
        <v>60</v>
      </c>
      <c r="H9" s="2997">
        <v>60</v>
      </c>
      <c r="I9" s="2997">
        <v>50</v>
      </c>
      <c r="J9" s="2997">
        <v>50</v>
      </c>
      <c r="K9" s="2997">
        <v>50</v>
      </c>
      <c r="L9" s="2997">
        <v>50</v>
      </c>
      <c r="M9" s="2998">
        <v>50</v>
      </c>
    </row>
    <row r="10" spans="1:13">
      <c r="A10" s="956" t="s">
        <v>2761</v>
      </c>
      <c r="B10" s="2997">
        <v>20</v>
      </c>
      <c r="C10" s="2997">
        <v>20</v>
      </c>
      <c r="D10" s="2997">
        <v>15</v>
      </c>
      <c r="E10" s="2997">
        <v>15</v>
      </c>
      <c r="F10" s="2997">
        <v>15</v>
      </c>
      <c r="G10" s="2997">
        <v>15</v>
      </c>
      <c r="H10" s="2997">
        <v>15</v>
      </c>
      <c r="I10" s="2997">
        <v>10</v>
      </c>
      <c r="J10" s="2997">
        <v>10</v>
      </c>
      <c r="K10" s="2997">
        <v>10</v>
      </c>
      <c r="L10" s="2997">
        <v>10</v>
      </c>
      <c r="M10" s="2998">
        <v>10</v>
      </c>
    </row>
    <row r="11" spans="1:13">
      <c r="A11" s="956" t="s">
        <v>2762</v>
      </c>
      <c r="B11" s="2997">
        <v>30</v>
      </c>
      <c r="C11" s="2997">
        <v>30</v>
      </c>
      <c r="D11" s="2997">
        <v>25</v>
      </c>
      <c r="E11" s="2997">
        <v>25</v>
      </c>
      <c r="F11" s="2997">
        <v>25</v>
      </c>
      <c r="G11" s="2997">
        <v>25</v>
      </c>
      <c r="H11" s="2997">
        <v>25</v>
      </c>
      <c r="I11" s="2997">
        <v>20</v>
      </c>
      <c r="J11" s="2997">
        <v>20</v>
      </c>
      <c r="K11" s="2997">
        <v>20</v>
      </c>
      <c r="L11" s="2997">
        <v>20</v>
      </c>
      <c r="M11" s="2998">
        <v>20</v>
      </c>
    </row>
    <row r="12" spans="1:13">
      <c r="A12" s="956" t="s">
        <v>2763</v>
      </c>
      <c r="B12" s="2997">
        <v>45</v>
      </c>
      <c r="C12" s="2997">
        <v>45</v>
      </c>
      <c r="D12" s="2997">
        <v>40</v>
      </c>
      <c r="E12" s="2997">
        <v>40</v>
      </c>
      <c r="F12" s="2997">
        <v>40</v>
      </c>
      <c r="G12" s="2997">
        <v>40</v>
      </c>
      <c r="H12" s="2997">
        <v>40</v>
      </c>
      <c r="I12" s="2997">
        <v>35</v>
      </c>
      <c r="J12" s="2997">
        <v>35</v>
      </c>
      <c r="K12" s="2997">
        <v>35</v>
      </c>
      <c r="L12" s="2997">
        <v>35</v>
      </c>
      <c r="M12" s="2998">
        <v>35</v>
      </c>
    </row>
    <row r="13" spans="1:13">
      <c r="A13" s="956" t="s">
        <v>2764</v>
      </c>
      <c r="B13" s="2997">
        <v>60</v>
      </c>
      <c r="C13" s="2997">
        <v>60</v>
      </c>
      <c r="D13" s="2997">
        <v>50</v>
      </c>
      <c r="E13" s="2997">
        <v>50</v>
      </c>
      <c r="F13" s="2997">
        <v>50</v>
      </c>
      <c r="G13" s="2997">
        <v>50</v>
      </c>
      <c r="H13" s="2997">
        <v>50</v>
      </c>
      <c r="I13" s="2997">
        <v>40</v>
      </c>
      <c r="J13" s="2997">
        <v>40</v>
      </c>
      <c r="K13" s="2997">
        <v>40</v>
      </c>
      <c r="L13" s="2997">
        <v>40</v>
      </c>
      <c r="M13" s="2998">
        <v>40</v>
      </c>
    </row>
    <row r="14" spans="1:13">
      <c r="A14" s="956" t="s">
        <v>2765</v>
      </c>
      <c r="B14" s="2997">
        <v>50</v>
      </c>
      <c r="C14" s="2997">
        <v>50</v>
      </c>
      <c r="D14" s="2997">
        <v>40</v>
      </c>
      <c r="E14" s="2997">
        <v>40</v>
      </c>
      <c r="F14" s="2997">
        <v>40</v>
      </c>
      <c r="G14" s="2997">
        <v>40</v>
      </c>
      <c r="H14" s="2997">
        <v>40</v>
      </c>
      <c r="I14" s="2997">
        <v>30</v>
      </c>
      <c r="J14" s="2997">
        <v>30</v>
      </c>
      <c r="K14" s="2997">
        <v>30</v>
      </c>
      <c r="L14" s="2997">
        <v>30</v>
      </c>
      <c r="M14" s="2998">
        <v>30</v>
      </c>
    </row>
    <row r="15" spans="1:13">
      <c r="A15" s="974" t="s">
        <v>2766</v>
      </c>
      <c r="B15" s="2999">
        <v>20</v>
      </c>
      <c r="C15" s="2999">
        <v>20</v>
      </c>
      <c r="D15" s="2999">
        <v>15</v>
      </c>
      <c r="E15" s="2999">
        <v>15</v>
      </c>
      <c r="F15" s="2999">
        <v>15</v>
      </c>
      <c r="G15" s="2999">
        <v>15</v>
      </c>
      <c r="H15" s="2999">
        <v>15</v>
      </c>
      <c r="I15" s="2999">
        <v>10</v>
      </c>
      <c r="J15" s="2999">
        <v>10</v>
      </c>
      <c r="K15" s="2999">
        <v>10</v>
      </c>
      <c r="L15" s="2999">
        <v>10</v>
      </c>
      <c r="M15" s="3000">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399" t="s">
        <v>2767</v>
      </c>
      <c r="B17" s="2352">
        <f>SUM(B8:B15)</f>
        <v>375</v>
      </c>
      <c r="C17" s="2352">
        <f t="shared" ref="C17:H17" si="0">SUM(C8:C15)</f>
        <v>375</v>
      </c>
      <c r="D17" s="2352">
        <f t="shared" si="0"/>
        <v>315</v>
      </c>
      <c r="E17" s="2352">
        <f t="shared" si="0"/>
        <v>315</v>
      </c>
      <c r="F17" s="2352">
        <f t="shared" si="0"/>
        <v>315</v>
      </c>
      <c r="G17" s="2352">
        <f t="shared" si="0"/>
        <v>315</v>
      </c>
      <c r="H17" s="2352">
        <f t="shared" si="0"/>
        <v>315</v>
      </c>
      <c r="I17" s="2352">
        <f>SUM(I8:I15)-I13-I14</f>
        <v>185</v>
      </c>
      <c r="J17" s="2352">
        <f>SUM(J8:J15)-J13-J14</f>
        <v>185</v>
      </c>
      <c r="K17" s="2352">
        <f>SUM(K8:K15)-K13-K14</f>
        <v>185</v>
      </c>
      <c r="L17" s="2352">
        <f>SUM(L8:L15)-L13-L14</f>
        <v>185</v>
      </c>
      <c r="M17" s="2352">
        <f>SUM(M8:M15)-M13-M14</f>
        <v>185</v>
      </c>
    </row>
    <row r="18" spans="1:13">
      <c r="A18" s="976" t="s">
        <v>1160</v>
      </c>
      <c r="B18" s="976"/>
      <c r="C18" s="977"/>
      <c r="D18" s="977"/>
      <c r="E18" s="976"/>
      <c r="F18" s="977"/>
      <c r="G18" s="977"/>
    </row>
    <row r="19" spans="1:13" ht="14.25" thickBot="1">
      <c r="A19" s="2999" t="s">
        <v>2449</v>
      </c>
      <c r="B19" s="3001" t="s">
        <v>2450</v>
      </c>
      <c r="C19" s="3002" t="s">
        <v>2451</v>
      </c>
      <c r="D19" s="3003"/>
      <c r="E19" s="2997" t="s">
        <v>2452</v>
      </c>
      <c r="F19" s="979"/>
      <c r="G19" s="979"/>
    </row>
    <row r="20" spans="1:13">
      <c r="A20" s="3741" t="s">
        <v>2443</v>
      </c>
      <c r="B20" s="3744" t="s">
        <v>2453</v>
      </c>
      <c r="C20" s="3004" t="s">
        <v>2454</v>
      </c>
      <c r="D20" s="3005"/>
      <c r="E20" s="3006">
        <v>1</v>
      </c>
      <c r="F20" s="3007" t="s">
        <v>2455</v>
      </c>
      <c r="G20" s="981"/>
    </row>
    <row r="21" spans="1:13">
      <c r="A21" s="3742"/>
      <c r="B21" s="3745"/>
      <c r="C21" s="3008" t="s">
        <v>2456</v>
      </c>
      <c r="D21" s="3009"/>
      <c r="E21" s="3010">
        <v>1</v>
      </c>
      <c r="F21" s="3007" t="s">
        <v>2457</v>
      </c>
      <c r="G21" s="981"/>
    </row>
    <row r="22" spans="1:13">
      <c r="A22" s="3742"/>
      <c r="B22" s="3745"/>
      <c r="C22" s="3008" t="s">
        <v>2458</v>
      </c>
      <c r="D22" s="3009"/>
      <c r="E22" s="3010">
        <v>0.9</v>
      </c>
      <c r="F22" s="3007" t="s">
        <v>2459</v>
      </c>
      <c r="G22" s="981"/>
    </row>
    <row r="23" spans="1:13">
      <c r="A23" s="3742"/>
      <c r="B23" s="3745"/>
      <c r="C23" s="3008" t="s">
        <v>2460</v>
      </c>
      <c r="D23" s="3009"/>
      <c r="E23" s="3010">
        <v>0.9</v>
      </c>
      <c r="F23" s="3007" t="s">
        <v>2461</v>
      </c>
      <c r="G23" s="981"/>
    </row>
    <row r="24" spans="1:13">
      <c r="A24" s="3742"/>
      <c r="B24" s="3745"/>
      <c r="C24" s="3008" t="s">
        <v>2462</v>
      </c>
      <c r="D24" s="3009"/>
      <c r="E24" s="3010">
        <v>0.8</v>
      </c>
      <c r="F24" s="3007" t="s">
        <v>2463</v>
      </c>
      <c r="G24" s="981"/>
    </row>
    <row r="25" spans="1:13" ht="14.25" thickBot="1">
      <c r="A25" s="3743"/>
      <c r="B25" s="3746"/>
      <c r="C25" s="3011" t="s">
        <v>2464</v>
      </c>
      <c r="D25" s="3012"/>
      <c r="E25" s="3013">
        <v>0.8</v>
      </c>
      <c r="F25" s="3007" t="s">
        <v>2465</v>
      </c>
      <c r="G25" s="981"/>
    </row>
    <row r="26" spans="1:13" ht="14.25" thickBot="1">
      <c r="A26" s="3014" t="s">
        <v>2444</v>
      </c>
      <c r="B26" s="3015" t="s">
        <v>2453</v>
      </c>
      <c r="C26" s="3016" t="s">
        <v>2466</v>
      </c>
      <c r="D26" s="3017"/>
      <c r="E26" s="3018">
        <v>1</v>
      </c>
      <c r="F26" s="3007" t="s">
        <v>2467</v>
      </c>
      <c r="G26" s="981"/>
    </row>
    <row r="27" spans="1:13">
      <c r="A27" s="3747" t="s">
        <v>2448</v>
      </c>
      <c r="B27" s="3744" t="s">
        <v>2448</v>
      </c>
      <c r="C27" s="3004" t="s">
        <v>2468</v>
      </c>
      <c r="D27" s="3005"/>
      <c r="E27" s="3006">
        <v>1</v>
      </c>
      <c r="F27" s="3007" t="s">
        <v>2469</v>
      </c>
      <c r="G27" s="981"/>
    </row>
    <row r="28" spans="1:13">
      <c r="A28" s="3748"/>
      <c r="B28" s="3745"/>
      <c r="C28" s="3008" t="s">
        <v>2470</v>
      </c>
      <c r="D28" s="3009"/>
      <c r="E28" s="3010">
        <v>1</v>
      </c>
      <c r="F28" s="3007" t="s">
        <v>2471</v>
      </c>
      <c r="G28" s="981"/>
    </row>
    <row r="29" spans="1:13">
      <c r="A29" s="3748"/>
      <c r="B29" s="3745"/>
      <c r="C29" s="3008" t="s">
        <v>2472</v>
      </c>
      <c r="D29" s="3009"/>
      <c r="E29" s="3010">
        <v>0.8</v>
      </c>
      <c r="F29" s="3007" t="s">
        <v>2473</v>
      </c>
      <c r="G29" s="981"/>
    </row>
    <row r="30" spans="1:13">
      <c r="A30" s="3748"/>
      <c r="B30" s="3745"/>
      <c r="C30" s="3008" t="s">
        <v>2474</v>
      </c>
      <c r="D30" s="3009"/>
      <c r="E30" s="3010">
        <v>0.8</v>
      </c>
      <c r="F30" s="3007" t="s">
        <v>2475</v>
      </c>
      <c r="G30" s="981"/>
    </row>
    <row r="31" spans="1:13">
      <c r="A31" s="3748"/>
      <c r="B31" s="3745"/>
      <c r="C31" s="3008" t="s">
        <v>2476</v>
      </c>
      <c r="D31" s="3009"/>
      <c r="E31" s="3010">
        <v>0.8</v>
      </c>
      <c r="F31" s="3007" t="s">
        <v>2477</v>
      </c>
      <c r="G31" s="981"/>
    </row>
    <row r="32" spans="1:13">
      <c r="A32" s="3748"/>
      <c r="B32" s="3745"/>
      <c r="C32" s="3008" t="s">
        <v>2478</v>
      </c>
      <c r="D32" s="3009"/>
      <c r="E32" s="3010">
        <v>0.7</v>
      </c>
      <c r="F32" s="3007" t="s">
        <v>2479</v>
      </c>
      <c r="G32" s="981"/>
    </row>
    <row r="33" spans="1:7">
      <c r="A33" s="3748"/>
      <c r="B33" s="3745"/>
      <c r="C33" s="3008" t="s">
        <v>2480</v>
      </c>
      <c r="D33" s="3009"/>
      <c r="E33" s="3010">
        <v>0.8</v>
      </c>
      <c r="F33" s="3007" t="s">
        <v>2481</v>
      </c>
      <c r="G33" s="981"/>
    </row>
    <row r="34" spans="1:7">
      <c r="A34" s="3748"/>
      <c r="B34" s="3745"/>
      <c r="C34" s="3008" t="s">
        <v>2482</v>
      </c>
      <c r="D34" s="3009"/>
      <c r="E34" s="3010">
        <v>0.6</v>
      </c>
      <c r="F34" s="3007" t="s">
        <v>2483</v>
      </c>
      <c r="G34" s="981"/>
    </row>
    <row r="35" spans="1:7">
      <c r="A35" s="3748"/>
      <c r="B35" s="3745"/>
      <c r="C35" s="3008" t="s">
        <v>2484</v>
      </c>
      <c r="D35" s="3009"/>
      <c r="E35" s="3010">
        <v>0.2</v>
      </c>
      <c r="F35" s="3007" t="s">
        <v>2485</v>
      </c>
      <c r="G35" s="981"/>
    </row>
    <row r="36" spans="1:7">
      <c r="A36" s="3748"/>
      <c r="B36" s="3745"/>
      <c r="C36" s="3008" t="s">
        <v>2486</v>
      </c>
      <c r="D36" s="3009"/>
      <c r="E36" s="3010">
        <v>0.2</v>
      </c>
      <c r="F36" s="3007" t="s">
        <v>2487</v>
      </c>
      <c r="G36" s="981"/>
    </row>
    <row r="37" spans="1:7">
      <c r="A37" s="3748"/>
      <c r="B37" s="3750" t="s">
        <v>2488</v>
      </c>
      <c r="C37" s="3008" t="s">
        <v>2489</v>
      </c>
      <c r="D37" s="3009"/>
      <c r="E37" s="3010">
        <v>0.6</v>
      </c>
      <c r="F37" s="3007" t="s">
        <v>2490</v>
      </c>
      <c r="G37" s="981"/>
    </row>
    <row r="38" spans="1:7">
      <c r="A38" s="3748"/>
      <c r="B38" s="3745"/>
      <c r="C38" s="3008" t="s">
        <v>2491</v>
      </c>
      <c r="D38" s="3009"/>
      <c r="E38" s="3010">
        <v>0.6</v>
      </c>
      <c r="F38" s="3007" t="s">
        <v>2492</v>
      </c>
      <c r="G38" s="981"/>
    </row>
    <row r="39" spans="1:7" ht="14.25" thickBot="1">
      <c r="A39" s="3749"/>
      <c r="B39" s="3746"/>
      <c r="C39" s="3011" t="s">
        <v>2493</v>
      </c>
      <c r="D39" s="3012"/>
      <c r="E39" s="3013">
        <v>0.6</v>
      </c>
      <c r="F39" s="3007" t="s">
        <v>2494</v>
      </c>
      <c r="G39" s="981"/>
    </row>
    <row r="40" spans="1:7" ht="14.25" thickBot="1">
      <c r="A40" s="3014" t="s">
        <v>2445</v>
      </c>
      <c r="B40" s="3015" t="s">
        <v>2445</v>
      </c>
      <c r="C40" s="3016" t="s">
        <v>2495</v>
      </c>
      <c r="D40" s="3017"/>
      <c r="E40" s="3018">
        <v>1</v>
      </c>
      <c r="F40" s="3007" t="s">
        <v>2496</v>
      </c>
      <c r="G40" s="981"/>
    </row>
    <row r="41" spans="1:7">
      <c r="A41" s="3741" t="s">
        <v>2446</v>
      </c>
      <c r="B41" s="3744" t="s">
        <v>2497</v>
      </c>
      <c r="C41" s="3004" t="s">
        <v>2498</v>
      </c>
      <c r="D41" s="3005"/>
      <c r="E41" s="3006">
        <v>1</v>
      </c>
      <c r="F41" s="3007" t="s">
        <v>2499</v>
      </c>
      <c r="G41" s="981"/>
    </row>
    <row r="42" spans="1:7">
      <c r="A42" s="3742"/>
      <c r="B42" s="3745"/>
      <c r="C42" s="3008" t="s">
        <v>2500</v>
      </c>
      <c r="D42" s="3009"/>
      <c r="E42" s="3010">
        <v>1</v>
      </c>
      <c r="F42" s="3007" t="s">
        <v>2501</v>
      </c>
      <c r="G42" s="981"/>
    </row>
    <row r="43" spans="1:7">
      <c r="A43" s="3742"/>
      <c r="B43" s="3751"/>
      <c r="C43" s="3008" t="s">
        <v>2502</v>
      </c>
      <c r="D43" s="3009"/>
      <c r="E43" s="3010">
        <v>1.5</v>
      </c>
      <c r="F43" s="3007" t="s">
        <v>2503</v>
      </c>
      <c r="G43" s="981"/>
    </row>
    <row r="44" spans="1:7">
      <c r="A44" s="3742"/>
      <c r="B44" s="3019" t="s">
        <v>2448</v>
      </c>
      <c r="C44" s="3008" t="s">
        <v>2447</v>
      </c>
      <c r="D44" s="3009"/>
      <c r="E44" s="3010">
        <v>2</v>
      </c>
      <c r="F44" s="3007" t="s">
        <v>2504</v>
      </c>
      <c r="G44" s="981"/>
    </row>
    <row r="45" spans="1:7">
      <c r="A45" s="3742"/>
      <c r="B45" s="3750" t="s">
        <v>2505</v>
      </c>
      <c r="C45" s="3008" t="s">
        <v>2506</v>
      </c>
      <c r="D45" s="3009"/>
      <c r="E45" s="3010">
        <v>1</v>
      </c>
      <c r="F45" s="3007" t="s">
        <v>2507</v>
      </c>
      <c r="G45" s="981"/>
    </row>
    <row r="46" spans="1:7">
      <c r="A46" s="3742"/>
      <c r="B46" s="3745"/>
      <c r="C46" s="3008" t="s">
        <v>2508</v>
      </c>
      <c r="D46" s="3009"/>
      <c r="E46" s="3010">
        <v>1</v>
      </c>
      <c r="F46" s="3007" t="s">
        <v>2509</v>
      </c>
      <c r="G46" s="981"/>
    </row>
    <row r="47" spans="1:7">
      <c r="A47" s="3742"/>
      <c r="B47" s="3745"/>
      <c r="C47" s="3008" t="s">
        <v>2510</v>
      </c>
      <c r="D47" s="3009"/>
      <c r="E47" s="3010">
        <v>1</v>
      </c>
      <c r="F47" s="3007" t="s">
        <v>2511</v>
      </c>
      <c r="G47" s="981"/>
    </row>
    <row r="48" spans="1:7">
      <c r="A48" s="3742"/>
      <c r="B48" s="3745"/>
      <c r="C48" s="3008" t="s">
        <v>2512</v>
      </c>
      <c r="D48" s="3009"/>
      <c r="E48" s="3010">
        <v>1</v>
      </c>
      <c r="F48" s="3007" t="s">
        <v>2513</v>
      </c>
      <c r="G48" s="981"/>
    </row>
    <row r="49" spans="1:9">
      <c r="A49" s="3742"/>
      <c r="B49" s="3745"/>
      <c r="C49" s="3008" t="s">
        <v>2514</v>
      </c>
      <c r="D49" s="3009"/>
      <c r="E49" s="3010">
        <v>1</v>
      </c>
      <c r="F49" s="3007" t="s">
        <v>2515</v>
      </c>
      <c r="G49" s="981"/>
    </row>
    <row r="50" spans="1:9">
      <c r="A50" s="3742"/>
      <c r="B50" s="3745"/>
      <c r="C50" s="3008" t="s">
        <v>2516</v>
      </c>
      <c r="D50" s="3009"/>
      <c r="E50" s="3010">
        <v>1</v>
      </c>
      <c r="F50" s="3007" t="s">
        <v>2517</v>
      </c>
      <c r="G50" s="981"/>
    </row>
    <row r="51" spans="1:9" ht="14.25" thickBot="1">
      <c r="A51" s="3743"/>
      <c r="B51" s="3746"/>
      <c r="C51" s="3011" t="s">
        <v>2518</v>
      </c>
      <c r="D51" s="3012"/>
      <c r="E51" s="3013">
        <v>1</v>
      </c>
      <c r="F51" s="3007" t="s">
        <v>2519</v>
      </c>
      <c r="G51" s="981"/>
    </row>
    <row r="52" spans="1:9">
      <c r="A52" s="1324"/>
      <c r="B52" s="1324"/>
      <c r="C52" s="1324"/>
      <c r="D52" s="1324"/>
      <c r="E52" s="1324"/>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2768</v>
      </c>
      <c r="F56" s="978" t="s">
        <v>2768</v>
      </c>
      <c r="G56" s="978" t="s">
        <v>2768</v>
      </c>
      <c r="I56" s="955"/>
    </row>
    <row r="57" spans="1:9">
      <c r="A57" s="995" t="s">
        <v>836</v>
      </c>
      <c r="B57" s="2997">
        <v>0.7</v>
      </c>
      <c r="C57" s="2997">
        <v>0.4</v>
      </c>
      <c r="D57" s="2997">
        <v>0.3</v>
      </c>
      <c r="E57" s="3003">
        <v>0.3</v>
      </c>
      <c r="F57" s="2997">
        <v>0.3</v>
      </c>
      <c r="G57" s="2997">
        <v>0.2</v>
      </c>
      <c r="I57" s="955"/>
    </row>
    <row r="58" spans="1:9">
      <c r="A58" s="995" t="s">
        <v>837</v>
      </c>
      <c r="B58" s="2997">
        <v>0.7</v>
      </c>
      <c r="C58" s="2997">
        <v>0.4</v>
      </c>
      <c r="D58" s="2997">
        <v>0.3</v>
      </c>
      <c r="E58" s="2997">
        <v>0.3</v>
      </c>
      <c r="F58" s="2997">
        <v>0.3</v>
      </c>
      <c r="G58" s="2997">
        <v>0.2</v>
      </c>
      <c r="I58" s="955"/>
    </row>
    <row r="59" spans="1:9">
      <c r="A59" s="995" t="s">
        <v>838</v>
      </c>
      <c r="B59" s="2997">
        <v>0.6</v>
      </c>
      <c r="C59" s="2997">
        <v>0.3</v>
      </c>
      <c r="D59" s="2997">
        <v>0.25</v>
      </c>
      <c r="E59" s="2997">
        <v>0.25</v>
      </c>
      <c r="F59" s="2997">
        <v>0.25</v>
      </c>
      <c r="G59" s="2997">
        <v>0.15</v>
      </c>
      <c r="I59" s="955"/>
    </row>
    <row r="60" spans="1:9">
      <c r="A60" s="995" t="s">
        <v>839</v>
      </c>
      <c r="B60" s="2997">
        <v>0.6</v>
      </c>
      <c r="C60" s="2997">
        <v>0.3</v>
      </c>
      <c r="D60" s="2997">
        <v>0.25</v>
      </c>
      <c r="E60" s="2997">
        <v>0.25</v>
      </c>
      <c r="F60" s="2997">
        <v>0.25</v>
      </c>
      <c r="G60" s="2997">
        <v>0.15</v>
      </c>
      <c r="I60" s="955"/>
    </row>
    <row r="61" spans="1:9" s="971" customFormat="1">
      <c r="A61" s="995" t="s">
        <v>840</v>
      </c>
      <c r="B61" s="2997">
        <v>0.6</v>
      </c>
      <c r="C61" s="2997">
        <v>0.3</v>
      </c>
      <c r="D61" s="2997">
        <v>0.25</v>
      </c>
      <c r="E61" s="2997">
        <v>0.25</v>
      </c>
      <c r="F61" s="2997">
        <v>0.25</v>
      </c>
      <c r="G61" s="2997">
        <v>0.15</v>
      </c>
    </row>
    <row r="62" spans="1:9" s="971" customFormat="1">
      <c r="A62" s="995" t="s">
        <v>841</v>
      </c>
      <c r="B62" s="2997">
        <v>0.6</v>
      </c>
      <c r="C62" s="2997">
        <v>0.3</v>
      </c>
      <c r="D62" s="2997">
        <v>0.25</v>
      </c>
      <c r="E62" s="2997">
        <v>0.25</v>
      </c>
      <c r="F62" s="2997">
        <v>0.25</v>
      </c>
      <c r="G62" s="2997">
        <v>0.15</v>
      </c>
    </row>
    <row r="63" spans="1:9" s="971" customFormat="1">
      <c r="A63" s="995" t="s">
        <v>842</v>
      </c>
      <c r="B63" s="2997">
        <v>0.6</v>
      </c>
      <c r="C63" s="2997">
        <v>0.3</v>
      </c>
      <c r="D63" s="2997">
        <v>0.25</v>
      </c>
      <c r="E63" s="2997">
        <v>0.25</v>
      </c>
      <c r="F63" s="2997">
        <v>0.25</v>
      </c>
      <c r="G63" s="2997">
        <v>0.15</v>
      </c>
    </row>
    <row r="64" spans="1:9" s="971" customFormat="1">
      <c r="A64" s="995" t="s">
        <v>843</v>
      </c>
      <c r="B64" s="2997">
        <v>0.5</v>
      </c>
      <c r="C64" s="2997">
        <v>0.2</v>
      </c>
      <c r="D64" s="2997">
        <v>0.2</v>
      </c>
      <c r="E64" s="2997">
        <v>0.2</v>
      </c>
      <c r="F64" s="2997">
        <v>0.2</v>
      </c>
      <c r="G64" s="2997">
        <v>0.1</v>
      </c>
    </row>
    <row r="65" spans="1:8" s="971" customFormat="1">
      <c r="A65" s="995" t="s">
        <v>844</v>
      </c>
      <c r="B65" s="2997">
        <v>0.5</v>
      </c>
      <c r="C65" s="2997">
        <v>0.2</v>
      </c>
      <c r="D65" s="2997">
        <v>0.2</v>
      </c>
      <c r="E65" s="2997">
        <v>0.2</v>
      </c>
      <c r="F65" s="2997">
        <v>0.2</v>
      </c>
      <c r="G65" s="2997">
        <v>0.1</v>
      </c>
    </row>
    <row r="66" spans="1:8" s="971" customFormat="1">
      <c r="A66" s="995" t="s">
        <v>845</v>
      </c>
      <c r="B66" s="2997">
        <v>0.5</v>
      </c>
      <c r="C66" s="2997">
        <v>0.2</v>
      </c>
      <c r="D66" s="2997">
        <v>0.2</v>
      </c>
      <c r="E66" s="2997">
        <v>0.2</v>
      </c>
      <c r="F66" s="2997">
        <v>0.2</v>
      </c>
      <c r="G66" s="2997">
        <v>0.1</v>
      </c>
    </row>
    <row r="67" spans="1:8" s="971" customFormat="1">
      <c r="A67" s="995" t="s">
        <v>846</v>
      </c>
      <c r="B67" s="2997">
        <v>0.5</v>
      </c>
      <c r="C67" s="2997">
        <v>0.2</v>
      </c>
      <c r="D67" s="2997">
        <v>0.2</v>
      </c>
      <c r="E67" s="2997">
        <v>0.2</v>
      </c>
      <c r="F67" s="2997">
        <v>0.2</v>
      </c>
      <c r="G67" s="2997">
        <v>0.1</v>
      </c>
    </row>
    <row r="68" spans="1:8" s="971" customFormat="1">
      <c r="A68" s="995" t="s">
        <v>847</v>
      </c>
      <c r="B68" s="2997">
        <v>0.5</v>
      </c>
      <c r="C68" s="2997">
        <v>0.2</v>
      </c>
      <c r="D68" s="2997">
        <v>0.2</v>
      </c>
      <c r="E68" s="2997">
        <v>0.2</v>
      </c>
      <c r="F68" s="2997">
        <v>0.2</v>
      </c>
      <c r="G68" s="2997">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2520</v>
      </c>
      <c r="D72" s="997"/>
      <c r="E72" s="985" t="s">
        <v>1159</v>
      </c>
      <c r="F72" s="997" t="s">
        <v>1159</v>
      </c>
    </row>
    <row r="73" spans="1:8" s="971" customFormat="1">
      <c r="A73" s="3019">
        <v>1</v>
      </c>
      <c r="B73" s="3750" t="s">
        <v>2521</v>
      </c>
      <c r="C73" s="2997" t="s">
        <v>2522</v>
      </c>
      <c r="D73" s="2997" t="s">
        <v>2523</v>
      </c>
      <c r="E73" s="3020">
        <v>0.2</v>
      </c>
      <c r="F73" s="3019">
        <v>25</v>
      </c>
      <c r="H73" s="971">
        <f>SUMIF(C71:C139,基准地价!C8,E71:E139)</f>
        <v>0</v>
      </c>
    </row>
    <row r="74" spans="1:8" s="971" customFormat="1" ht="24">
      <c r="A74" s="3019">
        <v>2</v>
      </c>
      <c r="B74" s="3745"/>
      <c r="C74" s="2997" t="s">
        <v>2524</v>
      </c>
      <c r="D74" s="2997" t="s">
        <v>2525</v>
      </c>
      <c r="E74" s="3020">
        <v>0.2</v>
      </c>
      <c r="F74" s="3019">
        <v>25</v>
      </c>
    </row>
    <row r="75" spans="1:8" s="971" customFormat="1" ht="24">
      <c r="A75" s="3019">
        <v>3</v>
      </c>
      <c r="B75" s="3745"/>
      <c r="C75" s="2997" t="s">
        <v>2526</v>
      </c>
      <c r="D75" s="2997" t="s">
        <v>2527</v>
      </c>
      <c r="E75" s="3020">
        <v>0.2</v>
      </c>
      <c r="F75" s="3019">
        <v>25</v>
      </c>
    </row>
    <row r="76" spans="1:8" s="971" customFormat="1">
      <c r="A76" s="3019">
        <v>4</v>
      </c>
      <c r="B76" s="3745"/>
      <c r="C76" s="2997" t="s">
        <v>2528</v>
      </c>
      <c r="D76" s="2997" t="s">
        <v>2529</v>
      </c>
      <c r="E76" s="3020">
        <v>0.15</v>
      </c>
      <c r="F76" s="3019">
        <v>20</v>
      </c>
    </row>
    <row r="77" spans="1:8" s="971" customFormat="1" ht="24">
      <c r="A77" s="3019">
        <v>5</v>
      </c>
      <c r="B77" s="3745"/>
      <c r="C77" s="2997" t="s">
        <v>2530</v>
      </c>
      <c r="D77" s="2997" t="s">
        <v>2531</v>
      </c>
      <c r="E77" s="3020">
        <v>0.15</v>
      </c>
      <c r="F77" s="3019">
        <v>20</v>
      </c>
    </row>
    <row r="78" spans="1:8" s="971" customFormat="1" ht="24">
      <c r="A78" s="3019">
        <v>6</v>
      </c>
      <c r="B78" s="3745"/>
      <c r="C78" s="2997" t="s">
        <v>2532</v>
      </c>
      <c r="D78" s="2997" t="s">
        <v>2533</v>
      </c>
      <c r="E78" s="3020">
        <v>0.15</v>
      </c>
      <c r="F78" s="3019">
        <v>20</v>
      </c>
    </row>
    <row r="79" spans="1:8" s="971" customFormat="1" ht="24">
      <c r="A79" s="3019">
        <v>7</v>
      </c>
      <c r="B79" s="3745"/>
      <c r="C79" s="2997" t="s">
        <v>2534</v>
      </c>
      <c r="D79" s="2997" t="s">
        <v>2535</v>
      </c>
      <c r="E79" s="3020">
        <v>0.15</v>
      </c>
      <c r="F79" s="3019">
        <v>20</v>
      </c>
    </row>
    <row r="80" spans="1:8" s="971" customFormat="1" ht="24">
      <c r="A80" s="3019">
        <v>8</v>
      </c>
      <c r="B80" s="3745"/>
      <c r="C80" s="2997" t="s">
        <v>2536</v>
      </c>
      <c r="D80" s="2997" t="s">
        <v>2537</v>
      </c>
      <c r="E80" s="3020">
        <v>0.1</v>
      </c>
      <c r="F80" s="3019">
        <v>15</v>
      </c>
    </row>
    <row r="81" spans="1:6" s="971" customFormat="1" ht="24">
      <c r="A81" s="3019">
        <v>9</v>
      </c>
      <c r="B81" s="3745"/>
      <c r="C81" s="2997" t="s">
        <v>2538</v>
      </c>
      <c r="D81" s="2997" t="s">
        <v>2539</v>
      </c>
      <c r="E81" s="3020">
        <v>0.1</v>
      </c>
      <c r="F81" s="3019">
        <v>15</v>
      </c>
    </row>
    <row r="82" spans="1:6" s="971" customFormat="1" ht="24">
      <c r="A82" s="3019">
        <v>10</v>
      </c>
      <c r="B82" s="3745"/>
      <c r="C82" s="2997" t="s">
        <v>2540</v>
      </c>
      <c r="D82" s="2997" t="s">
        <v>2541</v>
      </c>
      <c r="E82" s="3020">
        <v>0.1</v>
      </c>
      <c r="F82" s="3019">
        <v>15</v>
      </c>
    </row>
    <row r="83" spans="1:6" s="971" customFormat="1" ht="24">
      <c r="A83" s="3019">
        <v>11</v>
      </c>
      <c r="B83" s="3745"/>
      <c r="C83" s="2997" t="s">
        <v>2542</v>
      </c>
      <c r="D83" s="2997" t="s">
        <v>2543</v>
      </c>
      <c r="E83" s="3020">
        <v>0.1</v>
      </c>
      <c r="F83" s="3019">
        <v>15</v>
      </c>
    </row>
    <row r="84" spans="1:6" s="971" customFormat="1" ht="24">
      <c r="A84" s="3019">
        <v>12</v>
      </c>
      <c r="B84" s="3745"/>
      <c r="C84" s="2997" t="s">
        <v>2544</v>
      </c>
      <c r="D84" s="2997" t="s">
        <v>2545</v>
      </c>
      <c r="E84" s="3020">
        <v>0.1</v>
      </c>
      <c r="F84" s="3019">
        <v>15</v>
      </c>
    </row>
    <row r="85" spans="1:6" s="971" customFormat="1">
      <c r="A85" s="3019">
        <v>13</v>
      </c>
      <c r="B85" s="3745"/>
      <c r="C85" s="2997" t="s">
        <v>2546</v>
      </c>
      <c r="D85" s="2997" t="s">
        <v>2547</v>
      </c>
      <c r="E85" s="3020">
        <v>0.1</v>
      </c>
      <c r="F85" s="3019">
        <v>15</v>
      </c>
    </row>
    <row r="86" spans="1:6" s="971" customFormat="1">
      <c r="A86" s="3019">
        <v>14</v>
      </c>
      <c r="B86" s="3745"/>
      <c r="C86" s="2997" t="s">
        <v>2548</v>
      </c>
      <c r="D86" s="2997" t="s">
        <v>2549</v>
      </c>
      <c r="E86" s="3020">
        <v>0.1</v>
      </c>
      <c r="F86" s="3019">
        <v>15</v>
      </c>
    </row>
    <row r="87" spans="1:6" s="971" customFormat="1">
      <c r="A87" s="3019">
        <v>15</v>
      </c>
      <c r="B87" s="3745"/>
      <c r="C87" s="2997" t="s">
        <v>2550</v>
      </c>
      <c r="D87" s="2997" t="s">
        <v>2551</v>
      </c>
      <c r="E87" s="3020">
        <v>0.1</v>
      </c>
      <c r="F87" s="3019">
        <v>15</v>
      </c>
    </row>
    <row r="88" spans="1:6" s="971" customFormat="1" ht="24">
      <c r="A88" s="3019">
        <v>16</v>
      </c>
      <c r="B88" s="3745"/>
      <c r="C88" s="2997" t="s">
        <v>2552</v>
      </c>
      <c r="D88" s="2997" t="s">
        <v>2553</v>
      </c>
      <c r="E88" s="3020">
        <v>0.1</v>
      </c>
      <c r="F88" s="3019">
        <v>15</v>
      </c>
    </row>
    <row r="89" spans="1:6" s="971" customFormat="1" ht="24">
      <c r="A89" s="3019">
        <v>17</v>
      </c>
      <c r="B89" s="3751"/>
      <c r="C89" s="2997" t="s">
        <v>2554</v>
      </c>
      <c r="D89" s="2997" t="s">
        <v>2555</v>
      </c>
      <c r="E89" s="3020">
        <v>0.1</v>
      </c>
      <c r="F89" s="3019">
        <v>15</v>
      </c>
    </row>
    <row r="90" spans="1:6" s="971" customFormat="1">
      <c r="A90" s="3019">
        <v>18</v>
      </c>
      <c r="B90" s="3750" t="s">
        <v>2556</v>
      </c>
      <c r="C90" s="2997" t="s">
        <v>2557</v>
      </c>
      <c r="D90" s="2997" t="s">
        <v>2558</v>
      </c>
      <c r="E90" s="3020">
        <v>0.2</v>
      </c>
      <c r="F90" s="3019">
        <v>25</v>
      </c>
    </row>
    <row r="91" spans="1:6" s="971" customFormat="1" ht="24">
      <c r="A91" s="3019">
        <v>19</v>
      </c>
      <c r="B91" s="3745"/>
      <c r="C91" s="2997" t="s">
        <v>2559</v>
      </c>
      <c r="D91" s="2997" t="s">
        <v>2560</v>
      </c>
      <c r="E91" s="3020">
        <v>0.2</v>
      </c>
      <c r="F91" s="3019">
        <v>25</v>
      </c>
    </row>
    <row r="92" spans="1:6" s="971" customFormat="1">
      <c r="A92" s="3019">
        <v>20</v>
      </c>
      <c r="B92" s="3745"/>
      <c r="C92" s="2997" t="s">
        <v>2561</v>
      </c>
      <c r="D92" s="2997" t="s">
        <v>2562</v>
      </c>
      <c r="E92" s="3020">
        <v>0.15</v>
      </c>
      <c r="F92" s="3019">
        <v>20</v>
      </c>
    </row>
    <row r="93" spans="1:6" s="971" customFormat="1" ht="24">
      <c r="A93" s="3019">
        <v>21</v>
      </c>
      <c r="B93" s="3745"/>
      <c r="C93" s="2997" t="s">
        <v>2563</v>
      </c>
      <c r="D93" s="2997" t="s">
        <v>2564</v>
      </c>
      <c r="E93" s="3020">
        <v>0.15</v>
      </c>
      <c r="F93" s="3019">
        <v>20</v>
      </c>
    </row>
    <row r="94" spans="1:6" s="971" customFormat="1" ht="24">
      <c r="A94" s="3019">
        <v>22</v>
      </c>
      <c r="B94" s="3745"/>
      <c r="C94" s="2997" t="s">
        <v>2565</v>
      </c>
      <c r="D94" s="2997" t="s">
        <v>2566</v>
      </c>
      <c r="E94" s="3020">
        <v>0.15</v>
      </c>
      <c r="F94" s="3019">
        <v>20</v>
      </c>
    </row>
    <row r="95" spans="1:6" s="971" customFormat="1" ht="36">
      <c r="A95" s="3019">
        <v>23</v>
      </c>
      <c r="B95" s="3745"/>
      <c r="C95" s="2997" t="s">
        <v>2567</v>
      </c>
      <c r="D95" s="2997" t="s">
        <v>2568</v>
      </c>
      <c r="E95" s="3020">
        <v>0.15</v>
      </c>
      <c r="F95" s="3019">
        <v>20</v>
      </c>
    </row>
    <row r="96" spans="1:6" s="971" customFormat="1">
      <c r="A96" s="3019">
        <v>24</v>
      </c>
      <c r="B96" s="3745"/>
      <c r="C96" s="2997" t="s">
        <v>2569</v>
      </c>
      <c r="D96" s="2997" t="s">
        <v>2570</v>
      </c>
      <c r="E96" s="3020">
        <v>0.1</v>
      </c>
      <c r="F96" s="3019">
        <v>15</v>
      </c>
    </row>
    <row r="97" spans="1:6" s="971" customFormat="1" ht="24">
      <c r="A97" s="3019">
        <v>25</v>
      </c>
      <c r="B97" s="3745"/>
      <c r="C97" s="2997" t="s">
        <v>2571</v>
      </c>
      <c r="D97" s="2997" t="s">
        <v>2572</v>
      </c>
      <c r="E97" s="3020">
        <v>0.1</v>
      </c>
      <c r="F97" s="3019">
        <v>15</v>
      </c>
    </row>
    <row r="98" spans="1:6" s="971" customFormat="1" ht="24">
      <c r="A98" s="3019">
        <v>26</v>
      </c>
      <c r="B98" s="3745"/>
      <c r="C98" s="2997" t="s">
        <v>2573</v>
      </c>
      <c r="D98" s="2997" t="s">
        <v>2574</v>
      </c>
      <c r="E98" s="3020">
        <v>0.1</v>
      </c>
      <c r="F98" s="3019">
        <v>15</v>
      </c>
    </row>
    <row r="99" spans="1:6" s="971" customFormat="1" ht="24">
      <c r="A99" s="3019">
        <v>27</v>
      </c>
      <c r="B99" s="3745"/>
      <c r="C99" s="2997" t="s">
        <v>2575</v>
      </c>
      <c r="D99" s="2997" t="s">
        <v>2576</v>
      </c>
      <c r="E99" s="3020">
        <v>0.1</v>
      </c>
      <c r="F99" s="3019">
        <v>15</v>
      </c>
    </row>
    <row r="100" spans="1:6" s="971" customFormat="1" ht="24">
      <c r="A100" s="3019">
        <v>28</v>
      </c>
      <c r="B100" s="3745"/>
      <c r="C100" s="2997" t="s">
        <v>2577</v>
      </c>
      <c r="D100" s="2997" t="s">
        <v>2578</v>
      </c>
      <c r="E100" s="3020">
        <v>0.1</v>
      </c>
      <c r="F100" s="3019">
        <v>15</v>
      </c>
    </row>
    <row r="101" spans="1:6" s="971" customFormat="1" ht="24">
      <c r="A101" s="3019">
        <v>29</v>
      </c>
      <c r="B101" s="3745"/>
      <c r="C101" s="2997" t="s">
        <v>2579</v>
      </c>
      <c r="D101" s="2997" t="s">
        <v>2580</v>
      </c>
      <c r="E101" s="3020">
        <v>0.1</v>
      </c>
      <c r="F101" s="3019">
        <v>15</v>
      </c>
    </row>
    <row r="102" spans="1:6" s="971" customFormat="1" ht="24">
      <c r="A102" s="3019">
        <v>30</v>
      </c>
      <c r="B102" s="3745"/>
      <c r="C102" s="2997" t="s">
        <v>2581</v>
      </c>
      <c r="D102" s="2997" t="s">
        <v>2582</v>
      </c>
      <c r="E102" s="3020">
        <v>0.1</v>
      </c>
      <c r="F102" s="3019">
        <v>15</v>
      </c>
    </row>
    <row r="103" spans="1:6" s="971" customFormat="1" ht="24">
      <c r="A103" s="3019">
        <v>31</v>
      </c>
      <c r="B103" s="3745"/>
      <c r="C103" s="2997" t="s">
        <v>2583</v>
      </c>
      <c r="D103" s="2997" t="s">
        <v>2584</v>
      </c>
      <c r="E103" s="3020">
        <v>0.1</v>
      </c>
      <c r="F103" s="3019">
        <v>15</v>
      </c>
    </row>
    <row r="104" spans="1:6" s="971" customFormat="1" ht="24">
      <c r="A104" s="3019">
        <v>32</v>
      </c>
      <c r="B104" s="3745"/>
      <c r="C104" s="2997" t="s">
        <v>2585</v>
      </c>
      <c r="D104" s="2997" t="s">
        <v>2586</v>
      </c>
      <c r="E104" s="3020">
        <v>0.1</v>
      </c>
      <c r="F104" s="3019">
        <v>15</v>
      </c>
    </row>
    <row r="105" spans="1:6" s="971" customFormat="1" ht="24">
      <c r="A105" s="3019">
        <v>33</v>
      </c>
      <c r="B105" s="3745"/>
      <c r="C105" s="2997" t="s">
        <v>2587</v>
      </c>
      <c r="D105" s="2997" t="s">
        <v>2588</v>
      </c>
      <c r="E105" s="3020">
        <v>0.1</v>
      </c>
      <c r="F105" s="3019">
        <v>15</v>
      </c>
    </row>
    <row r="106" spans="1:6" s="971" customFormat="1" ht="24">
      <c r="A106" s="3019">
        <v>34</v>
      </c>
      <c r="B106" s="3751"/>
      <c r="C106" s="2997" t="s">
        <v>2589</v>
      </c>
      <c r="D106" s="2997" t="s">
        <v>2590</v>
      </c>
      <c r="E106" s="3020">
        <v>0.1</v>
      </c>
      <c r="F106" s="3019">
        <v>15</v>
      </c>
    </row>
    <row r="107" spans="1:6" s="971" customFormat="1" ht="24">
      <c r="A107" s="3019">
        <v>35</v>
      </c>
      <c r="B107" s="3750" t="s">
        <v>2591</v>
      </c>
      <c r="C107" s="3019" t="s">
        <v>2592</v>
      </c>
      <c r="D107" s="2997" t="s">
        <v>2593</v>
      </c>
      <c r="E107" s="3020">
        <v>0.15</v>
      </c>
      <c r="F107" s="3019">
        <v>20</v>
      </c>
    </row>
    <row r="108" spans="1:6" s="971" customFormat="1" ht="24">
      <c r="A108" s="3019">
        <v>36</v>
      </c>
      <c r="B108" s="3745"/>
      <c r="C108" s="3019" t="s">
        <v>2594</v>
      </c>
      <c r="D108" s="2997" t="s">
        <v>2595</v>
      </c>
      <c r="E108" s="3020">
        <v>0.15</v>
      </c>
      <c r="F108" s="3019">
        <v>20</v>
      </c>
    </row>
    <row r="109" spans="1:6" s="971" customFormat="1" ht="24">
      <c r="A109" s="3019">
        <v>37</v>
      </c>
      <c r="B109" s="3745"/>
      <c r="C109" s="3019" t="s">
        <v>2596</v>
      </c>
      <c r="D109" s="2997" t="s">
        <v>2597</v>
      </c>
      <c r="E109" s="3020">
        <v>0.15</v>
      </c>
      <c r="F109" s="3019">
        <v>20</v>
      </c>
    </row>
    <row r="110" spans="1:6" s="971" customFormat="1">
      <c r="A110" s="3019">
        <v>38</v>
      </c>
      <c r="B110" s="3745"/>
      <c r="C110" s="3019" t="s">
        <v>2598</v>
      </c>
      <c r="D110" s="2997" t="s">
        <v>2599</v>
      </c>
      <c r="E110" s="3020">
        <v>0.1</v>
      </c>
      <c r="F110" s="3019">
        <v>15</v>
      </c>
    </row>
    <row r="111" spans="1:6" s="971" customFormat="1" ht="24">
      <c r="A111" s="3019">
        <v>39</v>
      </c>
      <c r="B111" s="3745"/>
      <c r="C111" s="3019" t="s">
        <v>2600</v>
      </c>
      <c r="D111" s="2997" t="s">
        <v>2601</v>
      </c>
      <c r="E111" s="3020">
        <v>0.1</v>
      </c>
      <c r="F111" s="3019">
        <v>15</v>
      </c>
    </row>
    <row r="112" spans="1:6" s="971" customFormat="1" ht="24">
      <c r="A112" s="3019">
        <v>40</v>
      </c>
      <c r="B112" s="3751"/>
      <c r="C112" s="3019" t="s">
        <v>2602</v>
      </c>
      <c r="D112" s="2997" t="s">
        <v>2603</v>
      </c>
      <c r="E112" s="3020">
        <v>0.1</v>
      </c>
      <c r="F112" s="3019">
        <v>15</v>
      </c>
    </row>
    <row r="113" spans="1:6" s="971" customFormat="1" ht="24">
      <c r="A113" s="3019">
        <v>41</v>
      </c>
      <c r="B113" s="3752" t="s">
        <v>2604</v>
      </c>
      <c r="C113" s="3019" t="s">
        <v>2605</v>
      </c>
      <c r="D113" s="2997" t="s">
        <v>2606</v>
      </c>
      <c r="E113" s="3020">
        <v>0.1</v>
      </c>
      <c r="F113" s="3019">
        <v>15</v>
      </c>
    </row>
    <row r="114" spans="1:6" s="971" customFormat="1">
      <c r="A114" s="3019">
        <v>42</v>
      </c>
      <c r="B114" s="3752"/>
      <c r="C114" s="3019" t="s">
        <v>2607</v>
      </c>
      <c r="D114" s="2997" t="s">
        <v>2608</v>
      </c>
      <c r="E114" s="3020">
        <v>0.1</v>
      </c>
      <c r="F114" s="3019">
        <v>15</v>
      </c>
    </row>
    <row r="115" spans="1:6" s="971" customFormat="1" ht="24">
      <c r="A115" s="3019">
        <v>43</v>
      </c>
      <c r="B115" s="3752"/>
      <c r="C115" s="3019" t="s">
        <v>2609</v>
      </c>
      <c r="D115" s="2997" t="s">
        <v>2610</v>
      </c>
      <c r="E115" s="3020">
        <v>0.1</v>
      </c>
      <c r="F115" s="3019">
        <v>15</v>
      </c>
    </row>
    <row r="116" spans="1:6" s="971" customFormat="1" ht="24">
      <c r="A116" s="3019">
        <v>44</v>
      </c>
      <c r="B116" s="3750" t="s">
        <v>2611</v>
      </c>
      <c r="C116" s="3019" t="s">
        <v>2612</v>
      </c>
      <c r="D116" s="2997" t="s">
        <v>2613</v>
      </c>
      <c r="E116" s="3020">
        <v>0.1</v>
      </c>
      <c r="F116" s="3019">
        <v>15</v>
      </c>
    </row>
    <row r="117" spans="1:6" s="971" customFormat="1" ht="24">
      <c r="A117" s="3019">
        <v>45</v>
      </c>
      <c r="B117" s="3751"/>
      <c r="C117" s="2997" t="s">
        <v>2614</v>
      </c>
      <c r="D117" s="2997" t="s">
        <v>2615</v>
      </c>
      <c r="E117" s="3020">
        <v>0.1</v>
      </c>
      <c r="F117" s="3019">
        <v>15</v>
      </c>
    </row>
    <row r="118" spans="1:6" s="971" customFormat="1" ht="24">
      <c r="A118" s="3019">
        <v>46</v>
      </c>
      <c r="B118" s="3750" t="s">
        <v>2616</v>
      </c>
      <c r="C118" s="3019" t="s">
        <v>2617</v>
      </c>
      <c r="D118" s="2997" t="s">
        <v>2618</v>
      </c>
      <c r="E118" s="3020">
        <v>0.1</v>
      </c>
      <c r="F118" s="3019">
        <v>15</v>
      </c>
    </row>
    <row r="119" spans="1:6" s="971" customFormat="1" ht="24">
      <c r="A119" s="3019">
        <v>47</v>
      </c>
      <c r="B119" s="3751"/>
      <c r="C119" s="3019" t="s">
        <v>2619</v>
      </c>
      <c r="D119" s="2997" t="s">
        <v>2620</v>
      </c>
      <c r="E119" s="3020">
        <v>0.1</v>
      </c>
      <c r="F119" s="3019">
        <v>15</v>
      </c>
    </row>
    <row r="120" spans="1:6" s="971" customFormat="1" ht="24">
      <c r="A120" s="3019">
        <v>48</v>
      </c>
      <c r="B120" s="3750" t="s">
        <v>2621</v>
      </c>
      <c r="C120" s="3019" t="s">
        <v>2622</v>
      </c>
      <c r="D120" s="2997" t="s">
        <v>2623</v>
      </c>
      <c r="E120" s="3020">
        <v>0.1</v>
      </c>
      <c r="F120" s="3019">
        <v>15</v>
      </c>
    </row>
    <row r="121" spans="1:6" s="971" customFormat="1">
      <c r="A121" s="3019">
        <v>49</v>
      </c>
      <c r="B121" s="3751"/>
      <c r="C121" s="3019" t="s">
        <v>2624</v>
      </c>
      <c r="D121" s="2997" t="s">
        <v>2625</v>
      </c>
      <c r="E121" s="3020">
        <v>0.1</v>
      </c>
      <c r="F121" s="3019">
        <v>15</v>
      </c>
    </row>
    <row r="122" spans="1:6" s="971" customFormat="1" ht="24">
      <c r="A122" s="3019">
        <v>50</v>
      </c>
      <c r="B122" s="3752" t="s">
        <v>2626</v>
      </c>
      <c r="C122" s="3019" t="s">
        <v>2627</v>
      </c>
      <c r="D122" s="2997" t="s">
        <v>2628</v>
      </c>
      <c r="E122" s="3020">
        <v>0.1</v>
      </c>
      <c r="F122" s="3019">
        <v>15</v>
      </c>
    </row>
    <row r="123" spans="1:6" s="971" customFormat="1" ht="24">
      <c r="A123" s="3019">
        <v>51</v>
      </c>
      <c r="B123" s="3752"/>
      <c r="C123" s="3019" t="s">
        <v>2629</v>
      </c>
      <c r="D123" s="2997" t="s">
        <v>2630</v>
      </c>
      <c r="E123" s="3020">
        <v>0.1</v>
      </c>
      <c r="F123" s="3019">
        <v>15</v>
      </c>
    </row>
    <row r="124" spans="1:6" s="971" customFormat="1" ht="24">
      <c r="A124" s="3019">
        <v>52</v>
      </c>
      <c r="B124" s="3752" t="s">
        <v>2631</v>
      </c>
      <c r="C124" s="3019" t="s">
        <v>2632</v>
      </c>
      <c r="D124" s="2997" t="s">
        <v>2633</v>
      </c>
      <c r="E124" s="3020">
        <v>0.1</v>
      </c>
      <c r="F124" s="3019">
        <v>15</v>
      </c>
    </row>
    <row r="125" spans="1:6" s="971" customFormat="1" ht="24">
      <c r="A125" s="3019">
        <v>53</v>
      </c>
      <c r="B125" s="3752"/>
      <c r="C125" s="3019" t="s">
        <v>2634</v>
      </c>
      <c r="D125" s="2997" t="s">
        <v>2635</v>
      </c>
      <c r="E125" s="3020">
        <v>0.1</v>
      </c>
      <c r="F125" s="3019">
        <v>15</v>
      </c>
    </row>
    <row r="126" spans="1:6" ht="24">
      <c r="A126" s="3019">
        <v>54</v>
      </c>
      <c r="B126" s="3019" t="s">
        <v>2636</v>
      </c>
      <c r="C126" s="3019" t="s">
        <v>2637</v>
      </c>
      <c r="D126" s="2997" t="s">
        <v>2638</v>
      </c>
      <c r="E126" s="3020">
        <v>0.1</v>
      </c>
      <c r="F126" s="3019">
        <v>15</v>
      </c>
    </row>
    <row r="127" spans="1:6">
      <c r="A127" s="3019">
        <v>55</v>
      </c>
      <c r="B127" s="3752" t="s">
        <v>2639</v>
      </c>
      <c r="C127" s="3019" t="s">
        <v>2640</v>
      </c>
      <c r="D127" s="2997" t="s">
        <v>2641</v>
      </c>
      <c r="E127" s="3020">
        <v>0.1</v>
      </c>
      <c r="F127" s="3019">
        <v>15</v>
      </c>
    </row>
    <row r="128" spans="1:6">
      <c r="A128" s="3019">
        <v>56</v>
      </c>
      <c r="B128" s="3752"/>
      <c r="C128" s="3019" t="s">
        <v>2642</v>
      </c>
      <c r="D128" s="2997" t="s">
        <v>2643</v>
      </c>
      <c r="E128" s="3020">
        <v>0.1</v>
      </c>
      <c r="F128" s="3019">
        <v>15</v>
      </c>
    </row>
    <row r="129" spans="1:14" ht="24">
      <c r="A129" s="3019">
        <v>57</v>
      </c>
      <c r="B129" s="3752"/>
      <c r="C129" s="3019" t="s">
        <v>2644</v>
      </c>
      <c r="D129" s="2997" t="s">
        <v>2645</v>
      </c>
      <c r="E129" s="3020">
        <v>0.1</v>
      </c>
      <c r="F129" s="3019">
        <v>15</v>
      </c>
    </row>
    <row r="130" spans="1:14" ht="24">
      <c r="A130" s="3019">
        <v>58</v>
      </c>
      <c r="B130" s="3752" t="s">
        <v>2646</v>
      </c>
      <c r="C130" s="3019" t="s">
        <v>2647</v>
      </c>
      <c r="D130" s="2997" t="s">
        <v>2648</v>
      </c>
      <c r="E130" s="3020">
        <v>0.1</v>
      </c>
      <c r="F130" s="3019">
        <v>15</v>
      </c>
    </row>
    <row r="131" spans="1:14" ht="24">
      <c r="A131" s="3019">
        <v>59</v>
      </c>
      <c r="B131" s="3752"/>
      <c r="C131" s="3019" t="s">
        <v>2649</v>
      </c>
      <c r="D131" s="2997" t="s">
        <v>2650</v>
      </c>
      <c r="E131" s="3020">
        <v>0.1</v>
      </c>
      <c r="F131" s="3019">
        <v>15</v>
      </c>
    </row>
    <row r="132" spans="1:14" ht="24">
      <c r="A132" s="3019">
        <v>60</v>
      </c>
      <c r="B132" s="3750" t="s">
        <v>2651</v>
      </c>
      <c r="C132" s="3019" t="s">
        <v>2652</v>
      </c>
      <c r="D132" s="2997" t="s">
        <v>2653</v>
      </c>
      <c r="E132" s="3020">
        <v>0.1</v>
      </c>
      <c r="F132" s="3019">
        <v>15</v>
      </c>
    </row>
    <row r="133" spans="1:14" ht="24">
      <c r="A133" s="3019">
        <v>61</v>
      </c>
      <c r="B133" s="3751"/>
      <c r="C133" s="3019" t="s">
        <v>2654</v>
      </c>
      <c r="D133" s="2997" t="s">
        <v>2655</v>
      </c>
      <c r="E133" s="3020">
        <v>0.1</v>
      </c>
      <c r="F133" s="3019">
        <v>15</v>
      </c>
    </row>
    <row r="134" spans="1:14" ht="24">
      <c r="A134" s="3019">
        <v>62</v>
      </c>
      <c r="B134" s="3019" t="s">
        <v>2656</v>
      </c>
      <c r="C134" s="3019" t="s">
        <v>2657</v>
      </c>
      <c r="D134" s="2997" t="s">
        <v>2658</v>
      </c>
      <c r="E134" s="3020">
        <v>0.1</v>
      </c>
      <c r="F134" s="3019">
        <v>15</v>
      </c>
    </row>
    <row r="135" spans="1:14" ht="24">
      <c r="A135" s="3019">
        <v>63</v>
      </c>
      <c r="B135" s="3752" t="s">
        <v>2659</v>
      </c>
      <c r="C135" s="3019" t="s">
        <v>2660</v>
      </c>
      <c r="D135" s="2997" t="s">
        <v>2661</v>
      </c>
      <c r="E135" s="3020">
        <v>0.1</v>
      </c>
      <c r="F135" s="3019">
        <v>15</v>
      </c>
    </row>
    <row r="136" spans="1:14">
      <c r="A136" s="3019">
        <v>64</v>
      </c>
      <c r="B136" s="3752"/>
      <c r="C136" s="3019" t="s">
        <v>2662</v>
      </c>
      <c r="D136" s="2997" t="s">
        <v>2663</v>
      </c>
      <c r="E136" s="3020">
        <v>0.1</v>
      </c>
      <c r="F136" s="3019">
        <v>15</v>
      </c>
    </row>
    <row r="137" spans="1:14" ht="24">
      <c r="A137" s="3019">
        <v>65</v>
      </c>
      <c r="B137" s="3019" t="s">
        <v>2664</v>
      </c>
      <c r="C137" s="3019" t="s">
        <v>2665</v>
      </c>
      <c r="D137" s="2997" t="s">
        <v>2666</v>
      </c>
      <c r="E137" s="3020">
        <v>0.1</v>
      </c>
      <c r="F137" s="3019">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1" customWidth="1"/>
    <col min="2" max="2" width="15" style="3161" customWidth="1"/>
    <col min="3" max="6" width="10.25" style="3161" customWidth="1"/>
    <col min="7" max="7" width="9" style="3161"/>
    <col min="8" max="8" width="9" style="958"/>
    <col min="9" max="9" width="9" style="955"/>
    <col min="10" max="10" width="17.375" style="3186" customWidth="1"/>
    <col min="11" max="21" width="17.375" style="3161" customWidth="1"/>
    <col min="22" max="16384" width="9" style="955"/>
  </cols>
  <sheetData>
    <row r="1" spans="1:21">
      <c r="A1" s="3753" t="s">
        <v>2805</v>
      </c>
      <c r="B1" s="3753"/>
      <c r="C1" s="3753"/>
      <c r="D1" s="3753"/>
      <c r="E1" s="3753"/>
      <c r="F1" s="3753"/>
      <c r="G1" s="3754"/>
      <c r="I1" s="959"/>
      <c r="J1" s="3183" t="s">
        <v>961</v>
      </c>
      <c r="K1" s="3184" t="s">
        <v>962</v>
      </c>
      <c r="L1" s="3184" t="s">
        <v>963</v>
      </c>
      <c r="M1" s="3184" t="s">
        <v>964</v>
      </c>
      <c r="N1" s="3184" t="s">
        <v>965</v>
      </c>
      <c r="O1" s="3184" t="s">
        <v>966</v>
      </c>
      <c r="P1" s="3184" t="s">
        <v>967</v>
      </c>
      <c r="Q1" s="3184" t="s">
        <v>968</v>
      </c>
      <c r="R1" s="3184" t="s">
        <v>969</v>
      </c>
      <c r="S1" s="3184" t="s">
        <v>970</v>
      </c>
      <c r="T1" s="3184" t="s">
        <v>971</v>
      </c>
      <c r="U1" s="3185" t="s">
        <v>972</v>
      </c>
    </row>
    <row r="2" spans="1:21" ht="14.25" thickBot="1">
      <c r="A2" s="3147" t="s">
        <v>2806</v>
      </c>
      <c r="B2" s="3147"/>
      <c r="C2" s="3147"/>
      <c r="D2" s="3147"/>
      <c r="E2" s="3147"/>
      <c r="F2" s="3147"/>
      <c r="G2" s="3142" t="s">
        <v>2807</v>
      </c>
      <c r="J2" s="3171" t="s">
        <v>2813</v>
      </c>
      <c r="K2" s="3151" t="s">
        <v>2815</v>
      </c>
      <c r="L2" s="3151" t="s">
        <v>2817</v>
      </c>
      <c r="M2" s="3151" t="s">
        <v>2823</v>
      </c>
      <c r="N2" s="3151" t="s">
        <v>2833</v>
      </c>
      <c r="O2" s="3151" t="s">
        <v>2848</v>
      </c>
      <c r="P2" s="3151" t="s">
        <v>2885</v>
      </c>
      <c r="Q2" s="3151" t="s">
        <v>2916</v>
      </c>
      <c r="R2" s="3151" t="s">
        <v>2944</v>
      </c>
      <c r="S2" s="3151" t="s">
        <v>2979</v>
      </c>
      <c r="T2" s="3151" t="s">
        <v>2999</v>
      </c>
      <c r="U2" s="3151" t="s">
        <v>3011</v>
      </c>
    </row>
    <row r="3" spans="1:21" s="959" customFormat="1" ht="19.5" customHeight="1">
      <c r="A3" s="3755" t="s">
        <v>2808</v>
      </c>
      <c r="B3" s="3143"/>
      <c r="C3" s="3144" t="s">
        <v>2786</v>
      </c>
      <c r="D3" s="3144" t="s">
        <v>2809</v>
      </c>
      <c r="E3" s="3144" t="s">
        <v>2788</v>
      </c>
      <c r="F3" s="3144" t="s">
        <v>2810</v>
      </c>
      <c r="G3" s="3144" t="s">
        <v>2731</v>
      </c>
      <c r="H3" s="962"/>
      <c r="J3" s="3171" t="s">
        <v>2814</v>
      </c>
      <c r="K3" s="3151" t="s">
        <v>973</v>
      </c>
      <c r="L3" s="3151" t="s">
        <v>974</v>
      </c>
      <c r="M3" s="3151" t="s">
        <v>975</v>
      </c>
      <c r="N3" s="3151" t="s">
        <v>976</v>
      </c>
      <c r="O3" s="3151" t="s">
        <v>977</v>
      </c>
      <c r="P3" s="3151" t="s">
        <v>978</v>
      </c>
      <c r="Q3" s="3151" t="s">
        <v>979</v>
      </c>
      <c r="R3" s="3151" t="s">
        <v>980</v>
      </c>
      <c r="S3" s="3151" t="s">
        <v>981</v>
      </c>
      <c r="T3" s="3151" t="s">
        <v>3000</v>
      </c>
      <c r="U3" s="3151" t="s">
        <v>3012</v>
      </c>
    </row>
    <row r="4" spans="1:21" s="959" customFormat="1" ht="19.5" customHeight="1" thickBot="1">
      <c r="A4" s="3756"/>
      <c r="B4" s="3145" t="s">
        <v>2811</v>
      </c>
      <c r="C4" s="3145" t="s">
        <v>2812</v>
      </c>
      <c r="D4" s="3145" t="s">
        <v>2812</v>
      </c>
      <c r="E4" s="3145" t="s">
        <v>2812</v>
      </c>
      <c r="F4" s="3146" t="s">
        <v>2812</v>
      </c>
      <c r="G4" s="3146" t="s">
        <v>2812</v>
      </c>
      <c r="H4" s="962"/>
      <c r="J4" s="3171" t="s">
        <v>982</v>
      </c>
      <c r="K4" s="3151" t="s">
        <v>983</v>
      </c>
      <c r="L4" s="3151" t="s">
        <v>984</v>
      </c>
      <c r="M4" s="3151" t="s">
        <v>985</v>
      </c>
      <c r="N4" s="3151" t="s">
        <v>986</v>
      </c>
      <c r="O4" s="3151" t="s">
        <v>987</v>
      </c>
      <c r="P4" s="3151" t="s">
        <v>988</v>
      </c>
      <c r="Q4" s="3151" t="s">
        <v>989</v>
      </c>
      <c r="R4" s="3151" t="s">
        <v>2945</v>
      </c>
      <c r="S4" s="3151" t="s">
        <v>2980</v>
      </c>
      <c r="T4" s="3151" t="s">
        <v>3001</v>
      </c>
      <c r="U4" s="3151" t="s">
        <v>3013</v>
      </c>
    </row>
    <row r="5" spans="1:21" ht="14.25" customHeight="1">
      <c r="A5" s="3148" t="s">
        <v>990</v>
      </c>
      <c r="B5" s="3149" t="s">
        <v>2813</v>
      </c>
      <c r="C5" s="3149">
        <v>34550</v>
      </c>
      <c r="D5" s="3149">
        <v>34470</v>
      </c>
      <c r="E5" s="3149">
        <v>34330</v>
      </c>
      <c r="F5" s="3150">
        <v>13400</v>
      </c>
      <c r="G5" s="3150">
        <v>25450</v>
      </c>
      <c r="H5" s="963" t="s">
        <v>961</v>
      </c>
      <c r="I5" s="964">
        <f>SUMPRODUCT((B5:B9=基准地价!I2)*(C3:G3=基准地价!E2)*(C5:G9))</f>
        <v>0</v>
      </c>
      <c r="J5" s="3171" t="s">
        <v>991</v>
      </c>
      <c r="K5" s="3151" t="s">
        <v>992</v>
      </c>
      <c r="L5" s="3151" t="s">
        <v>993</v>
      </c>
      <c r="M5" s="3151" t="s">
        <v>994</v>
      </c>
      <c r="N5" s="3151" t="s">
        <v>995</v>
      </c>
      <c r="O5" s="3151" t="s">
        <v>996</v>
      </c>
      <c r="P5" s="3151" t="s">
        <v>997</v>
      </c>
      <c r="Q5" s="3151" t="s">
        <v>998</v>
      </c>
      <c r="R5" s="3151" t="s">
        <v>2946</v>
      </c>
      <c r="S5" s="3151" t="s">
        <v>2981</v>
      </c>
      <c r="T5" s="3151" t="s">
        <v>999</v>
      </c>
      <c r="U5" s="3151" t="s">
        <v>3014</v>
      </c>
    </row>
    <row r="6" spans="1:21" ht="14.25" customHeight="1">
      <c r="A6" s="3151" t="s">
        <v>990</v>
      </c>
      <c r="B6" s="3151" t="s">
        <v>2814</v>
      </c>
      <c r="C6" s="3151">
        <v>36990</v>
      </c>
      <c r="D6" s="3151">
        <v>36850</v>
      </c>
      <c r="E6" s="3151">
        <v>36700</v>
      </c>
      <c r="F6" s="3152">
        <v>14590</v>
      </c>
      <c r="G6" s="3152">
        <v>27450</v>
      </c>
      <c r="H6" s="965" t="s">
        <v>1000</v>
      </c>
      <c r="I6" s="966">
        <f>SUMPRODUCT((B10:B29=基准地价!I2)*(C3:G3=基准地价!E2)*(C10:G29))</f>
        <v>0</v>
      </c>
      <c r="J6" s="3171" t="s">
        <v>1001</v>
      </c>
      <c r="K6" s="3151" t="s">
        <v>1002</v>
      </c>
      <c r="L6" s="3151" t="s">
        <v>1003</v>
      </c>
      <c r="M6" s="3151" t="s">
        <v>1004</v>
      </c>
      <c r="N6" s="3151" t="s">
        <v>1005</v>
      </c>
      <c r="O6" s="3151" t="s">
        <v>1006</v>
      </c>
      <c r="P6" s="3151" t="s">
        <v>1007</v>
      </c>
      <c r="Q6" s="3151" t="s">
        <v>2917</v>
      </c>
      <c r="R6" s="3151" t="s">
        <v>2947</v>
      </c>
      <c r="S6" s="3151" t="s">
        <v>1008</v>
      </c>
      <c r="T6" s="3151" t="s">
        <v>3002</v>
      </c>
      <c r="U6" s="3151" t="s">
        <v>3015</v>
      </c>
    </row>
    <row r="7" spans="1:21" ht="14.25" customHeight="1">
      <c r="A7" s="3151" t="s">
        <v>990</v>
      </c>
      <c r="B7" s="1213" t="s">
        <v>982</v>
      </c>
      <c r="C7" s="3151">
        <v>34850</v>
      </c>
      <c r="D7" s="3151">
        <v>34690</v>
      </c>
      <c r="E7" s="3151">
        <v>34550</v>
      </c>
      <c r="F7" s="3152">
        <v>14360</v>
      </c>
      <c r="G7" s="3152">
        <v>25620</v>
      </c>
      <c r="H7" s="965" t="s">
        <v>838</v>
      </c>
      <c r="I7" s="966">
        <f>SUMPRODUCT((B30:B54=基准地价!I2)*(C3:G3=基准地价!E2)*(C30:G54))</f>
        <v>0</v>
      </c>
      <c r="K7" s="3151" t="s">
        <v>1009</v>
      </c>
      <c r="L7" s="3151" t="s">
        <v>1010</v>
      </c>
      <c r="M7" s="3151" t="s">
        <v>1011</v>
      </c>
      <c r="N7" s="3151" t="s">
        <v>1012</v>
      </c>
      <c r="O7" s="3151" t="s">
        <v>1013</v>
      </c>
      <c r="P7" s="3151" t="s">
        <v>1014</v>
      </c>
      <c r="Q7" s="3151" t="s">
        <v>2918</v>
      </c>
      <c r="R7" s="3151" t="s">
        <v>2948</v>
      </c>
      <c r="S7" s="3151" t="s">
        <v>2982</v>
      </c>
      <c r="T7" s="3151" t="s">
        <v>3003</v>
      </c>
      <c r="U7" s="1213" t="s">
        <v>3016</v>
      </c>
    </row>
    <row r="8" spans="1:21" ht="14.25" customHeight="1">
      <c r="A8" s="3151" t="s">
        <v>990</v>
      </c>
      <c r="B8" s="3151" t="s">
        <v>991</v>
      </c>
      <c r="C8" s="3151">
        <v>32630</v>
      </c>
      <c r="D8" s="3151">
        <v>32510</v>
      </c>
      <c r="E8" s="3151">
        <v>32420</v>
      </c>
      <c r="F8" s="3152">
        <v>13300</v>
      </c>
      <c r="G8" s="3152">
        <v>24010</v>
      </c>
      <c r="H8" s="965" t="s">
        <v>839</v>
      </c>
      <c r="I8" s="966">
        <f>SUMPRODUCT((B55:B86=基准地价!I2)*(C3:G3=基准地价!E2)*(C55:G86))</f>
        <v>0</v>
      </c>
      <c r="K8" s="3151" t="s">
        <v>1015</v>
      </c>
      <c r="L8" s="3151" t="s">
        <v>1016</v>
      </c>
      <c r="M8" s="3151" t="s">
        <v>1017</v>
      </c>
      <c r="N8" s="3151" t="s">
        <v>1018</v>
      </c>
      <c r="O8" s="3151" t="s">
        <v>1019</v>
      </c>
      <c r="P8" s="3151" t="s">
        <v>1020</v>
      </c>
      <c r="Q8" s="3151" t="s">
        <v>2919</v>
      </c>
      <c r="R8" s="3151" t="s">
        <v>1021</v>
      </c>
      <c r="S8" s="3151" t="s">
        <v>2983</v>
      </c>
      <c r="T8" s="3151" t="s">
        <v>3004</v>
      </c>
      <c r="U8" s="3151" t="s">
        <v>3017</v>
      </c>
    </row>
    <row r="9" spans="1:21" ht="14.25" customHeight="1" thickBot="1">
      <c r="A9" s="3165" t="s">
        <v>990</v>
      </c>
      <c r="B9" s="3153" t="s">
        <v>1001</v>
      </c>
      <c r="C9" s="3154">
        <v>36370</v>
      </c>
      <c r="D9" s="3154">
        <v>36210</v>
      </c>
      <c r="E9" s="3154">
        <v>36050</v>
      </c>
      <c r="F9" s="3155"/>
      <c r="G9" s="3156">
        <v>26740</v>
      </c>
      <c r="H9" s="965" t="s">
        <v>840</v>
      </c>
      <c r="I9" s="966">
        <f>SUMPRODUCT((B87:B126=基准地价!I2)*(C3:G3=基准地价!E2)*(C87:G126))</f>
        <v>0</v>
      </c>
      <c r="K9" s="3151" t="s">
        <v>1022</v>
      </c>
      <c r="L9" s="3151" t="s">
        <v>1023</v>
      </c>
      <c r="M9" s="3151" t="s">
        <v>1024</v>
      </c>
      <c r="N9" s="3151" t="s">
        <v>1025</v>
      </c>
      <c r="O9" s="3151" t="s">
        <v>1026</v>
      </c>
      <c r="P9" s="3151" t="s">
        <v>1027</v>
      </c>
      <c r="Q9" s="3151" t="s">
        <v>2920</v>
      </c>
      <c r="R9" s="3151" t="s">
        <v>1029</v>
      </c>
      <c r="S9" s="3151" t="s">
        <v>1030</v>
      </c>
      <c r="T9" s="3151" t="s">
        <v>1047</v>
      </c>
    </row>
    <row r="10" spans="1:21" ht="14.25" customHeight="1">
      <c r="A10" s="3148" t="s">
        <v>1031</v>
      </c>
      <c r="B10" s="3149" t="s">
        <v>2815</v>
      </c>
      <c r="C10" s="3149">
        <v>32350</v>
      </c>
      <c r="D10" s="3149">
        <v>31430</v>
      </c>
      <c r="E10" s="3149">
        <v>31320</v>
      </c>
      <c r="F10" s="3150">
        <v>10850</v>
      </c>
      <c r="G10" s="3150">
        <v>22860</v>
      </c>
      <c r="H10" s="965" t="s">
        <v>841</v>
      </c>
      <c r="I10" s="966">
        <f>SUMPRODUCT((B127:B189=基准地价!I2)*(C3:G3=基准地价!E2)*(C127:G189))</f>
        <v>0</v>
      </c>
      <c r="K10" s="3151" t="s">
        <v>1032</v>
      </c>
      <c r="L10" s="3151" t="s">
        <v>1033</v>
      </c>
      <c r="M10" s="3151" t="s">
        <v>1034</v>
      </c>
      <c r="N10" s="3151" t="s">
        <v>1035</v>
      </c>
      <c r="O10" s="3151" t="s">
        <v>1036</v>
      </c>
      <c r="P10" s="3151" t="s">
        <v>1037</v>
      </c>
      <c r="Q10" s="3151" t="s">
        <v>1028</v>
      </c>
      <c r="R10" s="3151" t="s">
        <v>1039</v>
      </c>
      <c r="S10" s="3151" t="s">
        <v>1040</v>
      </c>
      <c r="T10" s="3151" t="s">
        <v>3005</v>
      </c>
    </row>
    <row r="11" spans="1:21" ht="14.25" customHeight="1">
      <c r="A11" s="3151" t="s">
        <v>1031</v>
      </c>
      <c r="B11" s="1213" t="s">
        <v>973</v>
      </c>
      <c r="C11" s="3151">
        <v>31590</v>
      </c>
      <c r="D11" s="3151">
        <v>29490</v>
      </c>
      <c r="E11" s="3151">
        <v>28700</v>
      </c>
      <c r="F11" s="3157">
        <v>10410</v>
      </c>
      <c r="G11" s="3157">
        <v>21460</v>
      </c>
      <c r="H11" s="965" t="s">
        <v>842</v>
      </c>
      <c r="I11" s="966">
        <f>SUMPRODUCT((B190:B233=基准地价!I2)*(C3:G3=基准地价!E2)*(C190:G233))</f>
        <v>0</v>
      </c>
      <c r="K11" s="3151" t="s">
        <v>1041</v>
      </c>
      <c r="L11" s="3151" t="s">
        <v>1042</v>
      </c>
      <c r="M11" s="3151" t="s">
        <v>1043</v>
      </c>
      <c r="N11" s="3151" t="s">
        <v>1044</v>
      </c>
      <c r="O11" s="3151" t="s">
        <v>1045</v>
      </c>
      <c r="P11" s="3151" t="s">
        <v>2886</v>
      </c>
      <c r="Q11" s="3151" t="s">
        <v>1038</v>
      </c>
      <c r="R11" s="3151" t="s">
        <v>1046</v>
      </c>
      <c r="S11" s="3151" t="s">
        <v>2984</v>
      </c>
      <c r="T11" s="3151" t="s">
        <v>3006</v>
      </c>
    </row>
    <row r="12" spans="1:21" ht="14.25" customHeight="1">
      <c r="A12" s="3151" t="s">
        <v>1031</v>
      </c>
      <c r="B12" s="1213" t="s">
        <v>983</v>
      </c>
      <c r="C12" s="3151">
        <v>29640</v>
      </c>
      <c r="D12" s="3151">
        <v>27550</v>
      </c>
      <c r="E12" s="3151">
        <v>28010</v>
      </c>
      <c r="F12" s="3157">
        <v>8730</v>
      </c>
      <c r="G12" s="3157">
        <v>20050</v>
      </c>
      <c r="H12" s="965" t="s">
        <v>843</v>
      </c>
      <c r="I12" s="966">
        <f>SUMPRODUCT((B234:B276=基准地价!I2)*(C3:G3=基准地价!E2)*(C234:G276))</f>
        <v>0</v>
      </c>
      <c r="K12" s="3151" t="s">
        <v>1048</v>
      </c>
      <c r="L12" s="3151" t="s">
        <v>1049</v>
      </c>
      <c r="M12" s="3151" t="s">
        <v>1050</v>
      </c>
      <c r="N12" s="3151" t="s">
        <v>1051</v>
      </c>
      <c r="O12" s="3151" t="s">
        <v>1052</v>
      </c>
      <c r="P12" s="3151" t="s">
        <v>2887</v>
      </c>
      <c r="Q12" s="3151" t="s">
        <v>2921</v>
      </c>
      <c r="R12" s="3151" t="s">
        <v>2949</v>
      </c>
      <c r="S12" s="3151" t="s">
        <v>2985</v>
      </c>
      <c r="T12" s="3151" t="s">
        <v>3007</v>
      </c>
    </row>
    <row r="13" spans="1:21" ht="14.25" customHeight="1">
      <c r="A13" s="3151" t="s">
        <v>1031</v>
      </c>
      <c r="B13" s="1213" t="s">
        <v>992</v>
      </c>
      <c r="C13" s="3151">
        <v>29680</v>
      </c>
      <c r="D13" s="3151">
        <v>27660</v>
      </c>
      <c r="E13" s="3151">
        <v>28210</v>
      </c>
      <c r="F13" s="3157">
        <v>9590</v>
      </c>
      <c r="G13" s="3157">
        <v>20120</v>
      </c>
      <c r="H13" s="965" t="s">
        <v>844</v>
      </c>
      <c r="I13" s="966">
        <f>SUMPRODUCT((B277:B326=基准地价!I2)*(C3:G3=基准地价!E2)*(C277:G326))</f>
        <v>5560</v>
      </c>
      <c r="K13" s="3151" t="s">
        <v>1055</v>
      </c>
      <c r="L13" s="3151" t="s">
        <v>1056</v>
      </c>
      <c r="M13" s="3151" t="s">
        <v>1057</v>
      </c>
      <c r="N13" s="3151" t="s">
        <v>1058</v>
      </c>
      <c r="O13" s="3151" t="s">
        <v>1059</v>
      </c>
      <c r="P13" s="3151" t="s">
        <v>2888</v>
      </c>
      <c r="Q13" s="3151" t="s">
        <v>1053</v>
      </c>
      <c r="R13" s="3151" t="s">
        <v>1067</v>
      </c>
      <c r="S13" s="3151" t="s">
        <v>1068</v>
      </c>
      <c r="T13" s="3151" t="s">
        <v>1061</v>
      </c>
    </row>
    <row r="14" spans="1:21" ht="14.25" customHeight="1">
      <c r="A14" s="3151" t="s">
        <v>1031</v>
      </c>
      <c r="B14" s="1213" t="s">
        <v>1002</v>
      </c>
      <c r="C14" s="3151">
        <v>30520</v>
      </c>
      <c r="D14" s="3151">
        <v>29510</v>
      </c>
      <c r="E14" s="3151">
        <v>29400</v>
      </c>
      <c r="F14" s="3157">
        <v>9630</v>
      </c>
      <c r="G14" s="3157">
        <v>21480</v>
      </c>
      <c r="H14" s="965" t="s">
        <v>845</v>
      </c>
      <c r="I14" s="966">
        <f>SUMPRODUCT((B327:B357=基准地价!I2)*(C3:G3=基准地价!E2)*(C327:G357))</f>
        <v>0</v>
      </c>
      <c r="K14" s="3151" t="s">
        <v>1062</v>
      </c>
      <c r="L14" s="3151" t="s">
        <v>1063</v>
      </c>
      <c r="M14" s="3151" t="s">
        <v>1064</v>
      </c>
      <c r="N14" s="3151" t="s">
        <v>1065</v>
      </c>
      <c r="O14" s="3151" t="s">
        <v>1066</v>
      </c>
      <c r="P14" s="3151" t="s">
        <v>1088</v>
      </c>
      <c r="Q14" s="3151" t="s">
        <v>1060</v>
      </c>
      <c r="R14" s="3151" t="s">
        <v>2950</v>
      </c>
      <c r="S14" s="3151" t="s">
        <v>1076</v>
      </c>
      <c r="T14" s="3151" t="s">
        <v>1069</v>
      </c>
    </row>
    <row r="15" spans="1:21" ht="14.25" customHeight="1">
      <c r="A15" s="3151" t="s">
        <v>1031</v>
      </c>
      <c r="B15" s="1213" t="s">
        <v>1009</v>
      </c>
      <c r="C15" s="3151">
        <v>29090</v>
      </c>
      <c r="D15" s="3151">
        <v>27590</v>
      </c>
      <c r="E15" s="3151">
        <v>28120</v>
      </c>
      <c r="F15" s="3157">
        <v>9110</v>
      </c>
      <c r="G15" s="3157">
        <v>20070</v>
      </c>
      <c r="H15" s="965" t="s">
        <v>846</v>
      </c>
      <c r="I15" s="966">
        <f>SUMPRODUCT((B358:B377=基准地价!I2)*(C3:G3=基准地价!E2)*(C358:G377))</f>
        <v>0</v>
      </c>
      <c r="K15" s="3151" t="s">
        <v>1070</v>
      </c>
      <c r="L15" s="3151" t="s">
        <v>1071</v>
      </c>
      <c r="M15" s="3151" t="s">
        <v>1072</v>
      </c>
      <c r="N15" s="3151" t="s">
        <v>1073</v>
      </c>
      <c r="O15" s="3151" t="s">
        <v>1074</v>
      </c>
      <c r="P15" s="3151" t="s">
        <v>2889</v>
      </c>
      <c r="Q15" s="3151" t="s">
        <v>2922</v>
      </c>
      <c r="R15" s="3151" t="s">
        <v>1090</v>
      </c>
      <c r="S15" s="3151" t="s">
        <v>2986</v>
      </c>
      <c r="T15" s="3151" t="s">
        <v>1077</v>
      </c>
    </row>
    <row r="16" spans="1:21" ht="14.25" customHeight="1" thickBot="1">
      <c r="A16" s="3151" t="s">
        <v>1031</v>
      </c>
      <c r="B16" s="1213" t="s">
        <v>1015</v>
      </c>
      <c r="C16" s="3151">
        <v>26790</v>
      </c>
      <c r="D16" s="3151">
        <v>30370</v>
      </c>
      <c r="E16" s="3151">
        <v>30240</v>
      </c>
      <c r="F16" s="3157">
        <v>11590</v>
      </c>
      <c r="G16" s="3157">
        <v>22090</v>
      </c>
      <c r="H16" s="967" t="s">
        <v>847</v>
      </c>
      <c r="I16" s="968">
        <f>SUMPRODUCT((B378:B384=基准地价!I2)*(C3:G3=基准地价!E2)*(C378:G384))</f>
        <v>0</v>
      </c>
      <c r="K16" s="3151" t="s">
        <v>1078</v>
      </c>
      <c r="L16" s="3151" t="s">
        <v>1079</v>
      </c>
      <c r="M16" s="3151" t="s">
        <v>1080</v>
      </c>
      <c r="N16" s="3151" t="s">
        <v>1081</v>
      </c>
      <c r="O16" s="3151" t="s">
        <v>1082</v>
      </c>
      <c r="P16" s="3151" t="s">
        <v>2890</v>
      </c>
      <c r="Q16" s="3151" t="s">
        <v>1075</v>
      </c>
      <c r="R16" s="3151" t="s">
        <v>1098</v>
      </c>
      <c r="S16" s="3151" t="s">
        <v>1054</v>
      </c>
      <c r="T16" s="3151" t="s">
        <v>3008</v>
      </c>
    </row>
    <row r="17" spans="1:20" ht="14.25" customHeight="1">
      <c r="A17" s="3151" t="s">
        <v>1031</v>
      </c>
      <c r="B17" s="1213" t="s">
        <v>1022</v>
      </c>
      <c r="C17" s="3151">
        <v>29180</v>
      </c>
      <c r="D17" s="3151">
        <v>27620</v>
      </c>
      <c r="E17" s="3151">
        <v>28180</v>
      </c>
      <c r="F17" s="3157">
        <v>10790</v>
      </c>
      <c r="G17" s="3158">
        <v>20090</v>
      </c>
      <c r="I17" s="969"/>
      <c r="K17" s="3151" t="s">
        <v>1083</v>
      </c>
      <c r="L17" s="3151" t="s">
        <v>1084</v>
      </c>
      <c r="M17" s="3151" t="s">
        <v>1085</v>
      </c>
      <c r="N17" s="3151" t="s">
        <v>1086</v>
      </c>
      <c r="O17" s="3151" t="s">
        <v>1087</v>
      </c>
      <c r="P17" s="3151" t="s">
        <v>2891</v>
      </c>
      <c r="Q17" s="3151" t="s">
        <v>2923</v>
      </c>
      <c r="R17" s="3151" t="s">
        <v>1104</v>
      </c>
      <c r="S17" s="3151" t="s">
        <v>2987</v>
      </c>
      <c r="T17" s="3151" t="s">
        <v>1106</v>
      </c>
    </row>
    <row r="18" spans="1:20" ht="14.25" customHeight="1">
      <c r="A18" s="3151" t="s">
        <v>1031</v>
      </c>
      <c r="B18" s="1213" t="s">
        <v>1032</v>
      </c>
      <c r="C18" s="3151">
        <v>26840</v>
      </c>
      <c r="D18" s="3151">
        <v>28930</v>
      </c>
      <c r="E18" s="3151">
        <v>28820</v>
      </c>
      <c r="F18" s="3157"/>
      <c r="G18" s="3158">
        <v>21050</v>
      </c>
      <c r="I18" s="969"/>
      <c r="K18" s="3151" t="s">
        <v>1092</v>
      </c>
      <c r="L18" s="3151" t="s">
        <v>1093</v>
      </c>
      <c r="M18" s="3151" t="s">
        <v>1094</v>
      </c>
      <c r="N18" s="3151" t="s">
        <v>1095</v>
      </c>
      <c r="O18" s="3151" t="s">
        <v>1096</v>
      </c>
      <c r="P18" s="3151" t="s">
        <v>2892</v>
      </c>
      <c r="Q18" s="3151" t="s">
        <v>1089</v>
      </c>
      <c r="R18" s="3151" t="s">
        <v>2951</v>
      </c>
      <c r="S18" s="3151" t="s">
        <v>1105</v>
      </c>
      <c r="T18" s="3151" t="s">
        <v>1114</v>
      </c>
    </row>
    <row r="19" spans="1:20" ht="14.25" customHeight="1">
      <c r="A19" s="3151" t="s">
        <v>1031</v>
      </c>
      <c r="B19" s="1213" t="s">
        <v>1041</v>
      </c>
      <c r="C19" s="3151">
        <v>27750</v>
      </c>
      <c r="D19" s="3151">
        <v>26680</v>
      </c>
      <c r="E19" s="3151">
        <v>26590</v>
      </c>
      <c r="F19" s="3157"/>
      <c r="G19" s="3158">
        <v>19420</v>
      </c>
      <c r="I19" s="969"/>
      <c r="K19" s="3151" t="s">
        <v>1099</v>
      </c>
      <c r="L19" s="3151" t="s">
        <v>1100</v>
      </c>
      <c r="M19" s="3151" t="s">
        <v>1101</v>
      </c>
      <c r="N19" s="3151" t="s">
        <v>1102</v>
      </c>
      <c r="O19" s="3151" t="s">
        <v>1103</v>
      </c>
      <c r="P19" s="3151" t="s">
        <v>2893</v>
      </c>
      <c r="Q19" s="3151" t="s">
        <v>1097</v>
      </c>
      <c r="R19" s="3151" t="s">
        <v>2952</v>
      </c>
      <c r="S19" s="3151" t="s">
        <v>1113</v>
      </c>
      <c r="T19" s="3151" t="s">
        <v>3009</v>
      </c>
    </row>
    <row r="20" spans="1:20" ht="14.25" customHeight="1">
      <c r="A20" s="3151" t="s">
        <v>1031</v>
      </c>
      <c r="B20" s="1213" t="s">
        <v>1048</v>
      </c>
      <c r="C20" s="3151">
        <v>27050</v>
      </c>
      <c r="D20" s="3151">
        <v>29010</v>
      </c>
      <c r="E20" s="3151">
        <v>28910</v>
      </c>
      <c r="F20" s="3157"/>
      <c r="G20" s="3158">
        <v>21110</v>
      </c>
      <c r="K20" s="3151" t="s">
        <v>1107</v>
      </c>
      <c r="L20" s="3151" t="s">
        <v>1108</v>
      </c>
      <c r="M20" s="3151" t="s">
        <v>1109</v>
      </c>
      <c r="N20" s="3151" t="s">
        <v>1110</v>
      </c>
      <c r="O20" s="3151" t="s">
        <v>1111</v>
      </c>
      <c r="P20" s="3151" t="s">
        <v>2894</v>
      </c>
      <c r="Q20" s="3151" t="s">
        <v>2924</v>
      </c>
      <c r="R20" s="3151" t="s">
        <v>1139</v>
      </c>
      <c r="S20" s="3151" t="s">
        <v>2988</v>
      </c>
      <c r="T20" s="3151" t="s">
        <v>1126</v>
      </c>
    </row>
    <row r="21" spans="1:20" ht="14.25" customHeight="1">
      <c r="A21" s="3151" t="s">
        <v>1031</v>
      </c>
      <c r="B21" s="1213" t="s">
        <v>1055</v>
      </c>
      <c r="C21" s="3151">
        <v>32370</v>
      </c>
      <c r="D21" s="3151">
        <v>26730</v>
      </c>
      <c r="E21" s="3151">
        <v>26640</v>
      </c>
      <c r="F21" s="3157"/>
      <c r="G21" s="3158">
        <v>19440</v>
      </c>
      <c r="K21" s="3160" t="s">
        <v>2816</v>
      </c>
      <c r="L21" s="3151" t="s">
        <v>1115</v>
      </c>
      <c r="M21" s="3151" t="s">
        <v>1116</v>
      </c>
      <c r="N21" s="3151" t="s">
        <v>1117</v>
      </c>
      <c r="O21" s="3151" t="s">
        <v>1118</v>
      </c>
      <c r="P21" s="3151" t="s">
        <v>1112</v>
      </c>
      <c r="Q21" s="3151" t="s">
        <v>1132</v>
      </c>
      <c r="R21" s="3151" t="s">
        <v>1142</v>
      </c>
      <c r="S21" s="3151" t="s">
        <v>2989</v>
      </c>
      <c r="T21" s="3151" t="s">
        <v>3010</v>
      </c>
    </row>
    <row r="22" spans="1:20" ht="14.25" customHeight="1">
      <c r="A22" s="3151" t="s">
        <v>1031</v>
      </c>
      <c r="B22" s="1213" t="s">
        <v>1062</v>
      </c>
      <c r="C22" s="3151">
        <v>29830</v>
      </c>
      <c r="D22" s="3151">
        <v>27600</v>
      </c>
      <c r="E22" s="3151">
        <v>28150</v>
      </c>
      <c r="F22" s="3157"/>
      <c r="G22" s="3158">
        <v>20080</v>
      </c>
      <c r="L22" s="3160" t="s">
        <v>2818</v>
      </c>
      <c r="M22" s="3151" t="s">
        <v>1120</v>
      </c>
      <c r="N22" s="3151" t="s">
        <v>1121</v>
      </c>
      <c r="O22" s="3151" t="s">
        <v>1122</v>
      </c>
      <c r="P22" s="3151" t="s">
        <v>2895</v>
      </c>
      <c r="Q22" s="3151" t="s">
        <v>1135</v>
      </c>
      <c r="R22" s="3151" t="s">
        <v>1144</v>
      </c>
      <c r="S22" s="3151" t="s">
        <v>1091</v>
      </c>
      <c r="T22" s="1213"/>
    </row>
    <row r="23" spans="1:20" ht="14.25" customHeight="1">
      <c r="A23" s="3151" t="s">
        <v>1031</v>
      </c>
      <c r="B23" s="1213" t="s">
        <v>1070</v>
      </c>
      <c r="C23" s="3151">
        <v>27800</v>
      </c>
      <c r="D23" s="3151">
        <v>26900</v>
      </c>
      <c r="E23" s="3151">
        <v>27170</v>
      </c>
      <c r="F23" s="3157"/>
      <c r="G23" s="3158">
        <v>19570</v>
      </c>
      <c r="L23" s="3160" t="s">
        <v>2819</v>
      </c>
      <c r="M23" s="3151" t="s">
        <v>1127</v>
      </c>
      <c r="N23" s="3151" t="s">
        <v>1128</v>
      </c>
      <c r="O23" s="3151" t="s">
        <v>2849</v>
      </c>
      <c r="P23" s="3151" t="s">
        <v>2896</v>
      </c>
      <c r="Q23" s="3151" t="s">
        <v>1138</v>
      </c>
      <c r="R23" s="3151" t="s">
        <v>1147</v>
      </c>
      <c r="S23" s="3151" t="s">
        <v>2990</v>
      </c>
    </row>
    <row r="24" spans="1:20" ht="14.25" customHeight="1">
      <c r="A24" s="3151" t="s">
        <v>1031</v>
      </c>
      <c r="B24" s="1213" t="s">
        <v>1078</v>
      </c>
      <c r="C24" s="3151">
        <v>27930</v>
      </c>
      <c r="D24" s="3151">
        <v>32260</v>
      </c>
      <c r="E24" s="3151">
        <v>32120</v>
      </c>
      <c r="F24" s="3157"/>
      <c r="G24" s="3158">
        <v>23470</v>
      </c>
      <c r="L24" s="3160" t="s">
        <v>2820</v>
      </c>
      <c r="M24" s="3151" t="s">
        <v>1130</v>
      </c>
      <c r="N24" s="3151" t="s">
        <v>1131</v>
      </c>
      <c r="O24" s="3151" t="s">
        <v>2850</v>
      </c>
      <c r="P24" s="3151" t="s">
        <v>1134</v>
      </c>
      <c r="Q24" s="3151" t="s">
        <v>2925</v>
      </c>
      <c r="R24" s="3151" t="s">
        <v>2953</v>
      </c>
      <c r="S24" s="3151" t="s">
        <v>2991</v>
      </c>
    </row>
    <row r="25" spans="1:20" ht="14.25" customHeight="1">
      <c r="A25" s="3151" t="s">
        <v>1031</v>
      </c>
      <c r="B25" s="1213" t="s">
        <v>1083</v>
      </c>
      <c r="C25" s="3151">
        <v>32230</v>
      </c>
      <c r="D25" s="3151">
        <v>29640</v>
      </c>
      <c r="E25" s="3151">
        <v>29510</v>
      </c>
      <c r="F25" s="3157"/>
      <c r="G25" s="3158">
        <v>21560</v>
      </c>
      <c r="L25" s="3160" t="s">
        <v>2821</v>
      </c>
      <c r="M25" s="3151" t="s">
        <v>2824</v>
      </c>
      <c r="N25" s="3151" t="s">
        <v>1133</v>
      </c>
      <c r="O25" s="3151" t="s">
        <v>1141</v>
      </c>
      <c r="P25" s="3151" t="s">
        <v>1137</v>
      </c>
      <c r="Q25" s="3151" t="s">
        <v>1124</v>
      </c>
      <c r="R25" s="3151" t="s">
        <v>1119</v>
      </c>
      <c r="S25" s="3151" t="s">
        <v>2992</v>
      </c>
    </row>
    <row r="26" spans="1:20" ht="14.25" customHeight="1">
      <c r="A26" s="3151" t="s">
        <v>1031</v>
      </c>
      <c r="B26" s="1213" t="s">
        <v>1092</v>
      </c>
      <c r="C26" s="3151">
        <v>31690</v>
      </c>
      <c r="D26" s="3151">
        <v>27650</v>
      </c>
      <c r="E26" s="3151">
        <v>28200</v>
      </c>
      <c r="F26" s="3157"/>
      <c r="G26" s="3158">
        <v>20110</v>
      </c>
      <c r="L26" s="3160" t="s">
        <v>2822</v>
      </c>
      <c r="M26" s="3151" t="s">
        <v>2825</v>
      </c>
      <c r="N26" s="3151" t="s">
        <v>1136</v>
      </c>
      <c r="O26" s="3151" t="s">
        <v>1143</v>
      </c>
      <c r="P26" s="3151" t="s">
        <v>2897</v>
      </c>
      <c r="Q26" s="3151" t="s">
        <v>2926</v>
      </c>
      <c r="R26" s="3151" t="s">
        <v>1125</v>
      </c>
      <c r="S26" s="3151" t="s">
        <v>2993</v>
      </c>
    </row>
    <row r="27" spans="1:20" ht="14.25" customHeight="1">
      <c r="A27" s="3151" t="s">
        <v>1031</v>
      </c>
      <c r="B27" s="1213" t="s">
        <v>1099</v>
      </c>
      <c r="C27" s="3151">
        <v>29610</v>
      </c>
      <c r="D27" s="3151">
        <v>27770</v>
      </c>
      <c r="E27" s="3151">
        <v>28300</v>
      </c>
      <c r="F27" s="3157"/>
      <c r="G27" s="3158">
        <v>20210</v>
      </c>
      <c r="M27" s="3151" t="s">
        <v>2826</v>
      </c>
      <c r="N27" s="3151" t="s">
        <v>1140</v>
      </c>
      <c r="O27" s="3151" t="s">
        <v>1146</v>
      </c>
      <c r="P27" s="3151" t="s">
        <v>1123</v>
      </c>
      <c r="Q27" s="3151" t="s">
        <v>2927</v>
      </c>
      <c r="R27" s="3151" t="s">
        <v>2954</v>
      </c>
      <c r="S27" s="3151" t="s">
        <v>2994</v>
      </c>
    </row>
    <row r="28" spans="1:20" ht="14.25" customHeight="1">
      <c r="A28" s="3165" t="s">
        <v>1031</v>
      </c>
      <c r="B28" s="2402" t="s">
        <v>1107</v>
      </c>
      <c r="C28" s="1211"/>
      <c r="D28" s="1211">
        <v>31520</v>
      </c>
      <c r="E28" s="1211">
        <v>31410</v>
      </c>
      <c r="F28" s="3162"/>
      <c r="G28" s="3163">
        <v>22940</v>
      </c>
      <c r="M28" s="3151" t="s">
        <v>2827</v>
      </c>
      <c r="N28" s="3151" t="s">
        <v>2834</v>
      </c>
      <c r="O28" s="3151" t="s">
        <v>2851</v>
      </c>
      <c r="P28" s="3151" t="s">
        <v>2898</v>
      </c>
      <c r="Q28" s="3151" t="s">
        <v>2928</v>
      </c>
      <c r="R28" s="3151" t="s">
        <v>2955</v>
      </c>
      <c r="S28" s="3160" t="s">
        <v>2995</v>
      </c>
    </row>
    <row r="29" spans="1:20" ht="14.25" customHeight="1" thickBot="1">
      <c r="A29" s="3166" t="s">
        <v>1031</v>
      </c>
      <c r="B29" s="3154" t="s">
        <v>2816</v>
      </c>
      <c r="C29" s="3154"/>
      <c r="D29" s="3154">
        <v>29460</v>
      </c>
      <c r="E29" s="3154">
        <v>28640</v>
      </c>
      <c r="F29" s="3155"/>
      <c r="G29" s="3167">
        <v>21430</v>
      </c>
      <c r="M29" s="3160" t="s">
        <v>2828</v>
      </c>
      <c r="N29" s="3151" t="s">
        <v>2835</v>
      </c>
      <c r="O29" s="3151" t="s">
        <v>2852</v>
      </c>
      <c r="P29" s="3151" t="s">
        <v>2899</v>
      </c>
      <c r="Q29" s="3151" t="s">
        <v>2929</v>
      </c>
      <c r="R29" s="3151" t="s">
        <v>2956</v>
      </c>
      <c r="S29" s="3160" t="s">
        <v>1129</v>
      </c>
    </row>
    <row r="30" spans="1:20" ht="14.25" customHeight="1">
      <c r="A30" s="3165" t="s">
        <v>1145</v>
      </c>
      <c r="B30" s="1213" t="s">
        <v>2817</v>
      </c>
      <c r="C30" s="1213">
        <v>26890</v>
      </c>
      <c r="D30" s="1213">
        <v>26770</v>
      </c>
      <c r="E30" s="1213">
        <v>25700</v>
      </c>
      <c r="F30" s="3152">
        <v>8180</v>
      </c>
      <c r="G30" s="3152">
        <v>18740</v>
      </c>
      <c r="I30" s="969"/>
      <c r="M30" s="3160" t="s">
        <v>2829</v>
      </c>
      <c r="N30" s="3151" t="s">
        <v>2836</v>
      </c>
      <c r="O30" s="3151" t="s">
        <v>2853</v>
      </c>
      <c r="P30" s="3151" t="s">
        <v>2900</v>
      </c>
      <c r="Q30" s="3151" t="s">
        <v>2930</v>
      </c>
      <c r="R30" s="3151" t="s">
        <v>2957</v>
      </c>
      <c r="S30" s="3160" t="s">
        <v>2996</v>
      </c>
    </row>
    <row r="31" spans="1:20" ht="14.25" customHeight="1">
      <c r="A31" s="3151" t="s">
        <v>1145</v>
      </c>
      <c r="B31" s="1213" t="s">
        <v>974</v>
      </c>
      <c r="C31" s="3151">
        <v>24550</v>
      </c>
      <c r="D31" s="3151">
        <v>23990</v>
      </c>
      <c r="E31" s="3151">
        <v>22930</v>
      </c>
      <c r="F31" s="3157">
        <v>7470</v>
      </c>
      <c r="G31" s="3157">
        <v>16790</v>
      </c>
      <c r="I31" s="969"/>
      <c r="M31" s="3160" t="s">
        <v>2830</v>
      </c>
      <c r="N31" s="3151" t="s">
        <v>2837</v>
      </c>
      <c r="O31" s="3151" t="s">
        <v>2854</v>
      </c>
      <c r="P31" s="3151" t="s">
        <v>2901</v>
      </c>
      <c r="Q31" s="3151" t="s">
        <v>2931</v>
      </c>
      <c r="R31" s="3151" t="s">
        <v>2958</v>
      </c>
      <c r="S31" s="3160" t="s">
        <v>2997</v>
      </c>
    </row>
    <row r="32" spans="1:20" ht="14.25" customHeight="1">
      <c r="A32" s="3151" t="s">
        <v>1145</v>
      </c>
      <c r="B32" s="1213" t="s">
        <v>984</v>
      </c>
      <c r="C32" s="3151">
        <v>27210</v>
      </c>
      <c r="D32" s="3151">
        <v>23240</v>
      </c>
      <c r="E32" s="3151">
        <v>23260</v>
      </c>
      <c r="F32" s="3157">
        <v>7130</v>
      </c>
      <c r="G32" s="3157">
        <v>16270</v>
      </c>
      <c r="I32" s="969"/>
      <c r="M32" s="3160" t="s">
        <v>2831</v>
      </c>
      <c r="N32" s="3151" t="s">
        <v>2838</v>
      </c>
      <c r="O32" s="3151" t="s">
        <v>1149</v>
      </c>
      <c r="P32" s="3151" t="s">
        <v>2902</v>
      </c>
      <c r="Q32" s="3151" t="s">
        <v>1148</v>
      </c>
      <c r="R32" s="3151" t="s">
        <v>2959</v>
      </c>
      <c r="S32" s="3160" t="s">
        <v>2998</v>
      </c>
    </row>
    <row r="33" spans="1:18" ht="14.25" customHeight="1">
      <c r="A33" s="3151" t="s">
        <v>1145</v>
      </c>
      <c r="B33" s="1213" t="s">
        <v>993</v>
      </c>
      <c r="C33" s="3151">
        <v>27300</v>
      </c>
      <c r="D33" s="3151">
        <v>22980</v>
      </c>
      <c r="E33" s="3151">
        <v>24260</v>
      </c>
      <c r="F33" s="3157">
        <v>5860</v>
      </c>
      <c r="G33" s="3157">
        <v>16090</v>
      </c>
      <c r="I33" s="969"/>
      <c r="M33" s="3160" t="s">
        <v>2832</v>
      </c>
      <c r="N33" s="3151" t="s">
        <v>2839</v>
      </c>
      <c r="O33" s="3151" t="s">
        <v>1150</v>
      </c>
      <c r="P33" s="3151" t="s">
        <v>2903</v>
      </c>
      <c r="Q33" s="3151" t="s">
        <v>2932</v>
      </c>
      <c r="R33" s="3151" t="s">
        <v>2960</v>
      </c>
    </row>
    <row r="34" spans="1:18" ht="14.25" customHeight="1">
      <c r="A34" s="3151" t="s">
        <v>1145</v>
      </c>
      <c r="B34" s="1213" t="s">
        <v>1003</v>
      </c>
      <c r="C34" s="3151">
        <v>23090</v>
      </c>
      <c r="D34" s="3151">
        <v>23390</v>
      </c>
      <c r="E34" s="3151">
        <v>23510</v>
      </c>
      <c r="F34" s="3157">
        <v>6700</v>
      </c>
      <c r="G34" s="3157">
        <v>16370</v>
      </c>
      <c r="I34" s="969"/>
      <c r="N34" s="3151" t="s">
        <v>2840</v>
      </c>
      <c r="O34" s="3151" t="s">
        <v>1151</v>
      </c>
      <c r="P34" s="3151" t="s">
        <v>2904</v>
      </c>
      <c r="Q34" s="3151" t="s">
        <v>2933</v>
      </c>
      <c r="R34" s="3151" t="s">
        <v>2961</v>
      </c>
    </row>
    <row r="35" spans="1:18" ht="14.25" customHeight="1">
      <c r="A35" s="3151" t="s">
        <v>1145</v>
      </c>
      <c r="B35" s="1213" t="s">
        <v>1010</v>
      </c>
      <c r="C35" s="3151">
        <v>27270</v>
      </c>
      <c r="D35" s="3151">
        <v>24270</v>
      </c>
      <c r="E35" s="3151">
        <v>24950</v>
      </c>
      <c r="F35" s="3157">
        <v>6600</v>
      </c>
      <c r="G35" s="3157">
        <v>16990</v>
      </c>
      <c r="I35" s="969"/>
      <c r="N35" s="3151" t="s">
        <v>2841</v>
      </c>
      <c r="O35" s="3151" t="s">
        <v>2855</v>
      </c>
      <c r="P35" s="3151" t="s">
        <v>2905</v>
      </c>
      <c r="Q35" s="3151" t="s">
        <v>2934</v>
      </c>
      <c r="R35" s="3151" t="s">
        <v>2962</v>
      </c>
    </row>
    <row r="36" spans="1:18" ht="14.25" customHeight="1">
      <c r="A36" s="3151" t="s">
        <v>1145</v>
      </c>
      <c r="B36" s="1213" t="s">
        <v>1016</v>
      </c>
      <c r="C36" s="3151">
        <v>23490</v>
      </c>
      <c r="D36" s="3151">
        <v>23020</v>
      </c>
      <c r="E36" s="3151">
        <v>25230</v>
      </c>
      <c r="F36" s="3157">
        <v>6780</v>
      </c>
      <c r="G36" s="3157">
        <v>16120</v>
      </c>
      <c r="I36" s="969"/>
      <c r="N36" s="3160" t="s">
        <v>2842</v>
      </c>
      <c r="O36" s="3187" t="s">
        <v>2856</v>
      </c>
      <c r="P36" s="3151" t="s">
        <v>2906</v>
      </c>
      <c r="Q36" s="3151" t="s">
        <v>2935</v>
      </c>
      <c r="R36" s="3151" t="s">
        <v>2963</v>
      </c>
    </row>
    <row r="37" spans="1:18" ht="14.25" customHeight="1">
      <c r="A37" s="3151" t="s">
        <v>1145</v>
      </c>
      <c r="B37" s="1213" t="s">
        <v>1023</v>
      </c>
      <c r="C37" s="3151">
        <v>24380</v>
      </c>
      <c r="D37" s="3151">
        <v>22240</v>
      </c>
      <c r="E37" s="3151">
        <v>25980</v>
      </c>
      <c r="F37" s="3157">
        <v>8160</v>
      </c>
      <c r="G37" s="3157">
        <v>15570</v>
      </c>
      <c r="I37" s="970"/>
      <c r="N37" s="3160" t="s">
        <v>2843</v>
      </c>
      <c r="O37" s="3187" t="s">
        <v>2857</v>
      </c>
      <c r="P37" s="3151" t="s">
        <v>2907</v>
      </c>
      <c r="Q37" s="3151" t="s">
        <v>2936</v>
      </c>
      <c r="R37" s="3151" t="s">
        <v>2964</v>
      </c>
    </row>
    <row r="38" spans="1:18" ht="14.25" customHeight="1">
      <c r="A38" s="3151" t="s">
        <v>1145</v>
      </c>
      <c r="B38" s="1213" t="s">
        <v>1033</v>
      </c>
      <c r="C38" s="3151">
        <v>23120</v>
      </c>
      <c r="D38" s="3151">
        <v>24630</v>
      </c>
      <c r="E38" s="3151">
        <v>25030</v>
      </c>
      <c r="F38" s="3157">
        <v>7710</v>
      </c>
      <c r="G38" s="3157">
        <v>17240</v>
      </c>
      <c r="I38" s="969"/>
      <c r="N38" s="3160" t="s">
        <v>2844</v>
      </c>
      <c r="O38" s="3187" t="s">
        <v>2858</v>
      </c>
      <c r="P38" s="3151" t="s">
        <v>2908</v>
      </c>
      <c r="Q38" s="3151" t="s">
        <v>2937</v>
      </c>
      <c r="R38" s="3151" t="s">
        <v>2965</v>
      </c>
    </row>
    <row r="39" spans="1:18" ht="14.25" customHeight="1">
      <c r="A39" s="3151" t="s">
        <v>1145</v>
      </c>
      <c r="B39" s="1213" t="s">
        <v>1042</v>
      </c>
      <c r="C39" s="3151">
        <v>22330</v>
      </c>
      <c r="D39" s="3151">
        <v>21140</v>
      </c>
      <c r="E39" s="3151">
        <v>23970</v>
      </c>
      <c r="F39" s="3157">
        <v>7940</v>
      </c>
      <c r="G39" s="3157">
        <v>14790</v>
      </c>
      <c r="I39" s="969"/>
      <c r="N39" s="3160" t="s">
        <v>2845</v>
      </c>
      <c r="O39" s="3187" t="s">
        <v>2859</v>
      </c>
      <c r="P39" s="3151" t="s">
        <v>2909</v>
      </c>
      <c r="Q39" s="3151" t="s">
        <v>2938</v>
      </c>
      <c r="R39" s="3151" t="s">
        <v>2966</v>
      </c>
    </row>
    <row r="40" spans="1:18" ht="14.25" customHeight="1">
      <c r="A40" s="3151" t="s">
        <v>1145</v>
      </c>
      <c r="B40" s="1213" t="s">
        <v>1049</v>
      </c>
      <c r="C40" s="3151">
        <v>24740</v>
      </c>
      <c r="D40" s="3151">
        <v>24690</v>
      </c>
      <c r="E40" s="3151">
        <v>22610</v>
      </c>
      <c r="F40" s="3157"/>
      <c r="G40" s="3157">
        <v>17280</v>
      </c>
      <c r="I40" s="969"/>
      <c r="N40" s="3160" t="s">
        <v>2846</v>
      </c>
      <c r="O40" s="3187" t="s">
        <v>2860</v>
      </c>
      <c r="P40" s="3151" t="s">
        <v>2910</v>
      </c>
      <c r="Q40" s="3151" t="s">
        <v>2939</v>
      </c>
      <c r="R40" s="3151" t="s">
        <v>2967</v>
      </c>
    </row>
    <row r="41" spans="1:18" ht="14.25" customHeight="1">
      <c r="A41" s="3151" t="s">
        <v>1145</v>
      </c>
      <c r="B41" s="1213" t="s">
        <v>1056</v>
      </c>
      <c r="C41" s="3151">
        <v>21220</v>
      </c>
      <c r="D41" s="3151">
        <v>21120</v>
      </c>
      <c r="E41" s="3151">
        <v>22590</v>
      </c>
      <c r="F41" s="3157"/>
      <c r="G41" s="3157">
        <v>14780</v>
      </c>
      <c r="I41" s="969"/>
      <c r="N41" s="3160" t="s">
        <v>2847</v>
      </c>
      <c r="O41" s="3188" t="s">
        <v>2861</v>
      </c>
      <c r="P41" s="1213" t="s">
        <v>2911</v>
      </c>
      <c r="Q41" s="3160" t="s">
        <v>2940</v>
      </c>
      <c r="R41" s="1213" t="s">
        <v>2968</v>
      </c>
    </row>
    <row r="42" spans="1:18" ht="14.25" customHeight="1">
      <c r="A42" s="3151" t="s">
        <v>1145</v>
      </c>
      <c r="B42" s="1213" t="s">
        <v>1063</v>
      </c>
      <c r="C42" s="3151">
        <v>24800</v>
      </c>
      <c r="D42" s="3151">
        <v>22280</v>
      </c>
      <c r="E42" s="3151">
        <v>24350</v>
      </c>
      <c r="F42" s="3157"/>
      <c r="G42" s="3157">
        <v>15590</v>
      </c>
      <c r="I42" s="969"/>
      <c r="O42" s="3151" t="s">
        <v>2862</v>
      </c>
      <c r="P42" s="3151" t="s">
        <v>2912</v>
      </c>
      <c r="Q42" s="3160" t="s">
        <v>2941</v>
      </c>
      <c r="R42" s="3151" t="s">
        <v>2969</v>
      </c>
    </row>
    <row r="43" spans="1:18" ht="14.25" customHeight="1">
      <c r="A43" s="3151" t="s">
        <v>1145</v>
      </c>
      <c r="B43" s="1213" t="s">
        <v>1071</v>
      </c>
      <c r="C43" s="3151">
        <v>21210</v>
      </c>
      <c r="D43" s="3151">
        <v>21160</v>
      </c>
      <c r="E43" s="3151">
        <v>22650</v>
      </c>
      <c r="F43" s="3157"/>
      <c r="G43" s="3157">
        <v>14800</v>
      </c>
      <c r="I43" s="969"/>
      <c r="O43" s="3151" t="s">
        <v>2863</v>
      </c>
      <c r="P43" s="3151" t="s">
        <v>2913</v>
      </c>
      <c r="Q43" s="3160" t="s">
        <v>2942</v>
      </c>
      <c r="R43" s="3151" t="s">
        <v>2970</v>
      </c>
    </row>
    <row r="44" spans="1:18" ht="14.25" customHeight="1">
      <c r="A44" s="3151" t="s">
        <v>1145</v>
      </c>
      <c r="B44" s="1213" t="s">
        <v>1079</v>
      </c>
      <c r="C44" s="3151">
        <v>22370</v>
      </c>
      <c r="D44" s="3151">
        <v>23140</v>
      </c>
      <c r="E44" s="3151">
        <v>25090</v>
      </c>
      <c r="F44" s="3157"/>
      <c r="G44" s="3157">
        <v>16190</v>
      </c>
      <c r="I44" s="969"/>
      <c r="O44" s="3151" t="s">
        <v>2864</v>
      </c>
      <c r="P44" s="3151" t="s">
        <v>2914</v>
      </c>
      <c r="Q44" s="3160" t="s">
        <v>2943</v>
      </c>
      <c r="R44" s="3151" t="s">
        <v>2971</v>
      </c>
    </row>
    <row r="45" spans="1:18" ht="14.25" customHeight="1">
      <c r="A45" s="3151" t="s">
        <v>1145</v>
      </c>
      <c r="B45" s="1213" t="s">
        <v>1084</v>
      </c>
      <c r="C45" s="3151">
        <v>21240</v>
      </c>
      <c r="D45" s="3151">
        <v>27050</v>
      </c>
      <c r="E45" s="3151">
        <v>28000</v>
      </c>
      <c r="F45" s="3157"/>
      <c r="G45" s="3157">
        <v>18940</v>
      </c>
      <c r="I45" s="969"/>
      <c r="O45" s="3151" t="s">
        <v>2865</v>
      </c>
      <c r="P45" s="3151" t="s">
        <v>2915</v>
      </c>
      <c r="R45" s="3151" t="s">
        <v>2972</v>
      </c>
    </row>
    <row r="46" spans="1:18" ht="14.25" customHeight="1">
      <c r="A46" s="3151" t="s">
        <v>1145</v>
      </c>
      <c r="B46" s="1213" t="s">
        <v>1093</v>
      </c>
      <c r="C46" s="3151">
        <v>23240</v>
      </c>
      <c r="D46" s="3151">
        <v>23000</v>
      </c>
      <c r="E46" s="3151">
        <v>24980</v>
      </c>
      <c r="F46" s="3157"/>
      <c r="G46" s="3157">
        <v>16100</v>
      </c>
      <c r="I46" s="969"/>
      <c r="O46" s="3151" t="s">
        <v>2866</v>
      </c>
      <c r="P46" s="3151"/>
      <c r="R46" s="3151" t="s">
        <v>2973</v>
      </c>
    </row>
    <row r="47" spans="1:18" ht="14.25" customHeight="1">
      <c r="A47" s="3151" t="s">
        <v>1145</v>
      </c>
      <c r="B47" s="2402" t="s">
        <v>1100</v>
      </c>
      <c r="C47" s="1211">
        <v>27150</v>
      </c>
      <c r="D47" s="1211">
        <v>23310</v>
      </c>
      <c r="E47" s="1211">
        <v>25150</v>
      </c>
      <c r="F47" s="3162"/>
      <c r="G47" s="3162">
        <v>16310</v>
      </c>
      <c r="I47" s="969"/>
      <c r="O47" s="3151" t="s">
        <v>2867</v>
      </c>
      <c r="P47" s="3151"/>
      <c r="R47" s="3160" t="s">
        <v>2974</v>
      </c>
    </row>
    <row r="48" spans="1:18" ht="14.25" customHeight="1">
      <c r="A48" s="3151" t="s">
        <v>1145</v>
      </c>
      <c r="B48" s="3151" t="s">
        <v>1108</v>
      </c>
      <c r="C48" s="3151">
        <v>23100</v>
      </c>
      <c r="D48" s="3151">
        <v>21110</v>
      </c>
      <c r="E48" s="3151">
        <v>23080</v>
      </c>
      <c r="F48" s="3157"/>
      <c r="G48" s="3164">
        <v>14780</v>
      </c>
      <c r="I48" s="969"/>
      <c r="O48" s="3151" t="s">
        <v>2868</v>
      </c>
      <c r="P48" s="3151"/>
      <c r="R48" s="3160" t="s">
        <v>2975</v>
      </c>
    </row>
    <row r="49" spans="1:18" ht="14.25" customHeight="1">
      <c r="A49" s="3151" t="s">
        <v>1145</v>
      </c>
      <c r="B49" s="1213" t="s">
        <v>1115</v>
      </c>
      <c r="C49" s="1213">
        <v>23400</v>
      </c>
      <c r="D49" s="1213">
        <v>22920</v>
      </c>
      <c r="E49" s="1213">
        <v>24900</v>
      </c>
      <c r="F49" s="3152"/>
      <c r="G49" s="3152">
        <v>16040</v>
      </c>
      <c r="I49" s="969"/>
      <c r="O49" s="3151" t="s">
        <v>2869</v>
      </c>
      <c r="P49" s="3151"/>
      <c r="R49" s="3160" t="s">
        <v>2976</v>
      </c>
    </row>
    <row r="50" spans="1:18" ht="14.25" customHeight="1">
      <c r="A50" s="3151" t="s">
        <v>1145</v>
      </c>
      <c r="B50" s="3151" t="s">
        <v>2818</v>
      </c>
      <c r="C50" s="3151">
        <v>21200</v>
      </c>
      <c r="D50" s="3151">
        <v>26540</v>
      </c>
      <c r="E50" s="3151">
        <v>23200</v>
      </c>
      <c r="F50" s="3157"/>
      <c r="G50" s="3157">
        <v>18580</v>
      </c>
      <c r="I50" s="969"/>
      <c r="O50" s="3160" t="s">
        <v>2870</v>
      </c>
      <c r="R50" s="3160" t="s">
        <v>2977</v>
      </c>
    </row>
    <row r="51" spans="1:18" ht="14.25" customHeight="1">
      <c r="A51" s="3151" t="s">
        <v>1145</v>
      </c>
      <c r="B51" s="3151" t="s">
        <v>2819</v>
      </c>
      <c r="C51" s="3151">
        <v>23000</v>
      </c>
      <c r="D51" s="3151">
        <v>23460</v>
      </c>
      <c r="E51" s="3151">
        <v>25290</v>
      </c>
      <c r="F51" s="3157"/>
      <c r="G51" s="3157">
        <v>16420</v>
      </c>
      <c r="I51" s="969"/>
      <c r="O51" s="3160" t="s">
        <v>2871</v>
      </c>
      <c r="R51" s="3160" t="s">
        <v>2978</v>
      </c>
    </row>
    <row r="52" spans="1:18" ht="14.25" customHeight="1">
      <c r="A52" s="3151" t="s">
        <v>1145</v>
      </c>
      <c r="B52" s="3151" t="s">
        <v>2820</v>
      </c>
      <c r="C52" s="3151">
        <v>26660</v>
      </c>
      <c r="D52" s="3151">
        <v>22350</v>
      </c>
      <c r="E52" s="3151">
        <v>22920</v>
      </c>
      <c r="F52" s="3157"/>
      <c r="G52" s="3157">
        <v>15640</v>
      </c>
      <c r="I52" s="969"/>
      <c r="O52" s="3160" t="s">
        <v>2872</v>
      </c>
    </row>
    <row r="53" spans="1:18" ht="14.25" customHeight="1">
      <c r="A53" s="3151" t="s">
        <v>1145</v>
      </c>
      <c r="B53" s="3151" t="s">
        <v>2821</v>
      </c>
      <c r="C53" s="3151">
        <v>23580</v>
      </c>
      <c r="D53" s="3151"/>
      <c r="E53" s="3151">
        <v>24280</v>
      </c>
      <c r="F53" s="3157"/>
      <c r="G53" s="3157"/>
      <c r="I53" s="969"/>
      <c r="O53" s="3160" t="s">
        <v>2873</v>
      </c>
    </row>
    <row r="54" spans="1:18" ht="14.25" customHeight="1" thickBot="1">
      <c r="A54" s="3166" t="s">
        <v>1145</v>
      </c>
      <c r="B54" s="3154" t="s">
        <v>2822</v>
      </c>
      <c r="C54" s="3154">
        <v>22460</v>
      </c>
      <c r="D54" s="3154"/>
      <c r="E54" s="3154"/>
      <c r="F54" s="3155"/>
      <c r="G54" s="3167"/>
      <c r="I54" s="969"/>
      <c r="O54" s="3160" t="s">
        <v>2874</v>
      </c>
    </row>
    <row r="55" spans="1:18" ht="14.25" customHeight="1">
      <c r="A55" s="3165" t="s">
        <v>853</v>
      </c>
      <c r="B55" s="1213" t="s">
        <v>2823</v>
      </c>
      <c r="C55" s="1213">
        <v>21970</v>
      </c>
      <c r="D55" s="1213">
        <v>20370</v>
      </c>
      <c r="E55" s="1213">
        <v>20180</v>
      </c>
      <c r="F55" s="3152">
        <v>5730</v>
      </c>
      <c r="G55" s="3152">
        <v>13820</v>
      </c>
      <c r="I55" s="969"/>
      <c r="O55" s="3160" t="s">
        <v>2875</v>
      </c>
    </row>
    <row r="56" spans="1:18" ht="14.25" customHeight="1">
      <c r="A56" s="3151" t="s">
        <v>853</v>
      </c>
      <c r="B56" s="3151" t="s">
        <v>975</v>
      </c>
      <c r="C56" s="3151">
        <v>20470</v>
      </c>
      <c r="D56" s="3151">
        <v>20700</v>
      </c>
      <c r="E56" s="3151">
        <v>20380</v>
      </c>
      <c r="F56" s="3157">
        <v>4760</v>
      </c>
      <c r="G56" s="3157">
        <v>14050</v>
      </c>
      <c r="I56" s="969"/>
      <c r="O56" s="3160" t="s">
        <v>2876</v>
      </c>
    </row>
    <row r="57" spans="1:18" ht="14.25" customHeight="1">
      <c r="A57" s="3151" t="s">
        <v>853</v>
      </c>
      <c r="B57" s="3151" t="s">
        <v>985</v>
      </c>
      <c r="C57" s="3151">
        <v>20790</v>
      </c>
      <c r="D57" s="3151">
        <v>21370</v>
      </c>
      <c r="E57" s="3151">
        <v>20890</v>
      </c>
      <c r="F57" s="3157">
        <v>4910</v>
      </c>
      <c r="G57" s="3157">
        <v>14510</v>
      </c>
      <c r="I57" s="969"/>
      <c r="O57" s="3160" t="s">
        <v>2877</v>
      </c>
    </row>
    <row r="58" spans="1:18" ht="14.25" customHeight="1">
      <c r="A58" s="3151" t="s">
        <v>853</v>
      </c>
      <c r="B58" s="3151" t="s">
        <v>994</v>
      </c>
      <c r="C58" s="3151">
        <v>21460</v>
      </c>
      <c r="D58" s="3151">
        <v>20920</v>
      </c>
      <c r="E58" s="3151">
        <v>23410</v>
      </c>
      <c r="F58" s="3157">
        <v>5100</v>
      </c>
      <c r="G58" s="3157">
        <v>14200</v>
      </c>
      <c r="I58" s="969"/>
      <c r="O58" s="3160" t="s">
        <v>2878</v>
      </c>
    </row>
    <row r="59" spans="1:18" ht="14.25" customHeight="1">
      <c r="A59" s="3151" t="s">
        <v>853</v>
      </c>
      <c r="B59" s="3151" t="s">
        <v>1004</v>
      </c>
      <c r="C59" s="3151">
        <v>21000</v>
      </c>
      <c r="D59" s="3151">
        <v>21550</v>
      </c>
      <c r="E59" s="3151">
        <v>21150</v>
      </c>
      <c r="F59" s="3157">
        <v>5250</v>
      </c>
      <c r="G59" s="3157">
        <v>14630</v>
      </c>
      <c r="I59" s="969"/>
      <c r="O59" s="3160" t="s">
        <v>2879</v>
      </c>
    </row>
    <row r="60" spans="1:18" ht="14.25" customHeight="1">
      <c r="A60" s="3151" t="s">
        <v>853</v>
      </c>
      <c r="B60" s="3151" t="s">
        <v>1011</v>
      </c>
      <c r="C60" s="3151">
        <v>21640</v>
      </c>
      <c r="D60" s="3151">
        <v>21260</v>
      </c>
      <c r="E60" s="3151">
        <v>24040</v>
      </c>
      <c r="F60" s="3157">
        <v>4470</v>
      </c>
      <c r="G60" s="3157">
        <v>14430</v>
      </c>
      <c r="I60" s="969"/>
      <c r="O60" s="3160" t="s">
        <v>2880</v>
      </c>
    </row>
    <row r="61" spans="1:18" ht="14.25" customHeight="1">
      <c r="A61" s="3151" t="s">
        <v>853</v>
      </c>
      <c r="B61" s="3151" t="s">
        <v>1017</v>
      </c>
      <c r="C61" s="3151">
        <v>21330</v>
      </c>
      <c r="D61" s="3151">
        <v>18640</v>
      </c>
      <c r="E61" s="3151">
        <v>21190</v>
      </c>
      <c r="F61" s="3157">
        <v>4180</v>
      </c>
      <c r="G61" s="3159">
        <v>12650</v>
      </c>
      <c r="I61" s="969"/>
      <c r="O61" s="3160" t="s">
        <v>2881</v>
      </c>
    </row>
    <row r="62" spans="1:18" ht="14.25" customHeight="1">
      <c r="A62" s="3151" t="s">
        <v>853</v>
      </c>
      <c r="B62" s="3151" t="s">
        <v>1024</v>
      </c>
      <c r="C62" s="3151">
        <v>18710</v>
      </c>
      <c r="D62" s="3151">
        <v>19400</v>
      </c>
      <c r="E62" s="3151">
        <v>23750</v>
      </c>
      <c r="F62" s="3157">
        <v>4860</v>
      </c>
      <c r="G62" s="3159">
        <v>13170</v>
      </c>
      <c r="I62" s="969"/>
      <c r="O62" s="3160" t="s">
        <v>2882</v>
      </c>
    </row>
    <row r="63" spans="1:18" ht="14.25" customHeight="1">
      <c r="A63" s="3151" t="s">
        <v>853</v>
      </c>
      <c r="B63" s="3151" t="s">
        <v>1034</v>
      </c>
      <c r="C63" s="3151">
        <v>19480</v>
      </c>
      <c r="D63" s="3151">
        <v>16830</v>
      </c>
      <c r="E63" s="3151">
        <v>21590</v>
      </c>
      <c r="F63" s="3157">
        <v>4560</v>
      </c>
      <c r="G63" s="3159">
        <v>11420</v>
      </c>
      <c r="I63" s="969"/>
      <c r="O63" s="3160" t="s">
        <v>2883</v>
      </c>
    </row>
    <row r="64" spans="1:18" ht="14.25" customHeight="1">
      <c r="A64" s="3151" t="s">
        <v>853</v>
      </c>
      <c r="B64" s="3151" t="s">
        <v>1043</v>
      </c>
      <c r="C64" s="3151">
        <v>16920</v>
      </c>
      <c r="D64" s="3151">
        <v>19190</v>
      </c>
      <c r="E64" s="3151">
        <v>22200</v>
      </c>
      <c r="F64" s="3157">
        <v>4390</v>
      </c>
      <c r="G64" s="3159">
        <v>13030</v>
      </c>
      <c r="I64" s="969"/>
      <c r="O64" s="3160" t="s">
        <v>2884</v>
      </c>
    </row>
    <row r="65" spans="1:21" s="958" customFormat="1" ht="14.25" customHeight="1">
      <c r="A65" s="3151" t="s">
        <v>853</v>
      </c>
      <c r="B65" s="3151" t="s">
        <v>1050</v>
      </c>
      <c r="C65" s="3151">
        <v>19290</v>
      </c>
      <c r="D65" s="3151">
        <v>17020</v>
      </c>
      <c r="E65" s="3151">
        <v>19880</v>
      </c>
      <c r="F65" s="3157">
        <v>4070</v>
      </c>
      <c r="G65" s="3157">
        <v>11550</v>
      </c>
      <c r="I65" s="969"/>
      <c r="J65" s="3186"/>
      <c r="K65" s="3186"/>
      <c r="L65" s="3186"/>
      <c r="M65" s="3186"/>
      <c r="N65" s="3186"/>
      <c r="O65" s="3186"/>
      <c r="P65" s="3186"/>
      <c r="Q65" s="3186"/>
      <c r="R65" s="3186"/>
      <c r="S65" s="3186"/>
      <c r="T65" s="3186"/>
      <c r="U65" s="3186"/>
    </row>
    <row r="66" spans="1:21" s="958" customFormat="1" ht="14.25" customHeight="1">
      <c r="A66" s="3151" t="s">
        <v>853</v>
      </c>
      <c r="B66" s="3151" t="s">
        <v>1057</v>
      </c>
      <c r="C66" s="3151">
        <v>17090</v>
      </c>
      <c r="D66" s="3151">
        <v>18340</v>
      </c>
      <c r="E66" s="3151">
        <v>21830</v>
      </c>
      <c r="F66" s="3157">
        <v>4690</v>
      </c>
      <c r="G66" s="3157">
        <v>12450</v>
      </c>
      <c r="I66" s="969"/>
      <c r="J66" s="3186"/>
      <c r="K66" s="3186"/>
      <c r="L66" s="3186"/>
      <c r="M66" s="3186"/>
      <c r="N66" s="3186"/>
      <c r="O66" s="3186"/>
      <c r="P66" s="3186"/>
      <c r="Q66" s="3186"/>
      <c r="R66" s="3186"/>
      <c r="S66" s="3186"/>
      <c r="T66" s="3186"/>
      <c r="U66" s="3186"/>
    </row>
    <row r="67" spans="1:21" s="958" customFormat="1" ht="14.25" customHeight="1">
      <c r="A67" s="3151" t="s">
        <v>853</v>
      </c>
      <c r="B67" s="3151" t="s">
        <v>1064</v>
      </c>
      <c r="C67" s="3151">
        <v>18420</v>
      </c>
      <c r="D67" s="3151">
        <v>16360</v>
      </c>
      <c r="E67" s="3151">
        <v>20020</v>
      </c>
      <c r="F67" s="3157">
        <v>5150</v>
      </c>
      <c r="G67" s="3157">
        <v>11110</v>
      </c>
      <c r="I67" s="969"/>
      <c r="J67" s="3186"/>
      <c r="K67" s="3186"/>
      <c r="L67" s="3186"/>
      <c r="M67" s="3186"/>
      <c r="N67" s="3186"/>
      <c r="O67" s="3186"/>
      <c r="P67" s="3186"/>
      <c r="Q67" s="3186"/>
      <c r="R67" s="3186"/>
      <c r="S67" s="3186"/>
      <c r="T67" s="3186"/>
      <c r="U67" s="3186"/>
    </row>
    <row r="68" spans="1:21" s="958" customFormat="1" ht="14.25" customHeight="1">
      <c r="A68" s="3151" t="s">
        <v>853</v>
      </c>
      <c r="B68" s="3151" t="s">
        <v>1072</v>
      </c>
      <c r="C68" s="3151">
        <v>16450</v>
      </c>
      <c r="D68" s="3151">
        <v>18430</v>
      </c>
      <c r="E68" s="3151">
        <v>21010</v>
      </c>
      <c r="F68" s="3157">
        <v>4720</v>
      </c>
      <c r="G68" s="3157">
        <v>12510</v>
      </c>
      <c r="I68" s="969"/>
      <c r="J68" s="3186"/>
      <c r="K68" s="3186"/>
      <c r="L68" s="3186"/>
      <c r="M68" s="3186"/>
      <c r="N68" s="3186"/>
      <c r="O68" s="3186"/>
      <c r="P68" s="3186"/>
      <c r="Q68" s="3186"/>
      <c r="R68" s="3186"/>
      <c r="S68" s="3186"/>
      <c r="T68" s="3186"/>
      <c r="U68" s="3186"/>
    </row>
    <row r="69" spans="1:21" s="958" customFormat="1" ht="14.25" customHeight="1">
      <c r="A69" s="3151" t="s">
        <v>853</v>
      </c>
      <c r="B69" s="3151" t="s">
        <v>1080</v>
      </c>
      <c r="C69" s="3151">
        <v>18510</v>
      </c>
      <c r="D69" s="3151">
        <v>16300</v>
      </c>
      <c r="E69" s="3151">
        <v>18830</v>
      </c>
      <c r="F69" s="3157">
        <v>5400</v>
      </c>
      <c r="G69" s="3157">
        <v>11070</v>
      </c>
      <c r="I69" s="969"/>
      <c r="J69" s="3186"/>
      <c r="K69" s="3186"/>
      <c r="L69" s="3186"/>
      <c r="M69" s="3186"/>
      <c r="N69" s="3186"/>
      <c r="O69" s="3186"/>
      <c r="P69" s="3186"/>
      <c r="Q69" s="3186"/>
      <c r="R69" s="3186"/>
      <c r="S69" s="3186"/>
      <c r="T69" s="3186"/>
      <c r="U69" s="3186"/>
    </row>
    <row r="70" spans="1:21" s="958" customFormat="1" ht="14.25" customHeight="1">
      <c r="A70" s="3151" t="s">
        <v>853</v>
      </c>
      <c r="B70" s="3151" t="s">
        <v>1085</v>
      </c>
      <c r="C70" s="3151">
        <v>16370</v>
      </c>
      <c r="D70" s="3151">
        <v>18620</v>
      </c>
      <c r="E70" s="3151">
        <v>21100</v>
      </c>
      <c r="F70" s="3157">
        <v>5700</v>
      </c>
      <c r="G70" s="3157">
        <v>12640</v>
      </c>
      <c r="I70" s="969"/>
      <c r="J70" s="3186"/>
      <c r="K70" s="3186"/>
      <c r="L70" s="3186"/>
      <c r="M70" s="3186"/>
      <c r="N70" s="3186"/>
      <c r="O70" s="3186"/>
      <c r="P70" s="3186"/>
      <c r="Q70" s="3186"/>
      <c r="R70" s="3186"/>
      <c r="S70" s="3186"/>
      <c r="T70" s="3186"/>
      <c r="U70" s="3186"/>
    </row>
    <row r="71" spans="1:21" s="958" customFormat="1" ht="14.25" customHeight="1">
      <c r="A71" s="3151" t="s">
        <v>853</v>
      </c>
      <c r="B71" s="3151" t="s">
        <v>1094</v>
      </c>
      <c r="C71" s="3151">
        <v>18700</v>
      </c>
      <c r="D71" s="3151">
        <v>16290</v>
      </c>
      <c r="E71" s="3151">
        <v>18760</v>
      </c>
      <c r="F71" s="3157">
        <v>4780</v>
      </c>
      <c r="G71" s="3157">
        <v>11050</v>
      </c>
      <c r="I71" s="969"/>
      <c r="J71" s="3186"/>
      <c r="K71" s="3186"/>
      <c r="L71" s="3186"/>
      <c r="M71" s="3186"/>
      <c r="N71" s="3186"/>
      <c r="O71" s="3186"/>
      <c r="P71" s="3186"/>
      <c r="Q71" s="3186"/>
      <c r="R71" s="3186"/>
      <c r="S71" s="3186"/>
      <c r="T71" s="3186"/>
      <c r="U71" s="3186"/>
    </row>
    <row r="72" spans="1:21" s="958" customFormat="1" ht="14.25" customHeight="1">
      <c r="A72" s="3151" t="s">
        <v>853</v>
      </c>
      <c r="B72" s="3151" t="s">
        <v>1101</v>
      </c>
      <c r="C72" s="3151">
        <v>16340</v>
      </c>
      <c r="D72" s="3151">
        <v>17520</v>
      </c>
      <c r="E72" s="3151">
        <v>21170</v>
      </c>
      <c r="F72" s="3157"/>
      <c r="G72" s="3157">
        <v>11900</v>
      </c>
      <c r="I72" s="969"/>
      <c r="J72" s="3186"/>
      <c r="K72" s="3186"/>
      <c r="L72" s="3186"/>
      <c r="M72" s="3186"/>
      <c r="N72" s="3186"/>
      <c r="O72" s="3186"/>
      <c r="P72" s="3186"/>
      <c r="Q72" s="3186"/>
      <c r="R72" s="3186"/>
      <c r="S72" s="3186"/>
      <c r="T72" s="3186"/>
      <c r="U72" s="3186"/>
    </row>
    <row r="73" spans="1:21" s="958" customFormat="1" ht="14.25" customHeight="1">
      <c r="A73" s="3151" t="s">
        <v>853</v>
      </c>
      <c r="B73" s="3151" t="s">
        <v>1109</v>
      </c>
      <c r="C73" s="3151">
        <v>17610</v>
      </c>
      <c r="D73" s="3151">
        <v>18520</v>
      </c>
      <c r="E73" s="3151">
        <v>18720</v>
      </c>
      <c r="F73" s="3157"/>
      <c r="G73" s="3157">
        <v>12570</v>
      </c>
      <c r="I73" s="969"/>
      <c r="J73" s="3186"/>
      <c r="K73" s="3186"/>
      <c r="L73" s="3186"/>
      <c r="M73" s="3186"/>
      <c r="N73" s="3186"/>
      <c r="O73" s="3186"/>
      <c r="P73" s="3186"/>
      <c r="Q73" s="3186"/>
      <c r="R73" s="3186"/>
      <c r="S73" s="3186"/>
      <c r="T73" s="3186"/>
      <c r="U73" s="3186"/>
    </row>
    <row r="74" spans="1:21" s="958" customFormat="1" ht="14.25" customHeight="1">
      <c r="A74" s="3151" t="s">
        <v>853</v>
      </c>
      <c r="B74" s="3151" t="s">
        <v>1116</v>
      </c>
      <c r="C74" s="3151">
        <v>18600</v>
      </c>
      <c r="D74" s="3151">
        <v>16480</v>
      </c>
      <c r="E74" s="3151">
        <v>20100</v>
      </c>
      <c r="F74" s="3157"/>
      <c r="G74" s="3157">
        <v>11190</v>
      </c>
      <c r="I74" s="969"/>
      <c r="J74" s="3186"/>
      <c r="K74" s="3186"/>
      <c r="L74" s="3186"/>
      <c r="M74" s="3186"/>
      <c r="N74" s="3186"/>
      <c r="O74" s="3186"/>
      <c r="P74" s="3186"/>
      <c r="Q74" s="3186"/>
      <c r="R74" s="3186"/>
      <c r="S74" s="3186"/>
      <c r="T74" s="3186"/>
      <c r="U74" s="3186"/>
    </row>
    <row r="75" spans="1:21" s="958" customFormat="1" ht="14.25" customHeight="1">
      <c r="A75" s="3151" t="s">
        <v>853</v>
      </c>
      <c r="B75" s="3151" t="s">
        <v>1120</v>
      </c>
      <c r="C75" s="3151">
        <v>16570</v>
      </c>
      <c r="D75" s="3151">
        <v>17530</v>
      </c>
      <c r="E75" s="3151">
        <v>21030</v>
      </c>
      <c r="F75" s="3157"/>
      <c r="G75" s="3164">
        <v>11900</v>
      </c>
      <c r="I75" s="969"/>
      <c r="J75" s="3186"/>
      <c r="K75" s="3186"/>
      <c r="L75" s="3186"/>
      <c r="M75" s="3186"/>
      <c r="N75" s="3186"/>
      <c r="O75" s="3186"/>
      <c r="P75" s="3186"/>
      <c r="Q75" s="3186"/>
      <c r="R75" s="3186"/>
      <c r="S75" s="3186"/>
      <c r="T75" s="3186"/>
      <c r="U75" s="3186"/>
    </row>
    <row r="76" spans="1:21" s="958" customFormat="1" ht="14.25" customHeight="1">
      <c r="A76" s="3151" t="s">
        <v>853</v>
      </c>
      <c r="B76" s="1213" t="s">
        <v>1127</v>
      </c>
      <c r="C76" s="1213">
        <v>17610</v>
      </c>
      <c r="D76" s="1213">
        <v>20800</v>
      </c>
      <c r="E76" s="1213">
        <v>18920</v>
      </c>
      <c r="F76" s="3152"/>
      <c r="G76" s="3152">
        <v>14120</v>
      </c>
      <c r="I76" s="969"/>
      <c r="J76" s="3186"/>
      <c r="K76" s="3186"/>
      <c r="L76" s="3186"/>
      <c r="M76" s="3186"/>
      <c r="N76" s="3186"/>
      <c r="O76" s="3186"/>
      <c r="P76" s="3186"/>
      <c r="Q76" s="3186"/>
      <c r="R76" s="3186"/>
      <c r="S76" s="3186"/>
      <c r="T76" s="3186"/>
      <c r="U76" s="3186"/>
    </row>
    <row r="77" spans="1:21" s="958" customFormat="1" ht="14.25" customHeight="1">
      <c r="A77" s="3151" t="s">
        <v>853</v>
      </c>
      <c r="B77" s="3151" t="s">
        <v>1130</v>
      </c>
      <c r="C77" s="3151">
        <v>20890</v>
      </c>
      <c r="D77" s="3151">
        <v>19740</v>
      </c>
      <c r="E77" s="3151">
        <v>20110</v>
      </c>
      <c r="F77" s="3157"/>
      <c r="G77" s="3157">
        <v>13400</v>
      </c>
      <c r="I77" s="969"/>
      <c r="J77" s="3186"/>
      <c r="K77" s="3186"/>
      <c r="L77" s="3186"/>
      <c r="M77" s="3186"/>
      <c r="N77" s="3186"/>
      <c r="O77" s="3186"/>
      <c r="P77" s="3186"/>
      <c r="Q77" s="3186"/>
      <c r="R77" s="3186"/>
      <c r="S77" s="3186"/>
      <c r="T77" s="3186"/>
      <c r="U77" s="3186"/>
    </row>
    <row r="78" spans="1:21" s="958" customFormat="1" ht="14.25" customHeight="1">
      <c r="A78" s="3151" t="s">
        <v>853</v>
      </c>
      <c r="B78" s="3151" t="s">
        <v>2824</v>
      </c>
      <c r="C78" s="3151">
        <v>19820</v>
      </c>
      <c r="D78" s="3151">
        <v>19780</v>
      </c>
      <c r="E78" s="3151">
        <v>18560</v>
      </c>
      <c r="F78" s="3157"/>
      <c r="G78" s="3157">
        <v>13430</v>
      </c>
      <c r="I78" s="969"/>
      <c r="J78" s="3186"/>
      <c r="K78" s="3186"/>
      <c r="L78" s="3186"/>
      <c r="M78" s="3186"/>
      <c r="N78" s="3186"/>
      <c r="O78" s="3186"/>
      <c r="P78" s="3186"/>
      <c r="Q78" s="3186"/>
      <c r="R78" s="3186"/>
      <c r="S78" s="3186"/>
      <c r="T78" s="3186"/>
      <c r="U78" s="3186"/>
    </row>
    <row r="79" spans="1:21" s="958" customFormat="1" ht="14.25" customHeight="1">
      <c r="A79" s="3151" t="s">
        <v>853</v>
      </c>
      <c r="B79" s="3151" t="s">
        <v>2825</v>
      </c>
      <c r="C79" s="3151">
        <v>21660</v>
      </c>
      <c r="D79" s="3151">
        <v>18000</v>
      </c>
      <c r="E79" s="3151">
        <v>22570</v>
      </c>
      <c r="F79" s="3157"/>
      <c r="G79" s="3157">
        <v>12220</v>
      </c>
      <c r="I79" s="969"/>
      <c r="J79" s="3186"/>
      <c r="K79" s="3186"/>
      <c r="L79" s="3186"/>
      <c r="M79" s="3186"/>
      <c r="N79" s="3186"/>
      <c r="O79" s="3186"/>
      <c r="P79" s="3186"/>
      <c r="Q79" s="3186"/>
      <c r="R79" s="3186"/>
      <c r="S79" s="3186"/>
      <c r="T79" s="3186"/>
      <c r="U79" s="3186"/>
    </row>
    <row r="80" spans="1:21" s="958" customFormat="1" ht="14.25" customHeight="1">
      <c r="A80" s="3151" t="s">
        <v>853</v>
      </c>
      <c r="B80" s="3151" t="s">
        <v>2826</v>
      </c>
      <c r="C80" s="3151">
        <v>19850</v>
      </c>
      <c r="D80" s="3151"/>
      <c r="E80" s="3151">
        <v>21700</v>
      </c>
      <c r="F80" s="3157"/>
      <c r="G80" s="3157"/>
      <c r="I80" s="969"/>
      <c r="J80" s="3186"/>
      <c r="K80" s="3186"/>
      <c r="L80" s="3186"/>
      <c r="M80" s="3186"/>
      <c r="N80" s="3186"/>
      <c r="O80" s="3186"/>
      <c r="P80" s="3186"/>
      <c r="Q80" s="3186"/>
      <c r="R80" s="3186"/>
      <c r="S80" s="3186"/>
      <c r="T80" s="3186"/>
      <c r="U80" s="3186"/>
    </row>
    <row r="81" spans="1:21" s="958" customFormat="1" ht="14.25" customHeight="1">
      <c r="A81" s="3151" t="s">
        <v>853</v>
      </c>
      <c r="B81" s="3151" t="s">
        <v>2827</v>
      </c>
      <c r="C81" s="3151">
        <v>18080</v>
      </c>
      <c r="D81" s="3151"/>
      <c r="E81" s="3151">
        <v>20900</v>
      </c>
      <c r="F81" s="3157"/>
      <c r="G81" s="3157"/>
      <c r="I81" s="969"/>
      <c r="J81" s="3186"/>
      <c r="K81" s="3186"/>
      <c r="L81" s="3186"/>
      <c r="M81" s="3186"/>
      <c r="N81" s="3186"/>
      <c r="O81" s="3186"/>
      <c r="P81" s="3186"/>
      <c r="Q81" s="3186"/>
      <c r="R81" s="3186"/>
      <c r="S81" s="3186"/>
      <c r="T81" s="3186"/>
      <c r="U81" s="3186"/>
    </row>
    <row r="82" spans="1:21" s="958" customFormat="1" ht="14.25" customHeight="1">
      <c r="A82" s="3151" t="s">
        <v>853</v>
      </c>
      <c r="B82" s="3151" t="s">
        <v>2828</v>
      </c>
      <c r="C82" s="3151"/>
      <c r="D82" s="3151"/>
      <c r="E82" s="3151">
        <v>20840</v>
      </c>
      <c r="F82" s="3157"/>
      <c r="G82" s="3157"/>
      <c r="I82" s="969"/>
      <c r="J82" s="3186"/>
      <c r="K82" s="3186"/>
      <c r="L82" s="3186"/>
      <c r="M82" s="3186"/>
      <c r="N82" s="3186"/>
      <c r="O82" s="3186"/>
      <c r="P82" s="3186"/>
      <c r="Q82" s="3186"/>
      <c r="R82" s="3186"/>
      <c r="S82" s="3186"/>
      <c r="T82" s="3186"/>
      <c r="U82" s="3186"/>
    </row>
    <row r="83" spans="1:21" s="958" customFormat="1" ht="14.25" customHeight="1">
      <c r="A83" s="3151" t="s">
        <v>853</v>
      </c>
      <c r="B83" s="3151" t="s">
        <v>2829</v>
      </c>
      <c r="C83" s="3151"/>
      <c r="D83" s="3151"/>
      <c r="E83" s="3151"/>
      <c r="F83" s="3157">
        <v>4770</v>
      </c>
      <c r="G83" s="3157"/>
      <c r="I83" s="969"/>
      <c r="J83" s="3186"/>
      <c r="K83" s="3186"/>
      <c r="L83" s="3186"/>
      <c r="M83" s="3186"/>
      <c r="N83" s="3186"/>
      <c r="O83" s="3186"/>
      <c r="P83" s="3186"/>
      <c r="Q83" s="3186"/>
      <c r="R83" s="3186"/>
      <c r="S83" s="3186"/>
      <c r="T83" s="3186"/>
      <c r="U83" s="3186"/>
    </row>
    <row r="84" spans="1:21" s="958" customFormat="1" ht="14.25" customHeight="1">
      <c r="A84" s="3151" t="s">
        <v>853</v>
      </c>
      <c r="B84" s="3151" t="s">
        <v>2830</v>
      </c>
      <c r="C84" s="3151"/>
      <c r="D84" s="3151"/>
      <c r="E84" s="3151"/>
      <c r="F84" s="3157">
        <v>4600</v>
      </c>
      <c r="G84" s="3157"/>
      <c r="I84" s="969"/>
      <c r="J84" s="3186"/>
      <c r="K84" s="3186"/>
      <c r="L84" s="3186"/>
      <c r="M84" s="3186"/>
      <c r="N84" s="3186"/>
      <c r="O84" s="3186"/>
      <c r="P84" s="3186"/>
      <c r="Q84" s="3186"/>
      <c r="R84" s="3186"/>
      <c r="S84" s="3186"/>
      <c r="T84" s="3186"/>
      <c r="U84" s="3186"/>
    </row>
    <row r="85" spans="1:21" s="958" customFormat="1" ht="14.25" customHeight="1">
      <c r="A85" s="3151" t="s">
        <v>853</v>
      </c>
      <c r="B85" s="1211" t="s">
        <v>2831</v>
      </c>
      <c r="C85" s="1211"/>
      <c r="D85" s="1211"/>
      <c r="E85" s="1211"/>
      <c r="F85" s="3162">
        <v>4680</v>
      </c>
      <c r="G85" s="3162"/>
      <c r="I85" s="969"/>
      <c r="J85" s="3186"/>
      <c r="K85" s="3186"/>
      <c r="L85" s="3186"/>
      <c r="M85" s="3186"/>
      <c r="N85" s="3186"/>
      <c r="O85" s="3186"/>
      <c r="P85" s="3186"/>
      <c r="Q85" s="3186"/>
      <c r="R85" s="3186"/>
      <c r="S85" s="3186"/>
      <c r="T85" s="3186"/>
      <c r="U85" s="3186"/>
    </row>
    <row r="86" spans="1:21" s="958" customFormat="1" ht="14.25" customHeight="1" thickBot="1">
      <c r="A86" s="3166" t="s">
        <v>853</v>
      </c>
      <c r="B86" s="3154" t="s">
        <v>2832</v>
      </c>
      <c r="C86" s="3154">
        <v>16610</v>
      </c>
      <c r="D86" s="3154">
        <v>16540</v>
      </c>
      <c r="E86" s="3154">
        <v>18850</v>
      </c>
      <c r="F86" s="3155"/>
      <c r="G86" s="3167">
        <v>11220</v>
      </c>
      <c r="I86" s="969"/>
      <c r="J86" s="3186"/>
      <c r="K86" s="3186"/>
      <c r="L86" s="3186"/>
      <c r="M86" s="3186"/>
      <c r="N86" s="3186"/>
      <c r="O86" s="3186"/>
      <c r="P86" s="3186"/>
      <c r="Q86" s="3186"/>
      <c r="R86" s="3186"/>
      <c r="S86" s="3186"/>
      <c r="T86" s="3186"/>
      <c r="U86" s="3186"/>
    </row>
    <row r="87" spans="1:21" s="958" customFormat="1" ht="14.25" customHeight="1">
      <c r="A87" s="3165" t="s">
        <v>1152</v>
      </c>
      <c r="B87" s="1213" t="s">
        <v>2833</v>
      </c>
      <c r="C87" s="1213">
        <v>15240</v>
      </c>
      <c r="D87" s="1213">
        <v>15170</v>
      </c>
      <c r="E87" s="1213">
        <v>18260</v>
      </c>
      <c r="F87" s="3152">
        <v>3830</v>
      </c>
      <c r="G87" s="3168">
        <v>10020</v>
      </c>
      <c r="I87" s="969"/>
      <c r="J87" s="3186"/>
      <c r="K87" s="3186"/>
      <c r="L87" s="3186"/>
      <c r="M87" s="3186"/>
      <c r="N87" s="3186"/>
      <c r="O87" s="3186"/>
      <c r="P87" s="3186"/>
      <c r="Q87" s="3186"/>
      <c r="R87" s="3186"/>
      <c r="S87" s="3186"/>
      <c r="T87" s="3186"/>
      <c r="U87" s="3186"/>
    </row>
    <row r="88" spans="1:21" s="958" customFormat="1" ht="14.25" customHeight="1">
      <c r="A88" s="3151" t="s">
        <v>1152</v>
      </c>
      <c r="B88" s="3151" t="s">
        <v>976</v>
      </c>
      <c r="C88" s="3151">
        <v>17310</v>
      </c>
      <c r="D88" s="3151">
        <v>17220</v>
      </c>
      <c r="E88" s="3151">
        <v>18610</v>
      </c>
      <c r="F88" s="3157">
        <v>3990</v>
      </c>
      <c r="G88" s="3159">
        <v>11380</v>
      </c>
      <c r="I88" s="969"/>
      <c r="J88" s="3186"/>
      <c r="K88" s="3186"/>
      <c r="L88" s="3186"/>
      <c r="M88" s="3186"/>
      <c r="N88" s="3186"/>
      <c r="O88" s="3186"/>
      <c r="P88" s="3186"/>
      <c r="Q88" s="3186"/>
      <c r="R88" s="3186"/>
      <c r="S88" s="3186"/>
      <c r="T88" s="3186"/>
      <c r="U88" s="3186"/>
    </row>
    <row r="89" spans="1:21" s="958" customFormat="1" ht="14.25" customHeight="1">
      <c r="A89" s="3151" t="s">
        <v>1152</v>
      </c>
      <c r="B89" s="3151" t="s">
        <v>986</v>
      </c>
      <c r="C89" s="3151">
        <v>15600</v>
      </c>
      <c r="D89" s="3151">
        <v>15550</v>
      </c>
      <c r="E89" s="3151">
        <v>19200</v>
      </c>
      <c r="F89" s="3157">
        <v>4110</v>
      </c>
      <c r="G89" s="3159">
        <v>10270</v>
      </c>
      <c r="I89" s="969"/>
      <c r="J89" s="3186"/>
      <c r="K89" s="3186"/>
      <c r="L89" s="3186"/>
      <c r="M89" s="3186"/>
      <c r="N89" s="3186"/>
      <c r="O89" s="3186"/>
      <c r="P89" s="3186"/>
      <c r="Q89" s="3186"/>
      <c r="R89" s="3186"/>
      <c r="S89" s="3186"/>
      <c r="T89" s="3186"/>
      <c r="U89" s="3186"/>
    </row>
    <row r="90" spans="1:21" s="958" customFormat="1" ht="14.25" customHeight="1">
      <c r="A90" s="3151" t="s">
        <v>1152</v>
      </c>
      <c r="B90" s="3151" t="s">
        <v>995</v>
      </c>
      <c r="C90" s="3151">
        <v>17330</v>
      </c>
      <c r="D90" s="3151">
        <v>17240</v>
      </c>
      <c r="E90" s="3151">
        <v>18570</v>
      </c>
      <c r="F90" s="3157">
        <v>4070</v>
      </c>
      <c r="G90" s="3159">
        <v>11390</v>
      </c>
      <c r="I90" s="969"/>
      <c r="J90" s="3186"/>
      <c r="K90" s="3186"/>
      <c r="L90" s="3186"/>
      <c r="M90" s="3186"/>
      <c r="N90" s="3186"/>
      <c r="O90" s="3186"/>
      <c r="P90" s="3186"/>
      <c r="Q90" s="3186"/>
      <c r="R90" s="3186"/>
      <c r="S90" s="3186"/>
      <c r="T90" s="3186"/>
      <c r="U90" s="3186"/>
    </row>
    <row r="91" spans="1:21" s="958" customFormat="1" ht="14.25" customHeight="1">
      <c r="A91" s="3151" t="s">
        <v>1152</v>
      </c>
      <c r="B91" s="3151" t="s">
        <v>1005</v>
      </c>
      <c r="C91" s="3151">
        <v>16330</v>
      </c>
      <c r="D91" s="3151">
        <v>16260</v>
      </c>
      <c r="E91" s="3151">
        <v>16800</v>
      </c>
      <c r="F91" s="3157">
        <v>3410</v>
      </c>
      <c r="G91" s="3159">
        <v>10740</v>
      </c>
      <c r="I91" s="969"/>
      <c r="J91" s="3186"/>
      <c r="K91" s="3186"/>
      <c r="L91" s="3186"/>
      <c r="M91" s="3186"/>
      <c r="N91" s="3186"/>
      <c r="O91" s="3186"/>
      <c r="P91" s="3186"/>
      <c r="Q91" s="3186"/>
      <c r="R91" s="3186"/>
      <c r="S91" s="3186"/>
      <c r="T91" s="3186"/>
      <c r="U91" s="3186"/>
    </row>
    <row r="92" spans="1:21" s="958" customFormat="1" ht="14.25" customHeight="1">
      <c r="A92" s="3151" t="s">
        <v>1152</v>
      </c>
      <c r="B92" s="3151" t="s">
        <v>1012</v>
      </c>
      <c r="C92" s="3151">
        <v>15570</v>
      </c>
      <c r="D92" s="3151">
        <v>15500</v>
      </c>
      <c r="E92" s="3151">
        <v>17360</v>
      </c>
      <c r="F92" s="3157">
        <v>3510</v>
      </c>
      <c r="G92" s="3159">
        <v>10240</v>
      </c>
      <c r="I92" s="969"/>
      <c r="J92" s="3186"/>
      <c r="K92" s="3186"/>
      <c r="L92" s="3186"/>
      <c r="M92" s="3186"/>
      <c r="N92" s="3186"/>
      <c r="O92" s="3186"/>
      <c r="P92" s="3186"/>
      <c r="Q92" s="3186"/>
      <c r="R92" s="3186"/>
      <c r="S92" s="3186"/>
      <c r="T92" s="3186"/>
      <c r="U92" s="3186"/>
    </row>
    <row r="93" spans="1:21" s="958" customFormat="1" ht="14.25" customHeight="1">
      <c r="A93" s="3151" t="s">
        <v>1152</v>
      </c>
      <c r="B93" s="3151" t="s">
        <v>1018</v>
      </c>
      <c r="C93" s="3151">
        <v>14000</v>
      </c>
      <c r="D93" s="3151">
        <v>13930</v>
      </c>
      <c r="E93" s="3151">
        <v>18200</v>
      </c>
      <c r="F93" s="3157">
        <v>3640</v>
      </c>
      <c r="G93" s="3159">
        <v>9210</v>
      </c>
      <c r="I93" s="969"/>
      <c r="J93" s="3186"/>
      <c r="K93" s="3186"/>
      <c r="L93" s="3186"/>
      <c r="M93" s="3186"/>
      <c r="N93" s="3186"/>
      <c r="O93" s="3186"/>
      <c r="P93" s="3186"/>
      <c r="Q93" s="3186"/>
      <c r="R93" s="3186"/>
      <c r="S93" s="3186"/>
      <c r="T93" s="3186"/>
      <c r="U93" s="3186"/>
    </row>
    <row r="94" spans="1:21" s="958" customFormat="1" ht="14.25" customHeight="1">
      <c r="A94" s="3151" t="s">
        <v>1152</v>
      </c>
      <c r="B94" s="3151" t="s">
        <v>1025</v>
      </c>
      <c r="C94" s="3151">
        <v>14530</v>
      </c>
      <c r="D94" s="3151">
        <v>14470</v>
      </c>
      <c r="E94" s="3151">
        <v>18240</v>
      </c>
      <c r="F94" s="3157">
        <v>3180</v>
      </c>
      <c r="G94" s="3159">
        <v>9560</v>
      </c>
      <c r="I94" s="969"/>
      <c r="J94" s="3186"/>
      <c r="K94" s="3186"/>
      <c r="L94" s="3186"/>
      <c r="M94" s="3186"/>
      <c r="N94" s="3186"/>
      <c r="O94" s="3186"/>
      <c r="P94" s="3186"/>
      <c r="Q94" s="3186"/>
      <c r="R94" s="3186"/>
      <c r="S94" s="3186"/>
      <c r="T94" s="3186"/>
      <c r="U94" s="3186"/>
    </row>
    <row r="95" spans="1:21" s="958" customFormat="1" ht="14.25" customHeight="1">
      <c r="A95" s="3151" t="s">
        <v>1152</v>
      </c>
      <c r="B95" s="3151" t="s">
        <v>1035</v>
      </c>
      <c r="C95" s="3151">
        <v>17330</v>
      </c>
      <c r="D95" s="3151">
        <v>17260</v>
      </c>
      <c r="E95" s="3151">
        <v>18420</v>
      </c>
      <c r="F95" s="3157">
        <v>3060</v>
      </c>
      <c r="G95" s="3157">
        <v>11410</v>
      </c>
      <c r="I95" s="969"/>
      <c r="J95" s="3186"/>
      <c r="K95" s="3186"/>
      <c r="L95" s="3186"/>
      <c r="M95" s="3186"/>
      <c r="N95" s="3186"/>
      <c r="O95" s="3186"/>
      <c r="P95" s="3186"/>
      <c r="Q95" s="3186"/>
      <c r="R95" s="3186"/>
      <c r="S95" s="3186"/>
      <c r="T95" s="3186"/>
      <c r="U95" s="3186"/>
    </row>
    <row r="96" spans="1:21" s="958" customFormat="1" ht="14.25" customHeight="1">
      <c r="A96" s="3151" t="s">
        <v>1152</v>
      </c>
      <c r="B96" s="3151" t="s">
        <v>1044</v>
      </c>
      <c r="C96" s="3151">
        <v>15030</v>
      </c>
      <c r="D96" s="3151">
        <v>14970</v>
      </c>
      <c r="E96" s="3151">
        <v>17580</v>
      </c>
      <c r="F96" s="3157">
        <v>2970</v>
      </c>
      <c r="G96" s="3157">
        <v>9890</v>
      </c>
      <c r="I96" s="969"/>
      <c r="J96" s="3186"/>
      <c r="K96" s="3186"/>
      <c r="L96" s="3186"/>
      <c r="M96" s="3186"/>
      <c r="N96" s="3186"/>
      <c r="O96" s="3186"/>
      <c r="P96" s="3186"/>
      <c r="Q96" s="3186"/>
      <c r="R96" s="3186"/>
      <c r="S96" s="3186"/>
      <c r="T96" s="3186"/>
      <c r="U96" s="3186"/>
    </row>
    <row r="97" spans="1:21" s="958" customFormat="1" ht="14.25" customHeight="1">
      <c r="A97" s="3151" t="s">
        <v>1152</v>
      </c>
      <c r="B97" s="3151" t="s">
        <v>1051</v>
      </c>
      <c r="C97" s="3151">
        <v>17400</v>
      </c>
      <c r="D97" s="3151">
        <v>17330</v>
      </c>
      <c r="E97" s="3151">
        <v>16430</v>
      </c>
      <c r="F97" s="3157">
        <v>2950</v>
      </c>
      <c r="G97" s="3157">
        <v>11450</v>
      </c>
      <c r="I97" s="969"/>
      <c r="J97" s="3186"/>
      <c r="K97" s="3186"/>
      <c r="L97" s="3186"/>
      <c r="M97" s="3186"/>
      <c r="N97" s="3186"/>
      <c r="O97" s="3186"/>
      <c r="P97" s="3186"/>
      <c r="Q97" s="3186"/>
      <c r="R97" s="3186"/>
      <c r="S97" s="3186"/>
      <c r="T97" s="3186"/>
      <c r="U97" s="3186"/>
    </row>
    <row r="98" spans="1:21" s="958" customFormat="1" ht="14.25" customHeight="1">
      <c r="A98" s="3151" t="s">
        <v>1152</v>
      </c>
      <c r="B98" s="3151" t="s">
        <v>1058</v>
      </c>
      <c r="C98" s="3151">
        <v>15200</v>
      </c>
      <c r="D98" s="3151">
        <v>15120</v>
      </c>
      <c r="E98" s="3151">
        <v>17550</v>
      </c>
      <c r="F98" s="3157">
        <v>3080</v>
      </c>
      <c r="G98" s="3157">
        <v>9990</v>
      </c>
      <c r="I98" s="969"/>
      <c r="J98" s="3186"/>
      <c r="K98" s="3186"/>
      <c r="L98" s="3186"/>
      <c r="M98" s="3186"/>
      <c r="N98" s="3186"/>
      <c r="O98" s="3186"/>
      <c r="P98" s="3186"/>
      <c r="Q98" s="3186"/>
      <c r="R98" s="3186"/>
      <c r="S98" s="3186"/>
      <c r="T98" s="3186"/>
      <c r="U98" s="3186"/>
    </row>
    <row r="99" spans="1:21" s="958" customFormat="1" ht="14.25" customHeight="1">
      <c r="A99" s="3151" t="s">
        <v>1152</v>
      </c>
      <c r="B99" s="3151" t="s">
        <v>1065</v>
      </c>
      <c r="C99" s="3151">
        <v>17520</v>
      </c>
      <c r="D99" s="3151">
        <v>17430</v>
      </c>
      <c r="E99" s="3151">
        <v>16350</v>
      </c>
      <c r="F99" s="3157">
        <v>3260</v>
      </c>
      <c r="G99" s="3157">
        <v>11510</v>
      </c>
      <c r="I99" s="969"/>
      <c r="J99" s="3186"/>
      <c r="K99" s="3186"/>
      <c r="L99" s="3186"/>
      <c r="M99" s="3186"/>
      <c r="N99" s="3186"/>
      <c r="O99" s="3186"/>
      <c r="P99" s="3186"/>
      <c r="Q99" s="3186"/>
      <c r="R99" s="3186"/>
      <c r="S99" s="3186"/>
      <c r="T99" s="3186"/>
      <c r="U99" s="3186"/>
    </row>
    <row r="100" spans="1:21" s="958" customFormat="1" ht="14.25" customHeight="1">
      <c r="A100" s="3151" t="s">
        <v>1152</v>
      </c>
      <c r="B100" s="3151" t="s">
        <v>1073</v>
      </c>
      <c r="C100" s="3151">
        <v>15340</v>
      </c>
      <c r="D100" s="3151">
        <v>15260</v>
      </c>
      <c r="E100" s="3151">
        <v>15930</v>
      </c>
      <c r="F100" s="3157">
        <v>2740</v>
      </c>
      <c r="G100" s="3157">
        <v>10080</v>
      </c>
      <c r="I100" s="969"/>
      <c r="J100" s="3186"/>
      <c r="K100" s="3186"/>
      <c r="L100" s="3186"/>
      <c r="M100" s="3186"/>
      <c r="N100" s="3186"/>
      <c r="O100" s="3186"/>
      <c r="P100" s="3186"/>
      <c r="Q100" s="3186"/>
      <c r="R100" s="3186"/>
      <c r="S100" s="3186"/>
      <c r="T100" s="3186"/>
      <c r="U100" s="3186"/>
    </row>
    <row r="101" spans="1:21" s="958" customFormat="1" ht="14.25" customHeight="1">
      <c r="A101" s="3151" t="s">
        <v>1152</v>
      </c>
      <c r="B101" s="3151" t="s">
        <v>1081</v>
      </c>
      <c r="C101" s="3151">
        <v>14620</v>
      </c>
      <c r="D101" s="3151">
        <v>14560</v>
      </c>
      <c r="E101" s="3151">
        <v>15570</v>
      </c>
      <c r="F101" s="3157">
        <v>3500</v>
      </c>
      <c r="G101" s="3157">
        <v>9630</v>
      </c>
      <c r="I101" s="969"/>
      <c r="J101" s="3186"/>
      <c r="K101" s="3186"/>
      <c r="L101" s="3186"/>
      <c r="M101" s="3186"/>
      <c r="N101" s="3186"/>
      <c r="O101" s="3186"/>
      <c r="P101" s="3186"/>
      <c r="Q101" s="3186"/>
      <c r="R101" s="3186"/>
      <c r="S101" s="3186"/>
      <c r="T101" s="3186"/>
      <c r="U101" s="3186"/>
    </row>
    <row r="102" spans="1:21" s="958" customFormat="1" ht="14.25" customHeight="1">
      <c r="A102" s="3151" t="s">
        <v>1152</v>
      </c>
      <c r="B102" s="3151" t="s">
        <v>1086</v>
      </c>
      <c r="C102" s="3151">
        <v>13680</v>
      </c>
      <c r="D102" s="3151">
        <v>13610</v>
      </c>
      <c r="E102" s="3151">
        <v>15690</v>
      </c>
      <c r="F102" s="3157">
        <v>2870</v>
      </c>
      <c r="G102" s="3157">
        <v>8990</v>
      </c>
      <c r="I102" s="969"/>
      <c r="J102" s="3186"/>
      <c r="K102" s="3186"/>
      <c r="L102" s="3186"/>
      <c r="M102" s="3186"/>
      <c r="N102" s="3186"/>
      <c r="O102" s="3186"/>
      <c r="P102" s="3186"/>
      <c r="Q102" s="3186"/>
      <c r="R102" s="3186"/>
      <c r="S102" s="3186"/>
      <c r="T102" s="3186"/>
      <c r="U102" s="3186"/>
    </row>
    <row r="103" spans="1:21" s="958" customFormat="1" ht="14.25" customHeight="1">
      <c r="A103" s="3151" t="s">
        <v>1152</v>
      </c>
      <c r="B103" s="3151" t="s">
        <v>1095</v>
      </c>
      <c r="C103" s="3151">
        <v>14620</v>
      </c>
      <c r="D103" s="3151">
        <v>14540</v>
      </c>
      <c r="E103" s="3151">
        <v>15240</v>
      </c>
      <c r="F103" s="3157">
        <v>2840</v>
      </c>
      <c r="G103" s="3157">
        <v>9610</v>
      </c>
      <c r="I103" s="969"/>
      <c r="J103" s="3186"/>
      <c r="K103" s="3186"/>
      <c r="L103" s="3186"/>
      <c r="M103" s="3186"/>
      <c r="N103" s="3186"/>
      <c r="O103" s="3186"/>
      <c r="P103" s="3186"/>
      <c r="Q103" s="3186"/>
      <c r="R103" s="3186"/>
      <c r="S103" s="3186"/>
      <c r="T103" s="3186"/>
      <c r="U103" s="3186"/>
    </row>
    <row r="104" spans="1:21" s="958" customFormat="1" ht="14.25" customHeight="1">
      <c r="A104" s="3151" t="s">
        <v>1152</v>
      </c>
      <c r="B104" s="3151" t="s">
        <v>1102</v>
      </c>
      <c r="C104" s="3151">
        <v>13610</v>
      </c>
      <c r="D104" s="3151">
        <v>13540</v>
      </c>
      <c r="E104" s="3151">
        <v>15750</v>
      </c>
      <c r="F104" s="3157">
        <v>2770</v>
      </c>
      <c r="G104" s="3157">
        <v>8940</v>
      </c>
      <c r="I104" s="969"/>
      <c r="J104" s="3186"/>
      <c r="K104" s="3186"/>
      <c r="L104" s="3186"/>
      <c r="M104" s="3186"/>
      <c r="N104" s="3186"/>
      <c r="O104" s="3186"/>
      <c r="P104" s="3186"/>
      <c r="Q104" s="3186"/>
      <c r="R104" s="3186"/>
      <c r="S104" s="3186"/>
      <c r="T104" s="3186"/>
      <c r="U104" s="3186"/>
    </row>
    <row r="105" spans="1:21" s="958" customFormat="1" ht="14.25" customHeight="1">
      <c r="A105" s="3151" t="s">
        <v>1152</v>
      </c>
      <c r="B105" s="3151" t="s">
        <v>1110</v>
      </c>
      <c r="C105" s="3151">
        <v>13310</v>
      </c>
      <c r="D105" s="3151">
        <v>13240</v>
      </c>
      <c r="E105" s="3151">
        <v>16280</v>
      </c>
      <c r="F105" s="3157">
        <v>3210</v>
      </c>
      <c r="G105" s="3157">
        <v>8750</v>
      </c>
      <c r="I105" s="969"/>
      <c r="J105" s="3186"/>
      <c r="K105" s="3186"/>
      <c r="L105" s="3186"/>
      <c r="M105" s="3186"/>
      <c r="N105" s="3186"/>
      <c r="O105" s="3186"/>
      <c r="P105" s="3186"/>
      <c r="Q105" s="3186"/>
      <c r="R105" s="3186"/>
      <c r="S105" s="3186"/>
      <c r="T105" s="3186"/>
      <c r="U105" s="3186"/>
    </row>
    <row r="106" spans="1:21" s="958" customFormat="1" ht="14.25" customHeight="1">
      <c r="A106" s="3151" t="s">
        <v>1152</v>
      </c>
      <c r="B106" s="3151" t="s">
        <v>1117</v>
      </c>
      <c r="C106" s="3151">
        <v>13010</v>
      </c>
      <c r="D106" s="3151">
        <v>12930</v>
      </c>
      <c r="E106" s="3151">
        <v>14960</v>
      </c>
      <c r="F106" s="3157">
        <v>3530</v>
      </c>
      <c r="G106" s="3157">
        <v>8550</v>
      </c>
      <c r="I106" s="969"/>
      <c r="J106" s="3186"/>
      <c r="K106" s="3186"/>
      <c r="L106" s="3186"/>
      <c r="M106" s="3186"/>
      <c r="N106" s="3186"/>
      <c r="O106" s="3186"/>
      <c r="P106" s="3186"/>
      <c r="Q106" s="3186"/>
      <c r="R106" s="3186"/>
      <c r="S106" s="3186"/>
      <c r="T106" s="3186"/>
      <c r="U106" s="3186"/>
    </row>
    <row r="107" spans="1:21" s="958" customFormat="1" ht="14.25" customHeight="1">
      <c r="A107" s="3151" t="s">
        <v>1152</v>
      </c>
      <c r="B107" s="3151" t="s">
        <v>1121</v>
      </c>
      <c r="C107" s="3151">
        <v>13070</v>
      </c>
      <c r="D107" s="3151">
        <v>13000</v>
      </c>
      <c r="E107" s="3151">
        <v>15910</v>
      </c>
      <c r="F107" s="3157">
        <v>3990</v>
      </c>
      <c r="G107" s="3157">
        <v>8580</v>
      </c>
      <c r="I107" s="969"/>
      <c r="J107" s="3186"/>
      <c r="K107" s="3186"/>
      <c r="L107" s="3186"/>
      <c r="M107" s="3186"/>
      <c r="N107" s="3186"/>
      <c r="O107" s="3186"/>
      <c r="P107" s="3186"/>
      <c r="Q107" s="3186"/>
      <c r="R107" s="3186"/>
      <c r="S107" s="3186"/>
      <c r="T107" s="3186"/>
      <c r="U107" s="3186"/>
    </row>
    <row r="108" spans="1:21" s="958" customFormat="1" ht="14.25" customHeight="1">
      <c r="A108" s="3151" t="s">
        <v>1152</v>
      </c>
      <c r="B108" s="3151" t="s">
        <v>1128</v>
      </c>
      <c r="C108" s="3151">
        <v>12640</v>
      </c>
      <c r="D108" s="3151">
        <v>12580</v>
      </c>
      <c r="E108" s="3151">
        <v>15730</v>
      </c>
      <c r="F108" s="3157"/>
      <c r="G108" s="3157">
        <v>8310</v>
      </c>
      <c r="I108" s="969"/>
      <c r="J108" s="3186"/>
      <c r="K108" s="3186"/>
      <c r="L108" s="3186"/>
      <c r="M108" s="3186"/>
      <c r="N108" s="3186"/>
      <c r="O108" s="3186"/>
      <c r="P108" s="3186"/>
      <c r="Q108" s="3186"/>
      <c r="R108" s="3186"/>
      <c r="S108" s="3186"/>
      <c r="T108" s="3186"/>
      <c r="U108" s="3186"/>
    </row>
    <row r="109" spans="1:21" s="958" customFormat="1" ht="14.25" customHeight="1">
      <c r="A109" s="3151" t="s">
        <v>1152</v>
      </c>
      <c r="B109" s="3151" t="s">
        <v>1131</v>
      </c>
      <c r="C109" s="3151">
        <v>13130</v>
      </c>
      <c r="D109" s="3151">
        <v>13070</v>
      </c>
      <c r="E109" s="3151">
        <v>15000</v>
      </c>
      <c r="F109" s="3157"/>
      <c r="G109" s="3164">
        <v>8630</v>
      </c>
      <c r="I109" s="969"/>
      <c r="J109" s="3186"/>
      <c r="K109" s="3186"/>
      <c r="L109" s="3186"/>
      <c r="M109" s="3186"/>
      <c r="N109" s="3186"/>
      <c r="O109" s="3186"/>
      <c r="P109" s="3186"/>
      <c r="Q109" s="3186"/>
      <c r="R109" s="3186"/>
      <c r="S109" s="3186"/>
      <c r="T109" s="3186"/>
      <c r="U109" s="3186"/>
    </row>
    <row r="110" spans="1:21" s="958" customFormat="1" ht="14.25" customHeight="1">
      <c r="A110" s="3151" t="s">
        <v>1152</v>
      </c>
      <c r="B110" s="1213" t="s">
        <v>1133</v>
      </c>
      <c r="C110" s="1213">
        <v>13560</v>
      </c>
      <c r="D110" s="1213">
        <v>13490</v>
      </c>
      <c r="E110" s="1213">
        <v>16300</v>
      </c>
      <c r="F110" s="3152"/>
      <c r="G110" s="3152">
        <v>8920</v>
      </c>
      <c r="I110" s="969"/>
      <c r="J110" s="3186"/>
      <c r="K110" s="3186"/>
      <c r="L110" s="3186"/>
      <c r="M110" s="3186"/>
      <c r="N110" s="3186"/>
      <c r="O110" s="3186"/>
      <c r="P110" s="3186"/>
      <c r="Q110" s="3186"/>
      <c r="R110" s="3186"/>
      <c r="S110" s="3186"/>
      <c r="T110" s="3186"/>
      <c r="U110" s="3186"/>
    </row>
    <row r="111" spans="1:21" s="958" customFormat="1" ht="14.25" customHeight="1">
      <c r="A111" s="3151" t="s">
        <v>1152</v>
      </c>
      <c r="B111" s="3151" t="s">
        <v>1136</v>
      </c>
      <c r="C111" s="3151">
        <v>12440</v>
      </c>
      <c r="D111" s="3151">
        <v>12380</v>
      </c>
      <c r="E111" s="3151">
        <v>17850</v>
      </c>
      <c r="F111" s="3157"/>
      <c r="G111" s="3157">
        <v>8180</v>
      </c>
      <c r="I111" s="969"/>
      <c r="J111" s="3186"/>
      <c r="K111" s="3186"/>
      <c r="L111" s="3186"/>
      <c r="M111" s="3186"/>
      <c r="N111" s="3186"/>
      <c r="O111" s="3186"/>
      <c r="P111" s="3186"/>
      <c r="Q111" s="3186"/>
      <c r="R111" s="3186"/>
      <c r="S111" s="3186"/>
      <c r="T111" s="3186"/>
      <c r="U111" s="3186"/>
    </row>
    <row r="112" spans="1:21" s="958" customFormat="1" ht="14.25" customHeight="1">
      <c r="A112" s="3151" t="s">
        <v>1152</v>
      </c>
      <c r="B112" s="3151" t="s">
        <v>1140</v>
      </c>
      <c r="C112" s="3151">
        <v>13260</v>
      </c>
      <c r="D112" s="3151">
        <v>13180</v>
      </c>
      <c r="E112" s="3151">
        <v>19740</v>
      </c>
      <c r="F112" s="3157"/>
      <c r="G112" s="3157">
        <v>8710</v>
      </c>
      <c r="I112" s="969"/>
      <c r="J112" s="3186"/>
      <c r="K112" s="3186"/>
      <c r="L112" s="3186"/>
      <c r="M112" s="3186"/>
      <c r="N112" s="3186"/>
      <c r="O112" s="3186"/>
      <c r="P112" s="3186"/>
      <c r="Q112" s="3186"/>
      <c r="R112" s="3186"/>
      <c r="S112" s="3186"/>
      <c r="T112" s="3186"/>
      <c r="U112" s="3186"/>
    </row>
    <row r="113" spans="1:21" s="958" customFormat="1" ht="14.25" customHeight="1">
      <c r="A113" s="3151" t="s">
        <v>1152</v>
      </c>
      <c r="B113" s="3151" t="s">
        <v>2834</v>
      </c>
      <c r="C113" s="3151">
        <v>15520</v>
      </c>
      <c r="D113" s="3151">
        <v>15450</v>
      </c>
      <c r="E113" s="3151"/>
      <c r="F113" s="3157"/>
      <c r="G113" s="3157">
        <v>10210</v>
      </c>
      <c r="I113" s="969"/>
      <c r="J113" s="3186"/>
      <c r="K113" s="3186"/>
      <c r="L113" s="3186"/>
      <c r="M113" s="3186"/>
      <c r="N113" s="3186"/>
      <c r="O113" s="3186"/>
      <c r="P113" s="3186"/>
      <c r="Q113" s="3186"/>
      <c r="R113" s="3186"/>
      <c r="S113" s="3186"/>
      <c r="T113" s="3186"/>
      <c r="U113" s="3186"/>
    </row>
    <row r="114" spans="1:21" s="958" customFormat="1" ht="14.25" customHeight="1">
      <c r="A114" s="3151" t="s">
        <v>1152</v>
      </c>
      <c r="B114" s="3151" t="s">
        <v>2835</v>
      </c>
      <c r="C114" s="3151">
        <v>13110</v>
      </c>
      <c r="D114" s="3151">
        <v>13050</v>
      </c>
      <c r="E114" s="3151"/>
      <c r="F114" s="3157"/>
      <c r="G114" s="3157">
        <v>8620</v>
      </c>
      <c r="I114" s="969"/>
      <c r="J114" s="3186"/>
      <c r="K114" s="3186"/>
      <c r="L114" s="3186"/>
      <c r="M114" s="3186"/>
      <c r="N114" s="3186"/>
      <c r="O114" s="3186"/>
      <c r="P114" s="3186"/>
      <c r="Q114" s="3186"/>
      <c r="R114" s="3186"/>
      <c r="S114" s="3186"/>
      <c r="T114" s="3186"/>
      <c r="U114" s="3186"/>
    </row>
    <row r="115" spans="1:21" s="958" customFormat="1" ht="14.25" customHeight="1">
      <c r="A115" s="3151" t="s">
        <v>1152</v>
      </c>
      <c r="B115" s="3151" t="s">
        <v>2836</v>
      </c>
      <c r="C115" s="3151">
        <v>12460</v>
      </c>
      <c r="D115" s="3151">
        <v>12390</v>
      </c>
      <c r="E115" s="3151"/>
      <c r="F115" s="3157"/>
      <c r="G115" s="3157">
        <v>8190</v>
      </c>
      <c r="I115" s="969"/>
      <c r="J115" s="3186"/>
      <c r="K115" s="3186"/>
      <c r="L115" s="3186"/>
      <c r="M115" s="3186"/>
      <c r="N115" s="3186"/>
      <c r="O115" s="3186"/>
      <c r="P115" s="3186"/>
      <c r="Q115" s="3186"/>
      <c r="R115" s="3186"/>
      <c r="S115" s="3186"/>
      <c r="T115" s="3186"/>
      <c r="U115" s="3186"/>
    </row>
    <row r="116" spans="1:21" s="958" customFormat="1" ht="14.25" customHeight="1">
      <c r="A116" s="3151" t="s">
        <v>1152</v>
      </c>
      <c r="B116" s="3151" t="s">
        <v>2837</v>
      </c>
      <c r="C116" s="3151">
        <v>13580</v>
      </c>
      <c r="D116" s="3151">
        <v>13520</v>
      </c>
      <c r="E116" s="3151"/>
      <c r="F116" s="3157"/>
      <c r="G116" s="3157">
        <v>8930</v>
      </c>
      <c r="I116" s="969"/>
      <c r="J116" s="3186"/>
      <c r="K116" s="3186"/>
      <c r="L116" s="3186"/>
      <c r="M116" s="3186"/>
      <c r="N116" s="3186"/>
      <c r="O116" s="3186"/>
      <c r="P116" s="3186"/>
      <c r="Q116" s="3186"/>
      <c r="R116" s="3186"/>
      <c r="S116" s="3186"/>
      <c r="T116" s="3186"/>
      <c r="U116" s="3186"/>
    </row>
    <row r="117" spans="1:21" s="958" customFormat="1" ht="14.25" customHeight="1">
      <c r="A117" s="3151" t="s">
        <v>1152</v>
      </c>
      <c r="B117" s="3151" t="s">
        <v>2838</v>
      </c>
      <c r="C117" s="3151">
        <v>17120</v>
      </c>
      <c r="D117" s="3151">
        <v>17040</v>
      </c>
      <c r="E117" s="3151"/>
      <c r="F117" s="3157"/>
      <c r="G117" s="3157">
        <v>11260</v>
      </c>
      <c r="I117" s="969"/>
      <c r="J117" s="3186"/>
      <c r="K117" s="3186"/>
      <c r="L117" s="3186"/>
      <c r="M117" s="3186"/>
      <c r="N117" s="3186"/>
      <c r="O117" s="3186"/>
      <c r="P117" s="3186"/>
      <c r="Q117" s="3186"/>
      <c r="R117" s="3186"/>
      <c r="S117" s="3186"/>
      <c r="T117" s="3186"/>
      <c r="U117" s="3186"/>
    </row>
    <row r="118" spans="1:21" s="958" customFormat="1" ht="14.25" customHeight="1">
      <c r="A118" s="3151" t="s">
        <v>1152</v>
      </c>
      <c r="B118" s="3151" t="s">
        <v>2839</v>
      </c>
      <c r="C118" s="3151">
        <v>14860</v>
      </c>
      <c r="D118" s="3151">
        <v>14790</v>
      </c>
      <c r="E118" s="3151"/>
      <c r="F118" s="3157"/>
      <c r="G118" s="3157">
        <v>9780</v>
      </c>
      <c r="I118" s="969"/>
      <c r="J118" s="3186"/>
      <c r="K118" s="3186"/>
      <c r="L118" s="3186"/>
      <c r="M118" s="3186"/>
      <c r="N118" s="3186"/>
      <c r="O118" s="3186"/>
      <c r="P118" s="3186"/>
      <c r="Q118" s="3186"/>
      <c r="R118" s="3186"/>
      <c r="S118" s="3186"/>
      <c r="T118" s="3186"/>
      <c r="U118" s="3186"/>
    </row>
    <row r="119" spans="1:21" s="958" customFormat="1" ht="14.25" customHeight="1">
      <c r="A119" s="3151" t="s">
        <v>1152</v>
      </c>
      <c r="B119" s="3151" t="s">
        <v>2840</v>
      </c>
      <c r="C119" s="3151">
        <v>16470</v>
      </c>
      <c r="D119" s="3151">
        <v>16400</v>
      </c>
      <c r="E119" s="3151"/>
      <c r="F119" s="3157"/>
      <c r="G119" s="3157">
        <v>10840</v>
      </c>
      <c r="I119" s="969"/>
      <c r="J119" s="3186"/>
      <c r="K119" s="3186"/>
      <c r="L119" s="3186"/>
      <c r="M119" s="3186"/>
      <c r="N119" s="3186"/>
      <c r="O119" s="3186"/>
      <c r="P119" s="3186"/>
      <c r="Q119" s="3186"/>
      <c r="R119" s="3186"/>
      <c r="S119" s="3186"/>
      <c r="T119" s="3186"/>
      <c r="U119" s="3186"/>
    </row>
    <row r="120" spans="1:21" s="958" customFormat="1" ht="14.25" customHeight="1">
      <c r="A120" s="3151" t="s">
        <v>1152</v>
      </c>
      <c r="B120" s="3151" t="s">
        <v>2841</v>
      </c>
      <c r="C120" s="3151"/>
      <c r="D120" s="3151"/>
      <c r="E120" s="3151"/>
      <c r="F120" s="3157">
        <v>4160</v>
      </c>
      <c r="G120" s="3157"/>
      <c r="I120" s="969"/>
      <c r="J120" s="3186"/>
      <c r="K120" s="3186"/>
      <c r="L120" s="3186"/>
      <c r="M120" s="3186"/>
      <c r="N120" s="3186"/>
      <c r="O120" s="3186"/>
      <c r="P120" s="3186"/>
      <c r="Q120" s="3186"/>
      <c r="R120" s="3186"/>
      <c r="S120" s="3186"/>
      <c r="T120" s="3186"/>
      <c r="U120" s="3186"/>
    </row>
    <row r="121" spans="1:21" s="958" customFormat="1" ht="14.25" customHeight="1">
      <c r="A121" s="3151" t="s">
        <v>1152</v>
      </c>
      <c r="B121" s="3151" t="s">
        <v>2842</v>
      </c>
      <c r="C121" s="3151"/>
      <c r="D121" s="3151"/>
      <c r="E121" s="3151"/>
      <c r="F121" s="3157">
        <v>3880</v>
      </c>
      <c r="G121" s="3157"/>
      <c r="I121" s="969"/>
      <c r="J121" s="3186"/>
      <c r="K121" s="3186"/>
      <c r="L121" s="3186"/>
      <c r="M121" s="3186"/>
      <c r="N121" s="3186"/>
      <c r="O121" s="3186"/>
      <c r="P121" s="3186"/>
      <c r="Q121" s="3186"/>
      <c r="R121" s="3186"/>
      <c r="S121" s="3186"/>
      <c r="T121" s="3186"/>
      <c r="U121" s="3186"/>
    </row>
    <row r="122" spans="1:21" s="958" customFormat="1" ht="14.25" customHeight="1">
      <c r="A122" s="3151" t="s">
        <v>1152</v>
      </c>
      <c r="B122" s="3151" t="s">
        <v>2843</v>
      </c>
      <c r="C122" s="3151">
        <v>13750</v>
      </c>
      <c r="D122" s="3151">
        <v>13680</v>
      </c>
      <c r="E122" s="3151">
        <v>16460</v>
      </c>
      <c r="F122" s="3157">
        <v>2880</v>
      </c>
      <c r="G122" s="3157">
        <v>9040</v>
      </c>
      <c r="I122" s="969"/>
      <c r="J122" s="3186"/>
      <c r="K122" s="3186"/>
      <c r="L122" s="3186"/>
      <c r="M122" s="3186"/>
      <c r="N122" s="3186"/>
      <c r="O122" s="3186"/>
      <c r="P122" s="3186"/>
      <c r="Q122" s="3186"/>
      <c r="R122" s="3186"/>
      <c r="S122" s="3186"/>
      <c r="T122" s="3186"/>
      <c r="U122" s="3186"/>
    </row>
    <row r="123" spans="1:21" s="958" customFormat="1" ht="14.25" customHeight="1">
      <c r="A123" s="3151" t="s">
        <v>1152</v>
      </c>
      <c r="B123" s="3151" t="s">
        <v>2844</v>
      </c>
      <c r="C123" s="3151">
        <v>13590</v>
      </c>
      <c r="D123" s="3151">
        <v>13520</v>
      </c>
      <c r="E123" s="3151">
        <v>16290</v>
      </c>
      <c r="F123" s="3157">
        <v>2790</v>
      </c>
      <c r="G123" s="3157">
        <v>8930</v>
      </c>
      <c r="I123" s="969"/>
      <c r="J123" s="3186"/>
      <c r="K123" s="3186"/>
      <c r="L123" s="3186"/>
      <c r="M123" s="3186"/>
      <c r="N123" s="3186"/>
      <c r="O123" s="3186"/>
      <c r="P123" s="3186"/>
      <c r="Q123" s="3186"/>
      <c r="R123" s="3186"/>
      <c r="S123" s="3186"/>
      <c r="T123" s="3186"/>
      <c r="U123" s="3186"/>
    </row>
    <row r="124" spans="1:21" s="958" customFormat="1" ht="14.25" customHeight="1">
      <c r="A124" s="3151" t="s">
        <v>1152</v>
      </c>
      <c r="B124" s="3151" t="s">
        <v>2845</v>
      </c>
      <c r="C124" s="3151">
        <v>13400</v>
      </c>
      <c r="D124" s="3151">
        <v>13320</v>
      </c>
      <c r="E124" s="3151">
        <v>16100</v>
      </c>
      <c r="F124" s="3157">
        <v>2320</v>
      </c>
      <c r="G124" s="3159">
        <v>8800</v>
      </c>
      <c r="I124" s="969"/>
      <c r="J124" s="3186"/>
      <c r="K124" s="3186"/>
      <c r="L124" s="3186"/>
      <c r="M124" s="3186"/>
      <c r="N124" s="3186"/>
      <c r="O124" s="3186"/>
      <c r="P124" s="3186"/>
      <c r="Q124" s="3186"/>
      <c r="R124" s="3186"/>
      <c r="S124" s="3186"/>
      <c r="T124" s="3186"/>
      <c r="U124" s="3186"/>
    </row>
    <row r="125" spans="1:21" s="958" customFormat="1" ht="14.25" customHeight="1">
      <c r="A125" s="3151" t="s">
        <v>1152</v>
      </c>
      <c r="B125" s="1211" t="s">
        <v>2846</v>
      </c>
      <c r="C125" s="1211">
        <v>12860</v>
      </c>
      <c r="D125" s="1211">
        <v>12790</v>
      </c>
      <c r="E125" s="1211">
        <v>15370</v>
      </c>
      <c r="F125" s="3162">
        <v>2280</v>
      </c>
      <c r="G125" s="3169">
        <v>8450</v>
      </c>
      <c r="I125" s="969"/>
      <c r="J125" s="3186"/>
      <c r="K125" s="3186"/>
      <c r="L125" s="3186"/>
      <c r="M125" s="3186"/>
      <c r="N125" s="3186"/>
      <c r="O125" s="3186"/>
      <c r="P125" s="3186"/>
      <c r="Q125" s="3186"/>
      <c r="R125" s="3186"/>
      <c r="S125" s="3186"/>
      <c r="T125" s="3186"/>
      <c r="U125" s="3186"/>
    </row>
    <row r="126" spans="1:21" s="958" customFormat="1" ht="14.25" customHeight="1" thickBot="1">
      <c r="A126" s="3166" t="s">
        <v>1152</v>
      </c>
      <c r="B126" s="3154" t="s">
        <v>2847</v>
      </c>
      <c r="C126" s="3154">
        <v>12960</v>
      </c>
      <c r="D126" s="3154">
        <v>12890</v>
      </c>
      <c r="E126" s="3154">
        <v>15530</v>
      </c>
      <c r="F126" s="3155">
        <v>2910</v>
      </c>
      <c r="G126" s="3170">
        <v>8520</v>
      </c>
      <c r="I126" s="969"/>
      <c r="J126" s="3186"/>
      <c r="K126" s="3186"/>
      <c r="L126" s="3186"/>
      <c r="M126" s="3186"/>
      <c r="N126" s="3186"/>
      <c r="O126" s="3186"/>
      <c r="P126" s="3186"/>
      <c r="Q126" s="3186"/>
      <c r="R126" s="3186"/>
      <c r="S126" s="3186"/>
      <c r="T126" s="3186"/>
      <c r="U126" s="3186"/>
    </row>
    <row r="127" spans="1:21" s="958" customFormat="1" ht="14.25" customHeight="1">
      <c r="A127" s="3165" t="s">
        <v>1153</v>
      </c>
      <c r="B127" s="1213" t="s">
        <v>2848</v>
      </c>
      <c r="C127" s="1213">
        <v>12280</v>
      </c>
      <c r="D127" s="1213">
        <v>12250</v>
      </c>
      <c r="E127" s="1213">
        <v>15130</v>
      </c>
      <c r="F127" s="3152">
        <v>2710</v>
      </c>
      <c r="G127" s="3168">
        <v>7870</v>
      </c>
      <c r="I127" s="969"/>
      <c r="J127" s="3186"/>
      <c r="K127" s="3186"/>
      <c r="L127" s="3186"/>
      <c r="M127" s="3186"/>
      <c r="N127" s="3186"/>
      <c r="O127" s="3186"/>
      <c r="P127" s="3186"/>
      <c r="Q127" s="3186"/>
      <c r="R127" s="3186"/>
      <c r="S127" s="3186"/>
      <c r="T127" s="3186"/>
      <c r="U127" s="3186"/>
    </row>
    <row r="128" spans="1:21" s="958" customFormat="1" ht="14.25" customHeight="1">
      <c r="A128" s="3151" t="s">
        <v>1153</v>
      </c>
      <c r="B128" s="3151" t="s">
        <v>977</v>
      </c>
      <c r="C128" s="3151">
        <v>13180</v>
      </c>
      <c r="D128" s="3151">
        <v>13150</v>
      </c>
      <c r="E128" s="3151">
        <v>16190</v>
      </c>
      <c r="F128" s="3157">
        <v>2820</v>
      </c>
      <c r="G128" s="3159">
        <v>8460</v>
      </c>
      <c r="I128" s="969"/>
      <c r="J128" s="3186"/>
      <c r="K128" s="3186"/>
      <c r="L128" s="3186"/>
      <c r="M128" s="3186"/>
      <c r="N128" s="3186"/>
      <c r="O128" s="3186"/>
      <c r="P128" s="3186"/>
      <c r="Q128" s="3186"/>
      <c r="R128" s="3186"/>
      <c r="S128" s="3186"/>
      <c r="T128" s="3186"/>
      <c r="U128" s="3186"/>
    </row>
    <row r="129" spans="1:21" s="958" customFormat="1" ht="14.25" customHeight="1">
      <c r="A129" s="3151" t="s">
        <v>1153</v>
      </c>
      <c r="B129" s="3151" t="s">
        <v>987</v>
      </c>
      <c r="C129" s="3151">
        <v>10950</v>
      </c>
      <c r="D129" s="3151">
        <v>10920</v>
      </c>
      <c r="E129" s="3151">
        <v>13820</v>
      </c>
      <c r="F129" s="3157">
        <v>2500</v>
      </c>
      <c r="G129" s="3159">
        <v>7020</v>
      </c>
      <c r="I129" s="969"/>
      <c r="J129" s="3186"/>
      <c r="K129" s="3186"/>
      <c r="L129" s="3186"/>
      <c r="M129" s="3186"/>
      <c r="N129" s="3186"/>
      <c r="O129" s="3186"/>
      <c r="P129" s="3186"/>
      <c r="Q129" s="3186"/>
      <c r="R129" s="3186"/>
      <c r="S129" s="3186"/>
      <c r="T129" s="3186"/>
      <c r="U129" s="3186"/>
    </row>
    <row r="130" spans="1:21" s="958" customFormat="1" ht="14.25" customHeight="1">
      <c r="A130" s="3151" t="s">
        <v>1153</v>
      </c>
      <c r="B130" s="3151" t="s">
        <v>996</v>
      </c>
      <c r="C130" s="3151">
        <v>10910</v>
      </c>
      <c r="D130" s="3151">
        <v>10860</v>
      </c>
      <c r="E130" s="3151">
        <v>13730</v>
      </c>
      <c r="F130" s="3157">
        <v>2760</v>
      </c>
      <c r="G130" s="3159">
        <v>6990</v>
      </c>
      <c r="I130" s="969"/>
      <c r="J130" s="3186"/>
      <c r="K130" s="3186"/>
      <c r="L130" s="3186"/>
      <c r="M130" s="3186"/>
      <c r="N130" s="3186"/>
      <c r="O130" s="3186"/>
      <c r="P130" s="3186"/>
      <c r="Q130" s="3186"/>
      <c r="R130" s="3186"/>
      <c r="S130" s="3186"/>
      <c r="T130" s="3186"/>
      <c r="U130" s="3186"/>
    </row>
    <row r="131" spans="1:21" s="958" customFormat="1" ht="14.25" customHeight="1">
      <c r="A131" s="3151" t="s">
        <v>1153</v>
      </c>
      <c r="B131" s="3151" t="s">
        <v>1006</v>
      </c>
      <c r="C131" s="3151">
        <v>12910</v>
      </c>
      <c r="D131" s="3151">
        <v>12870</v>
      </c>
      <c r="E131" s="3151">
        <v>15720</v>
      </c>
      <c r="F131" s="3157">
        <v>2750</v>
      </c>
      <c r="G131" s="3159">
        <v>8280</v>
      </c>
      <c r="I131" s="969"/>
      <c r="J131" s="3186"/>
      <c r="K131" s="3186"/>
      <c r="L131" s="3186"/>
      <c r="M131" s="3186"/>
      <c r="N131" s="3186"/>
      <c r="O131" s="3186"/>
      <c r="P131" s="3186"/>
      <c r="Q131" s="3186"/>
      <c r="R131" s="3186"/>
      <c r="S131" s="3186"/>
      <c r="T131" s="3186"/>
      <c r="U131" s="3186"/>
    </row>
    <row r="132" spans="1:21" s="958" customFormat="1" ht="14.25" customHeight="1">
      <c r="A132" s="3151" t="s">
        <v>1153</v>
      </c>
      <c r="B132" s="3151" t="s">
        <v>1013</v>
      </c>
      <c r="C132" s="3151">
        <v>11910</v>
      </c>
      <c r="D132" s="3151">
        <v>11860</v>
      </c>
      <c r="E132" s="3151">
        <v>14730</v>
      </c>
      <c r="F132" s="3157">
        <v>2360</v>
      </c>
      <c r="G132" s="3159">
        <v>7630</v>
      </c>
      <c r="I132" s="969"/>
      <c r="J132" s="3186"/>
      <c r="K132" s="3186"/>
      <c r="L132" s="3186"/>
      <c r="M132" s="3186"/>
      <c r="N132" s="3186"/>
      <c r="O132" s="3186"/>
      <c r="P132" s="3186"/>
      <c r="Q132" s="3186"/>
      <c r="R132" s="3186"/>
      <c r="S132" s="3186"/>
      <c r="T132" s="3186"/>
      <c r="U132" s="3186"/>
    </row>
    <row r="133" spans="1:21" s="958" customFormat="1" ht="14.25" customHeight="1">
      <c r="A133" s="3151" t="s">
        <v>1153</v>
      </c>
      <c r="B133" s="3151" t="s">
        <v>1019</v>
      </c>
      <c r="C133" s="3151">
        <v>12270</v>
      </c>
      <c r="D133" s="3151">
        <v>12210</v>
      </c>
      <c r="E133" s="3151">
        <v>15010</v>
      </c>
      <c r="F133" s="3157">
        <v>2580</v>
      </c>
      <c r="G133" s="3159">
        <v>7860</v>
      </c>
      <c r="I133" s="969"/>
      <c r="J133" s="3186"/>
      <c r="K133" s="3186"/>
      <c r="L133" s="3186"/>
      <c r="M133" s="3186"/>
      <c r="N133" s="3186"/>
      <c r="O133" s="3186"/>
      <c r="P133" s="3186"/>
      <c r="Q133" s="3186"/>
      <c r="R133" s="3186"/>
      <c r="S133" s="3186"/>
      <c r="T133" s="3186"/>
      <c r="U133" s="3186"/>
    </row>
    <row r="134" spans="1:21" s="958" customFormat="1" ht="14.25" customHeight="1">
      <c r="A134" s="3151" t="s">
        <v>1153</v>
      </c>
      <c r="B134" s="3151" t="s">
        <v>1026</v>
      </c>
      <c r="C134" s="3151">
        <v>10800</v>
      </c>
      <c r="D134" s="3151">
        <v>10780</v>
      </c>
      <c r="E134" s="3151">
        <v>13640</v>
      </c>
      <c r="F134" s="3157">
        <v>2110</v>
      </c>
      <c r="G134" s="3157">
        <v>6930</v>
      </c>
      <c r="I134" s="969"/>
      <c r="J134" s="3186"/>
      <c r="K134" s="3186"/>
      <c r="L134" s="3186"/>
      <c r="M134" s="3186"/>
      <c r="N134" s="3186"/>
      <c r="O134" s="3186"/>
      <c r="P134" s="3186"/>
      <c r="Q134" s="3186"/>
      <c r="R134" s="3186"/>
      <c r="S134" s="3186"/>
      <c r="T134" s="3186"/>
      <c r="U134" s="3186"/>
    </row>
    <row r="135" spans="1:21" s="958" customFormat="1" ht="14.25" customHeight="1">
      <c r="A135" s="3151" t="s">
        <v>1153</v>
      </c>
      <c r="B135" s="3151" t="s">
        <v>1036</v>
      </c>
      <c r="C135" s="3151">
        <v>10430</v>
      </c>
      <c r="D135" s="3151">
        <v>10390</v>
      </c>
      <c r="E135" s="3151">
        <v>13140</v>
      </c>
      <c r="F135" s="3157">
        <v>2240</v>
      </c>
      <c r="G135" s="3159">
        <v>6680</v>
      </c>
      <c r="I135" s="969"/>
      <c r="J135" s="3186"/>
      <c r="K135" s="3186"/>
      <c r="L135" s="3186"/>
      <c r="M135" s="3186"/>
      <c r="N135" s="3186"/>
      <c r="O135" s="3186"/>
      <c r="P135" s="3186"/>
      <c r="Q135" s="3186"/>
      <c r="R135" s="3186"/>
      <c r="S135" s="3186"/>
      <c r="T135" s="3186"/>
      <c r="U135" s="3186"/>
    </row>
    <row r="136" spans="1:21" s="958" customFormat="1" ht="14.25" customHeight="1">
      <c r="A136" s="3151" t="s">
        <v>1153</v>
      </c>
      <c r="B136" s="3151" t="s">
        <v>1045</v>
      </c>
      <c r="C136" s="3151">
        <v>11930</v>
      </c>
      <c r="D136" s="3151">
        <v>11880</v>
      </c>
      <c r="E136" s="3151">
        <v>14770</v>
      </c>
      <c r="F136" s="3157">
        <v>1970</v>
      </c>
      <c r="G136" s="3159">
        <v>7640</v>
      </c>
      <c r="I136" s="969"/>
      <c r="J136" s="3186"/>
      <c r="K136" s="3186"/>
      <c r="L136" s="3186"/>
      <c r="M136" s="3186"/>
      <c r="N136" s="3186"/>
      <c r="O136" s="3186"/>
      <c r="P136" s="3186"/>
      <c r="Q136" s="3186"/>
      <c r="R136" s="3186"/>
      <c r="S136" s="3186"/>
      <c r="T136" s="3186"/>
      <c r="U136" s="3186"/>
    </row>
    <row r="137" spans="1:21" s="958" customFormat="1" ht="14.25" customHeight="1">
      <c r="A137" s="3151" t="s">
        <v>1153</v>
      </c>
      <c r="B137" s="3151" t="s">
        <v>1052</v>
      </c>
      <c r="C137" s="3151">
        <v>10470</v>
      </c>
      <c r="D137" s="3151">
        <v>10430</v>
      </c>
      <c r="E137" s="3151">
        <v>13190</v>
      </c>
      <c r="F137" s="3157">
        <v>1990</v>
      </c>
      <c r="G137" s="3159">
        <v>6710</v>
      </c>
      <c r="I137" s="969"/>
      <c r="J137" s="3186"/>
      <c r="K137" s="3186"/>
      <c r="L137" s="3186"/>
      <c r="M137" s="3186"/>
      <c r="N137" s="3186"/>
      <c r="O137" s="3186"/>
      <c r="P137" s="3186"/>
      <c r="Q137" s="3186"/>
      <c r="R137" s="3186"/>
      <c r="S137" s="3186"/>
      <c r="T137" s="3186"/>
      <c r="U137" s="3186"/>
    </row>
    <row r="138" spans="1:21" s="958" customFormat="1" ht="14.25" customHeight="1">
      <c r="A138" s="3151" t="s">
        <v>1153</v>
      </c>
      <c r="B138" s="3151" t="s">
        <v>1059</v>
      </c>
      <c r="C138" s="3151">
        <v>10410</v>
      </c>
      <c r="D138" s="3151">
        <v>10380</v>
      </c>
      <c r="E138" s="3151">
        <v>13130</v>
      </c>
      <c r="F138" s="3157">
        <v>2030</v>
      </c>
      <c r="G138" s="3159">
        <v>6680</v>
      </c>
      <c r="I138" s="969"/>
      <c r="J138" s="3186"/>
      <c r="K138" s="3186"/>
      <c r="L138" s="3186"/>
      <c r="M138" s="3186"/>
      <c r="N138" s="3186"/>
      <c r="O138" s="3186"/>
      <c r="P138" s="3186"/>
      <c r="Q138" s="3186"/>
      <c r="R138" s="3186"/>
      <c r="S138" s="3186"/>
      <c r="T138" s="3186"/>
      <c r="U138" s="3186"/>
    </row>
    <row r="139" spans="1:21" s="958" customFormat="1" ht="14.25" customHeight="1">
      <c r="A139" s="3151" t="s">
        <v>1153</v>
      </c>
      <c r="B139" s="3151" t="s">
        <v>1066</v>
      </c>
      <c r="C139" s="3151">
        <v>9460</v>
      </c>
      <c r="D139" s="3151">
        <v>9410</v>
      </c>
      <c r="E139" s="3151">
        <v>12050</v>
      </c>
      <c r="F139" s="3157">
        <v>2140</v>
      </c>
      <c r="G139" s="3157">
        <v>6050</v>
      </c>
      <c r="I139" s="969"/>
      <c r="J139" s="3186"/>
      <c r="K139" s="3186"/>
      <c r="L139" s="3186"/>
      <c r="M139" s="3186"/>
      <c r="N139" s="3186"/>
      <c r="O139" s="3186"/>
      <c r="P139" s="3186"/>
      <c r="Q139" s="3186"/>
      <c r="R139" s="3186"/>
      <c r="S139" s="3186"/>
      <c r="T139" s="3186"/>
      <c r="U139" s="3186"/>
    </row>
    <row r="140" spans="1:21" s="958" customFormat="1" ht="14.25" customHeight="1">
      <c r="A140" s="3151" t="s">
        <v>1153</v>
      </c>
      <c r="B140" s="3151" t="s">
        <v>1074</v>
      </c>
      <c r="C140" s="3151">
        <v>11030</v>
      </c>
      <c r="D140" s="3151">
        <v>10980</v>
      </c>
      <c r="E140" s="3151">
        <v>13880</v>
      </c>
      <c r="F140" s="3157">
        <v>2210</v>
      </c>
      <c r="G140" s="3157">
        <v>7060</v>
      </c>
      <c r="I140" s="969"/>
      <c r="J140" s="3186"/>
      <c r="K140" s="3186"/>
      <c r="L140" s="3186"/>
      <c r="M140" s="3186"/>
      <c r="N140" s="3186"/>
      <c r="O140" s="3186"/>
      <c r="P140" s="3186"/>
      <c r="Q140" s="3186"/>
      <c r="R140" s="3186"/>
      <c r="S140" s="3186"/>
      <c r="T140" s="3186"/>
      <c r="U140" s="3186"/>
    </row>
    <row r="141" spans="1:21" s="958" customFormat="1" ht="14.25" customHeight="1">
      <c r="A141" s="3151" t="s">
        <v>1153</v>
      </c>
      <c r="B141" s="3151" t="s">
        <v>1082</v>
      </c>
      <c r="C141" s="3151">
        <v>11200</v>
      </c>
      <c r="D141" s="3151">
        <v>11150</v>
      </c>
      <c r="E141" s="3151">
        <v>14100</v>
      </c>
      <c r="F141" s="3157">
        <v>2470</v>
      </c>
      <c r="G141" s="3159">
        <v>7170</v>
      </c>
      <c r="I141" s="969"/>
      <c r="J141" s="3186"/>
      <c r="K141" s="3186"/>
      <c r="L141" s="3186"/>
      <c r="M141" s="3186"/>
      <c r="N141" s="3186"/>
      <c r="O141" s="3186"/>
      <c r="P141" s="3186"/>
      <c r="Q141" s="3186"/>
      <c r="R141" s="3186"/>
      <c r="S141" s="3186"/>
      <c r="T141" s="3186"/>
      <c r="U141" s="3186"/>
    </row>
    <row r="142" spans="1:21" s="958" customFormat="1" ht="14.25" customHeight="1">
      <c r="A142" s="3151" t="s">
        <v>1153</v>
      </c>
      <c r="B142" s="3151" t="s">
        <v>1087</v>
      </c>
      <c r="C142" s="3151">
        <v>10780</v>
      </c>
      <c r="D142" s="3151">
        <v>10730</v>
      </c>
      <c r="E142" s="3151">
        <v>13540</v>
      </c>
      <c r="F142" s="3157">
        <v>2280</v>
      </c>
      <c r="G142" s="3159">
        <v>6900</v>
      </c>
      <c r="I142" s="969"/>
      <c r="J142" s="3186"/>
      <c r="K142" s="3186"/>
      <c r="L142" s="3186"/>
      <c r="M142" s="3186"/>
      <c r="N142" s="3186"/>
      <c r="O142" s="3186"/>
      <c r="P142" s="3186"/>
      <c r="Q142" s="3186"/>
      <c r="R142" s="3186"/>
      <c r="S142" s="3186"/>
      <c r="T142" s="3186"/>
      <c r="U142" s="3186"/>
    </row>
    <row r="143" spans="1:21" s="958" customFormat="1" ht="14.25" customHeight="1">
      <c r="A143" s="3151" t="s">
        <v>1153</v>
      </c>
      <c r="B143" s="3151" t="s">
        <v>1096</v>
      </c>
      <c r="C143" s="3151">
        <v>11550</v>
      </c>
      <c r="D143" s="3151">
        <v>11490</v>
      </c>
      <c r="E143" s="3151">
        <v>14480</v>
      </c>
      <c r="F143" s="3157">
        <v>2070</v>
      </c>
      <c r="G143" s="3159">
        <v>7390</v>
      </c>
      <c r="I143" s="969"/>
      <c r="J143" s="3186"/>
      <c r="K143" s="3186"/>
      <c r="L143" s="3186"/>
      <c r="M143" s="3186"/>
      <c r="N143" s="3186"/>
      <c r="O143" s="3186"/>
      <c r="P143" s="3186"/>
      <c r="Q143" s="3186"/>
      <c r="R143" s="3186"/>
      <c r="S143" s="3186"/>
      <c r="T143" s="3186"/>
      <c r="U143" s="3186"/>
    </row>
    <row r="144" spans="1:21" s="958" customFormat="1" ht="14.25" customHeight="1">
      <c r="A144" s="3151" t="s">
        <v>1153</v>
      </c>
      <c r="B144" s="3151" t="s">
        <v>1103</v>
      </c>
      <c r="C144" s="3151">
        <v>10720</v>
      </c>
      <c r="D144" s="3151">
        <v>10680</v>
      </c>
      <c r="E144" s="3151">
        <v>13480</v>
      </c>
      <c r="F144" s="3157">
        <v>2440</v>
      </c>
      <c r="G144" s="3159">
        <v>6870</v>
      </c>
      <c r="I144" s="969"/>
      <c r="J144" s="3186"/>
      <c r="K144" s="3186"/>
      <c r="L144" s="3186"/>
      <c r="M144" s="3186"/>
      <c r="N144" s="3186"/>
      <c r="O144" s="3186"/>
      <c r="P144" s="3186"/>
      <c r="Q144" s="3186"/>
      <c r="R144" s="3186"/>
      <c r="S144" s="3186"/>
      <c r="T144" s="3186"/>
      <c r="U144" s="3186"/>
    </row>
    <row r="145" spans="1:21" s="958" customFormat="1" ht="14.25" customHeight="1">
      <c r="A145" s="3151" t="s">
        <v>1153</v>
      </c>
      <c r="B145" s="3151" t="s">
        <v>1111</v>
      </c>
      <c r="C145" s="3151">
        <v>10340</v>
      </c>
      <c r="D145" s="3151">
        <v>10290</v>
      </c>
      <c r="E145" s="3151">
        <v>12880</v>
      </c>
      <c r="F145" s="3157">
        <v>2650</v>
      </c>
      <c r="G145" s="3157">
        <v>6620</v>
      </c>
      <c r="I145" s="969"/>
      <c r="J145" s="3186"/>
      <c r="K145" s="3186"/>
      <c r="L145" s="3186"/>
      <c r="M145" s="3186"/>
      <c r="N145" s="3186"/>
      <c r="O145" s="3186"/>
      <c r="P145" s="3186"/>
      <c r="Q145" s="3186"/>
      <c r="R145" s="3186"/>
      <c r="S145" s="3186"/>
      <c r="T145" s="3186"/>
      <c r="U145" s="3186"/>
    </row>
    <row r="146" spans="1:21" s="958" customFormat="1" ht="14.25" customHeight="1">
      <c r="A146" s="3151" t="s">
        <v>1153</v>
      </c>
      <c r="B146" s="3151" t="s">
        <v>1118</v>
      </c>
      <c r="C146" s="3151">
        <v>11890</v>
      </c>
      <c r="D146" s="3151">
        <v>11830</v>
      </c>
      <c r="E146" s="3151">
        <v>14670</v>
      </c>
      <c r="F146" s="3157"/>
      <c r="G146" s="3157">
        <v>7610</v>
      </c>
      <c r="I146" s="969"/>
      <c r="J146" s="3186"/>
      <c r="K146" s="3186"/>
      <c r="L146" s="3186"/>
      <c r="M146" s="3186"/>
      <c r="N146" s="3186"/>
      <c r="O146" s="3186"/>
      <c r="P146" s="3186"/>
      <c r="Q146" s="3186"/>
      <c r="R146" s="3186"/>
      <c r="S146" s="3186"/>
      <c r="T146" s="3186"/>
      <c r="U146" s="3186"/>
    </row>
    <row r="147" spans="1:21" s="958" customFormat="1" ht="14.25" customHeight="1">
      <c r="A147" s="3151" t="s">
        <v>1153</v>
      </c>
      <c r="B147" s="3151" t="s">
        <v>1122</v>
      </c>
      <c r="C147" s="3151">
        <v>12650</v>
      </c>
      <c r="D147" s="3151">
        <v>12600</v>
      </c>
      <c r="E147" s="3151">
        <v>15440</v>
      </c>
      <c r="F147" s="3157"/>
      <c r="G147" s="3157">
        <v>8110</v>
      </c>
      <c r="I147" s="969"/>
      <c r="J147" s="3186"/>
      <c r="K147" s="3186"/>
      <c r="L147" s="3186"/>
      <c r="M147" s="3186"/>
      <c r="N147" s="3186"/>
      <c r="O147" s="3186"/>
      <c r="P147" s="3186"/>
      <c r="Q147" s="3186"/>
      <c r="R147" s="3186"/>
      <c r="S147" s="3186"/>
      <c r="T147" s="3186"/>
      <c r="U147" s="3186"/>
    </row>
    <row r="148" spans="1:21" s="958" customFormat="1" ht="14.25" customHeight="1">
      <c r="A148" s="3151" t="s">
        <v>1153</v>
      </c>
      <c r="B148" s="3151" t="s">
        <v>2849</v>
      </c>
      <c r="C148" s="3151">
        <v>10370</v>
      </c>
      <c r="D148" s="3151">
        <v>10310</v>
      </c>
      <c r="E148" s="3151">
        <v>12970</v>
      </c>
      <c r="F148" s="3157"/>
      <c r="G148" s="3157">
        <v>6630</v>
      </c>
      <c r="I148" s="969"/>
      <c r="J148" s="3186"/>
      <c r="K148" s="3186"/>
      <c r="L148" s="3186"/>
      <c r="M148" s="3186"/>
      <c r="N148" s="3186"/>
      <c r="O148" s="3186"/>
      <c r="P148" s="3186"/>
      <c r="Q148" s="3186"/>
      <c r="R148" s="3186"/>
      <c r="S148" s="3186"/>
      <c r="T148" s="3186"/>
      <c r="U148" s="3186"/>
    </row>
    <row r="149" spans="1:21" s="958" customFormat="1" ht="14.25" customHeight="1">
      <c r="A149" s="3151" t="s">
        <v>1153</v>
      </c>
      <c r="B149" s="3151" t="s">
        <v>2850</v>
      </c>
      <c r="C149" s="3151">
        <v>11600</v>
      </c>
      <c r="D149" s="3151">
        <v>11560</v>
      </c>
      <c r="E149" s="3151">
        <v>14540</v>
      </c>
      <c r="F149" s="3157">
        <v>2390</v>
      </c>
      <c r="G149" s="3157">
        <v>7430</v>
      </c>
      <c r="I149" s="969"/>
      <c r="J149" s="3186"/>
      <c r="K149" s="3186"/>
      <c r="L149" s="3186"/>
      <c r="M149" s="3186"/>
      <c r="N149" s="3186"/>
      <c r="O149" s="3186"/>
      <c r="P149" s="3186"/>
      <c r="Q149" s="3186"/>
      <c r="R149" s="3186"/>
      <c r="S149" s="3186"/>
      <c r="T149" s="3186"/>
      <c r="U149" s="3186"/>
    </row>
    <row r="150" spans="1:21" s="958" customFormat="1" ht="14.25" customHeight="1">
      <c r="A150" s="3151" t="s">
        <v>1153</v>
      </c>
      <c r="B150" s="3151" t="s">
        <v>1141</v>
      </c>
      <c r="C150" s="3151">
        <v>9950</v>
      </c>
      <c r="D150" s="3151">
        <v>9890</v>
      </c>
      <c r="E150" s="3151">
        <v>12590</v>
      </c>
      <c r="F150" s="3157">
        <v>1970</v>
      </c>
      <c r="G150" s="3157">
        <v>6360</v>
      </c>
      <c r="I150" s="969"/>
      <c r="J150" s="3186"/>
      <c r="K150" s="3186"/>
      <c r="L150" s="3186"/>
      <c r="M150" s="3186"/>
      <c r="N150" s="3186"/>
      <c r="O150" s="3186"/>
      <c r="P150" s="3186"/>
      <c r="Q150" s="3186"/>
      <c r="R150" s="3186"/>
      <c r="S150" s="3186"/>
      <c r="T150" s="3186"/>
      <c r="U150" s="3186"/>
    </row>
    <row r="151" spans="1:21" s="958" customFormat="1" ht="14.25" customHeight="1">
      <c r="A151" s="3151" t="s">
        <v>1153</v>
      </c>
      <c r="B151" s="3151" t="s">
        <v>1143</v>
      </c>
      <c r="C151" s="3151">
        <v>10700</v>
      </c>
      <c r="D151" s="3151">
        <v>10650</v>
      </c>
      <c r="E151" s="3151">
        <v>13420</v>
      </c>
      <c r="F151" s="3157">
        <v>2020</v>
      </c>
      <c r="G151" s="3157">
        <v>6850</v>
      </c>
      <c r="I151" s="969"/>
      <c r="J151" s="3186"/>
      <c r="K151" s="3186"/>
      <c r="L151" s="3186"/>
      <c r="M151" s="3186"/>
      <c r="N151" s="3186"/>
      <c r="O151" s="3186"/>
      <c r="P151" s="3186"/>
      <c r="Q151" s="3186"/>
      <c r="R151" s="3186"/>
      <c r="S151" s="3186"/>
      <c r="T151" s="3186"/>
      <c r="U151" s="3186"/>
    </row>
    <row r="152" spans="1:21" s="958" customFormat="1" ht="14.25" customHeight="1">
      <c r="A152" s="3151" t="s">
        <v>1153</v>
      </c>
      <c r="B152" s="3151" t="s">
        <v>1146</v>
      </c>
      <c r="C152" s="3151">
        <v>10310</v>
      </c>
      <c r="D152" s="3151">
        <v>10260</v>
      </c>
      <c r="E152" s="3151">
        <v>12820</v>
      </c>
      <c r="F152" s="3157">
        <v>1980</v>
      </c>
      <c r="G152" s="3157">
        <v>6600</v>
      </c>
      <c r="I152" s="969"/>
      <c r="J152" s="3186"/>
      <c r="K152" s="3186"/>
      <c r="L152" s="3186"/>
      <c r="M152" s="3186"/>
      <c r="N152" s="3186"/>
      <c r="O152" s="3186"/>
      <c r="P152" s="3186"/>
      <c r="Q152" s="3186"/>
      <c r="R152" s="3186"/>
      <c r="S152" s="3186"/>
      <c r="T152" s="3186"/>
      <c r="U152" s="3186"/>
    </row>
    <row r="153" spans="1:21" s="958" customFormat="1" ht="14.25" customHeight="1">
      <c r="A153" s="3151" t="s">
        <v>1153</v>
      </c>
      <c r="B153" s="3151" t="s">
        <v>2851</v>
      </c>
      <c r="C153" s="3151">
        <v>10880</v>
      </c>
      <c r="D153" s="3151">
        <v>10820</v>
      </c>
      <c r="E153" s="3151">
        <v>13660</v>
      </c>
      <c r="F153" s="3157">
        <v>2260</v>
      </c>
      <c r="G153" s="3157">
        <v>6970</v>
      </c>
      <c r="I153" s="969"/>
      <c r="J153" s="3186"/>
      <c r="K153" s="3186"/>
      <c r="L153" s="3186"/>
      <c r="M153" s="3186"/>
      <c r="N153" s="3186"/>
      <c r="O153" s="3186"/>
      <c r="P153" s="3186"/>
      <c r="Q153" s="3186"/>
      <c r="R153" s="3186"/>
      <c r="S153" s="3186"/>
      <c r="T153" s="3186"/>
      <c r="U153" s="3186"/>
    </row>
    <row r="154" spans="1:21" s="958" customFormat="1" ht="14.25" customHeight="1">
      <c r="A154" s="3151" t="s">
        <v>1153</v>
      </c>
      <c r="B154" s="3151" t="s">
        <v>2852</v>
      </c>
      <c r="C154" s="3151">
        <v>11220</v>
      </c>
      <c r="D154" s="3151">
        <v>11160</v>
      </c>
      <c r="E154" s="3151">
        <v>14130</v>
      </c>
      <c r="F154" s="3157">
        <v>2230</v>
      </c>
      <c r="G154" s="3157">
        <v>7180</v>
      </c>
      <c r="I154" s="969"/>
      <c r="J154" s="3186"/>
      <c r="K154" s="3186"/>
      <c r="L154" s="3186"/>
      <c r="M154" s="3186"/>
      <c r="N154" s="3186"/>
      <c r="O154" s="3186"/>
      <c r="P154" s="3186"/>
      <c r="Q154" s="3186"/>
      <c r="R154" s="3186"/>
      <c r="S154" s="3186"/>
      <c r="T154" s="3186"/>
      <c r="U154" s="3186"/>
    </row>
    <row r="155" spans="1:21" s="958" customFormat="1" ht="14.25" customHeight="1">
      <c r="A155" s="3151" t="s">
        <v>1153</v>
      </c>
      <c r="B155" s="3151" t="s">
        <v>2853</v>
      </c>
      <c r="C155" s="3151">
        <v>10430</v>
      </c>
      <c r="D155" s="3151">
        <v>10380</v>
      </c>
      <c r="E155" s="3151">
        <v>13140</v>
      </c>
      <c r="F155" s="3157">
        <v>2080</v>
      </c>
      <c r="G155" s="3157">
        <v>6650</v>
      </c>
      <c r="I155" s="969"/>
      <c r="J155" s="3186"/>
      <c r="K155" s="3186"/>
      <c r="L155" s="3186"/>
      <c r="M155" s="3186"/>
      <c r="N155" s="3186"/>
      <c r="O155" s="3186"/>
      <c r="P155" s="3186"/>
      <c r="Q155" s="3186"/>
      <c r="R155" s="3186"/>
      <c r="S155" s="3186"/>
      <c r="T155" s="3186"/>
      <c r="U155" s="3186"/>
    </row>
    <row r="156" spans="1:21" s="958" customFormat="1" ht="14.25" customHeight="1">
      <c r="A156" s="3151" t="s">
        <v>1153</v>
      </c>
      <c r="B156" s="3151" t="s">
        <v>2854</v>
      </c>
      <c r="C156" s="3151">
        <v>10440</v>
      </c>
      <c r="D156" s="3151">
        <v>10400</v>
      </c>
      <c r="E156" s="3151">
        <v>13150</v>
      </c>
      <c r="F156" s="3157">
        <v>2490</v>
      </c>
      <c r="G156" s="3157">
        <v>6690</v>
      </c>
      <c r="I156" s="969"/>
      <c r="J156" s="3186"/>
      <c r="K156" s="3186"/>
      <c r="L156" s="3186"/>
      <c r="M156" s="3186"/>
      <c r="N156" s="3186"/>
      <c r="O156" s="3186"/>
      <c r="P156" s="3186"/>
      <c r="Q156" s="3186"/>
      <c r="R156" s="3186"/>
      <c r="S156" s="3186"/>
      <c r="T156" s="3186"/>
      <c r="U156" s="3186"/>
    </row>
    <row r="157" spans="1:21" s="958" customFormat="1" ht="14.25" customHeight="1">
      <c r="A157" s="3151" t="s">
        <v>1153</v>
      </c>
      <c r="B157" s="3151" t="s">
        <v>1149</v>
      </c>
      <c r="C157" s="3151">
        <v>10970</v>
      </c>
      <c r="D157" s="3151">
        <v>10920</v>
      </c>
      <c r="E157" s="3151">
        <v>13840</v>
      </c>
      <c r="F157" s="3157">
        <v>2420</v>
      </c>
      <c r="G157" s="3164">
        <v>7020</v>
      </c>
      <c r="I157" s="969"/>
      <c r="J157" s="3186"/>
      <c r="K157" s="3186"/>
      <c r="L157" s="3186"/>
      <c r="M157" s="3186"/>
      <c r="N157" s="3186"/>
      <c r="O157" s="3186"/>
      <c r="P157" s="3186"/>
      <c r="Q157" s="3186"/>
      <c r="R157" s="3186"/>
      <c r="S157" s="3186"/>
      <c r="T157" s="3186"/>
      <c r="U157" s="3186"/>
    </row>
    <row r="158" spans="1:21" s="958" customFormat="1" ht="14.25" customHeight="1">
      <c r="A158" s="1213" t="s">
        <v>1153</v>
      </c>
      <c r="B158" s="1213" t="s">
        <v>1150</v>
      </c>
      <c r="C158" s="1213">
        <v>9590</v>
      </c>
      <c r="D158" s="1213">
        <v>9540</v>
      </c>
      <c r="E158" s="1213">
        <v>12210</v>
      </c>
      <c r="F158" s="3152">
        <v>2100</v>
      </c>
      <c r="G158" s="3152">
        <v>6130</v>
      </c>
      <c r="I158" s="969"/>
      <c r="J158" s="3186"/>
      <c r="K158" s="3186"/>
      <c r="L158" s="3186"/>
      <c r="M158" s="3186"/>
      <c r="N158" s="3186"/>
      <c r="O158" s="3186"/>
      <c r="P158" s="3186"/>
      <c r="Q158" s="3186"/>
      <c r="R158" s="3186"/>
      <c r="S158" s="3186"/>
      <c r="T158" s="3186"/>
      <c r="U158" s="3186"/>
    </row>
    <row r="159" spans="1:21" s="958" customFormat="1" ht="14.25" customHeight="1">
      <c r="A159" s="3151" t="s">
        <v>1153</v>
      </c>
      <c r="B159" s="3151" t="s">
        <v>1151</v>
      </c>
      <c r="C159" s="3151">
        <v>11190</v>
      </c>
      <c r="D159" s="3151">
        <v>11140</v>
      </c>
      <c r="E159" s="3151">
        <v>14090</v>
      </c>
      <c r="F159" s="3157">
        <v>2470</v>
      </c>
      <c r="G159" s="3157">
        <v>7170</v>
      </c>
      <c r="I159" s="969"/>
      <c r="J159" s="3186"/>
      <c r="K159" s="3186"/>
      <c r="L159" s="3186"/>
      <c r="M159" s="3186"/>
      <c r="N159" s="3186"/>
      <c r="O159" s="3186"/>
      <c r="P159" s="3186"/>
      <c r="Q159" s="3186"/>
      <c r="R159" s="3186"/>
      <c r="S159" s="3186"/>
      <c r="T159" s="3186"/>
      <c r="U159" s="3186"/>
    </row>
    <row r="160" spans="1:21" s="958" customFormat="1" ht="14.25" customHeight="1">
      <c r="A160" s="3151" t="s">
        <v>1153</v>
      </c>
      <c r="B160" s="3151" t="s">
        <v>2855</v>
      </c>
      <c r="C160" s="3151">
        <v>11180</v>
      </c>
      <c r="D160" s="3151">
        <v>11140</v>
      </c>
      <c r="E160" s="3151">
        <v>14050</v>
      </c>
      <c r="F160" s="3157">
        <v>2270</v>
      </c>
      <c r="G160" s="3157">
        <v>7170</v>
      </c>
      <c r="I160" s="969"/>
      <c r="J160" s="3186"/>
      <c r="K160" s="3186"/>
      <c r="L160" s="3186"/>
      <c r="M160" s="3186"/>
      <c r="N160" s="3186"/>
      <c r="O160" s="3186"/>
      <c r="P160" s="3186"/>
      <c r="Q160" s="3186"/>
      <c r="R160" s="3186"/>
      <c r="S160" s="3186"/>
      <c r="T160" s="3186"/>
      <c r="U160" s="3186"/>
    </row>
    <row r="161" spans="1:21" s="958" customFormat="1" ht="14.25" customHeight="1">
      <c r="A161" s="3151" t="s">
        <v>1153</v>
      </c>
      <c r="B161" s="3151" t="s">
        <v>2856</v>
      </c>
      <c r="C161" s="3151">
        <v>11160</v>
      </c>
      <c r="D161" s="3151">
        <v>11120</v>
      </c>
      <c r="E161" s="3151">
        <v>14020</v>
      </c>
      <c r="F161" s="3157">
        <v>2150</v>
      </c>
      <c r="G161" s="3157">
        <v>7160</v>
      </c>
      <c r="I161" s="969"/>
      <c r="J161" s="3186"/>
      <c r="K161" s="3186"/>
      <c r="L161" s="3186"/>
      <c r="M161" s="3186"/>
      <c r="N161" s="3186"/>
      <c r="O161" s="3186"/>
      <c r="P161" s="3186"/>
      <c r="Q161" s="3186"/>
      <c r="R161" s="3186"/>
      <c r="S161" s="3186"/>
      <c r="T161" s="3186"/>
      <c r="U161" s="3186"/>
    </row>
    <row r="162" spans="1:21" s="958" customFormat="1" ht="14.25" customHeight="1">
      <c r="A162" s="3151" t="s">
        <v>1153</v>
      </c>
      <c r="B162" s="3151" t="s">
        <v>2857</v>
      </c>
      <c r="C162" s="3151">
        <v>9620</v>
      </c>
      <c r="D162" s="3151">
        <v>9570</v>
      </c>
      <c r="E162" s="3151">
        <v>12320</v>
      </c>
      <c r="F162" s="3157">
        <v>2010</v>
      </c>
      <c r="G162" s="3157">
        <v>6160</v>
      </c>
      <c r="I162" s="969"/>
      <c r="J162" s="3186"/>
      <c r="K162" s="3186"/>
      <c r="L162" s="3186"/>
      <c r="M162" s="3186"/>
      <c r="N162" s="3186"/>
      <c r="O162" s="3186"/>
      <c r="P162" s="3186"/>
      <c r="Q162" s="3186"/>
      <c r="R162" s="3186"/>
      <c r="S162" s="3186"/>
      <c r="T162" s="3186"/>
      <c r="U162" s="3186"/>
    </row>
    <row r="163" spans="1:21" s="958" customFormat="1" ht="14.25" customHeight="1">
      <c r="A163" s="3151" t="s">
        <v>1153</v>
      </c>
      <c r="B163" s="3151" t="s">
        <v>2858</v>
      </c>
      <c r="C163" s="3151">
        <v>9320</v>
      </c>
      <c r="D163" s="3151">
        <v>9270</v>
      </c>
      <c r="E163" s="3151">
        <v>11790</v>
      </c>
      <c r="F163" s="3157">
        <v>1920</v>
      </c>
      <c r="G163" s="3157">
        <v>5960</v>
      </c>
      <c r="I163" s="969"/>
      <c r="J163" s="3186"/>
      <c r="K163" s="3186"/>
      <c r="L163" s="3186"/>
      <c r="M163" s="3186"/>
      <c r="N163" s="3186"/>
      <c r="O163" s="3186"/>
      <c r="P163" s="3186"/>
      <c r="Q163" s="3186"/>
      <c r="R163" s="3186"/>
      <c r="S163" s="3186"/>
      <c r="T163" s="3186"/>
      <c r="U163" s="3186"/>
    </row>
    <row r="164" spans="1:21" s="958" customFormat="1" ht="14.25" customHeight="1">
      <c r="A164" s="3151" t="s">
        <v>1153</v>
      </c>
      <c r="B164" s="3151" t="s">
        <v>2859</v>
      </c>
      <c r="C164" s="3151"/>
      <c r="D164" s="3151"/>
      <c r="E164" s="3151"/>
      <c r="F164" s="3157">
        <v>1980</v>
      </c>
      <c r="G164" s="3157"/>
      <c r="I164" s="969"/>
      <c r="J164" s="3186"/>
      <c r="K164" s="3186"/>
      <c r="L164" s="3186"/>
      <c r="M164" s="3186"/>
      <c r="N164" s="3186"/>
      <c r="O164" s="3186"/>
      <c r="P164" s="3186"/>
      <c r="Q164" s="3186"/>
      <c r="R164" s="3186"/>
      <c r="S164" s="3186"/>
      <c r="T164" s="3186"/>
      <c r="U164" s="3186"/>
    </row>
    <row r="165" spans="1:21" s="958" customFormat="1" ht="14.25" customHeight="1">
      <c r="A165" s="3151" t="s">
        <v>1153</v>
      </c>
      <c r="B165" s="3151" t="s">
        <v>2860</v>
      </c>
      <c r="C165" s="3151">
        <v>11060</v>
      </c>
      <c r="D165" s="3151">
        <v>11030</v>
      </c>
      <c r="E165" s="3151">
        <v>13850</v>
      </c>
      <c r="F165" s="3157">
        <v>2170</v>
      </c>
      <c r="G165" s="3157">
        <v>7090</v>
      </c>
      <c r="I165" s="969"/>
      <c r="J165" s="3186"/>
      <c r="K165" s="3186"/>
      <c r="L165" s="3186"/>
      <c r="M165" s="3186"/>
      <c r="N165" s="3186"/>
      <c r="O165" s="3186"/>
      <c r="P165" s="3186"/>
      <c r="Q165" s="3186"/>
      <c r="R165" s="3186"/>
      <c r="S165" s="3186"/>
      <c r="T165" s="3186"/>
      <c r="U165" s="3186"/>
    </row>
    <row r="166" spans="1:21" s="958" customFormat="1" ht="14.25" customHeight="1">
      <c r="A166" s="3151" t="s">
        <v>1153</v>
      </c>
      <c r="B166" s="3151" t="s">
        <v>2861</v>
      </c>
      <c r="C166" s="3151">
        <v>11050</v>
      </c>
      <c r="D166" s="3151">
        <v>11010</v>
      </c>
      <c r="E166" s="3151">
        <v>13920</v>
      </c>
      <c r="F166" s="3157">
        <v>2140</v>
      </c>
      <c r="G166" s="3157">
        <v>7080</v>
      </c>
      <c r="I166" s="969"/>
      <c r="J166" s="3186"/>
      <c r="K166" s="3186"/>
      <c r="L166" s="3186"/>
      <c r="M166" s="3186"/>
      <c r="N166" s="3186"/>
      <c r="O166" s="3186"/>
      <c r="P166" s="3186"/>
      <c r="Q166" s="3186"/>
      <c r="R166" s="3186"/>
      <c r="S166" s="3186"/>
      <c r="T166" s="3186"/>
      <c r="U166" s="3186"/>
    </row>
    <row r="167" spans="1:21" s="958" customFormat="1" ht="14.25" customHeight="1">
      <c r="A167" s="3151" t="s">
        <v>1153</v>
      </c>
      <c r="B167" s="3151" t="s">
        <v>2862</v>
      </c>
      <c r="C167" s="3151">
        <v>10930</v>
      </c>
      <c r="D167" s="3151">
        <v>10890</v>
      </c>
      <c r="E167" s="3151">
        <v>13790</v>
      </c>
      <c r="F167" s="3157">
        <v>2010</v>
      </c>
      <c r="G167" s="3159">
        <v>7000</v>
      </c>
      <c r="I167" s="969"/>
      <c r="J167" s="3186"/>
      <c r="K167" s="3186"/>
      <c r="L167" s="3186"/>
      <c r="M167" s="3186"/>
      <c r="N167" s="3186"/>
      <c r="O167" s="3186"/>
      <c r="P167" s="3186"/>
      <c r="Q167" s="3186"/>
      <c r="R167" s="3186"/>
      <c r="S167" s="3186"/>
      <c r="T167" s="3186"/>
      <c r="U167" s="3186"/>
    </row>
    <row r="168" spans="1:21" s="958" customFormat="1" ht="14.25" customHeight="1">
      <c r="A168" s="3151" t="s">
        <v>1153</v>
      </c>
      <c r="B168" s="3151" t="s">
        <v>2863</v>
      </c>
      <c r="C168" s="3151">
        <v>9420</v>
      </c>
      <c r="D168" s="3151">
        <v>9380</v>
      </c>
      <c r="E168" s="3151">
        <v>11970</v>
      </c>
      <c r="F168" s="3157"/>
      <c r="G168" s="3159">
        <v>6040</v>
      </c>
      <c r="I168" s="969"/>
      <c r="J168" s="3186"/>
      <c r="K168" s="3186"/>
      <c r="L168" s="3186"/>
      <c r="M168" s="3186"/>
      <c r="N168" s="3186"/>
      <c r="O168" s="3186"/>
      <c r="P168" s="3186"/>
      <c r="Q168" s="3186"/>
      <c r="R168" s="3186"/>
      <c r="S168" s="3186"/>
      <c r="T168" s="3186"/>
      <c r="U168" s="3186"/>
    </row>
    <row r="169" spans="1:21" s="958" customFormat="1" ht="14.25" customHeight="1">
      <c r="A169" s="3151" t="s">
        <v>1153</v>
      </c>
      <c r="B169" s="3151" t="s">
        <v>2864</v>
      </c>
      <c r="C169" s="3151"/>
      <c r="D169" s="3151"/>
      <c r="E169" s="3151"/>
      <c r="F169" s="3157">
        <v>2880</v>
      </c>
      <c r="G169" s="3159"/>
      <c r="I169" s="969"/>
      <c r="J169" s="3186"/>
      <c r="K169" s="3186"/>
      <c r="L169" s="3186"/>
      <c r="M169" s="3186"/>
      <c r="N169" s="3186"/>
      <c r="O169" s="3186"/>
      <c r="P169" s="3186"/>
      <c r="Q169" s="3186"/>
      <c r="R169" s="3186"/>
      <c r="S169" s="3186"/>
      <c r="T169" s="3186"/>
      <c r="U169" s="3186"/>
    </row>
    <row r="170" spans="1:21" s="958" customFormat="1" ht="14.25" customHeight="1">
      <c r="A170" s="3151" t="s">
        <v>1153</v>
      </c>
      <c r="B170" s="3151" t="s">
        <v>2865</v>
      </c>
      <c r="C170" s="3151"/>
      <c r="D170" s="3151"/>
      <c r="E170" s="3151"/>
      <c r="F170" s="3157">
        <v>2880</v>
      </c>
      <c r="G170" s="3159"/>
      <c r="I170" s="969"/>
      <c r="J170" s="3186"/>
      <c r="K170" s="3186"/>
      <c r="L170" s="3186"/>
      <c r="M170" s="3186"/>
      <c r="N170" s="3186"/>
      <c r="O170" s="3186"/>
      <c r="P170" s="3186"/>
      <c r="Q170" s="3186"/>
      <c r="R170" s="3186"/>
      <c r="S170" s="3186"/>
      <c r="T170" s="3186"/>
      <c r="U170" s="3186"/>
    </row>
    <row r="171" spans="1:21" s="958" customFormat="1" ht="14.25" customHeight="1">
      <c r="A171" s="3151" t="s">
        <v>1153</v>
      </c>
      <c r="B171" s="3151" t="s">
        <v>2866</v>
      </c>
      <c r="C171" s="3151"/>
      <c r="D171" s="3151"/>
      <c r="E171" s="3151"/>
      <c r="F171" s="3157">
        <v>2880</v>
      </c>
      <c r="G171" s="3157"/>
      <c r="I171" s="969"/>
      <c r="J171" s="3186"/>
      <c r="K171" s="3186"/>
      <c r="L171" s="3186"/>
      <c r="M171" s="3186"/>
      <c r="N171" s="3186"/>
      <c r="O171" s="3186"/>
      <c r="P171" s="3186"/>
      <c r="Q171" s="3186"/>
      <c r="R171" s="3186"/>
      <c r="S171" s="3186"/>
      <c r="T171" s="3186"/>
      <c r="U171" s="3186"/>
    </row>
    <row r="172" spans="1:21" s="958" customFormat="1" ht="14.25" customHeight="1">
      <c r="A172" s="3151" t="s">
        <v>1153</v>
      </c>
      <c r="B172" s="3151" t="s">
        <v>2867</v>
      </c>
      <c r="C172" s="3151"/>
      <c r="D172" s="3151"/>
      <c r="E172" s="3151"/>
      <c r="F172" s="3157">
        <v>2880</v>
      </c>
      <c r="G172" s="3159"/>
      <c r="I172" s="969"/>
      <c r="J172" s="3186"/>
      <c r="K172" s="3186"/>
      <c r="L172" s="3186"/>
      <c r="M172" s="3186"/>
      <c r="N172" s="3186"/>
      <c r="O172" s="3186"/>
      <c r="P172" s="3186"/>
      <c r="Q172" s="3186"/>
      <c r="R172" s="3186"/>
      <c r="S172" s="3186"/>
      <c r="T172" s="3186"/>
      <c r="U172" s="3186"/>
    </row>
    <row r="173" spans="1:21" s="958" customFormat="1" ht="14.25" customHeight="1">
      <c r="A173" s="3151" t="s">
        <v>1153</v>
      </c>
      <c r="B173" s="3151" t="s">
        <v>2868</v>
      </c>
      <c r="C173" s="3151"/>
      <c r="D173" s="3151"/>
      <c r="E173" s="3151"/>
      <c r="F173" s="3157">
        <v>2150</v>
      </c>
      <c r="G173" s="3159"/>
      <c r="I173" s="969"/>
      <c r="J173" s="3186"/>
      <c r="K173" s="3186"/>
      <c r="L173" s="3186"/>
      <c r="M173" s="3186"/>
      <c r="N173" s="3186"/>
      <c r="O173" s="3186"/>
      <c r="P173" s="3186"/>
      <c r="Q173" s="3186"/>
      <c r="R173" s="3186"/>
      <c r="S173" s="3186"/>
      <c r="T173" s="3186"/>
      <c r="U173" s="3186"/>
    </row>
    <row r="174" spans="1:21" s="958" customFormat="1" ht="14.25" customHeight="1">
      <c r="A174" s="3151" t="s">
        <v>1153</v>
      </c>
      <c r="B174" s="3151" t="s">
        <v>2869</v>
      </c>
      <c r="C174" s="3151"/>
      <c r="D174" s="3151"/>
      <c r="E174" s="3151"/>
      <c r="F174" s="3157">
        <v>2030</v>
      </c>
      <c r="G174" s="3157"/>
      <c r="I174" s="969"/>
      <c r="J174" s="3186"/>
      <c r="K174" s="3186"/>
      <c r="L174" s="3186"/>
      <c r="M174" s="3186"/>
      <c r="N174" s="3186"/>
      <c r="O174" s="3186"/>
      <c r="P174" s="3186"/>
      <c r="Q174" s="3186"/>
      <c r="R174" s="3186"/>
      <c r="S174" s="3186"/>
      <c r="T174" s="3186"/>
      <c r="U174" s="3186"/>
    </row>
    <row r="175" spans="1:21" s="958" customFormat="1" ht="14.25" customHeight="1">
      <c r="A175" s="3151" t="s">
        <v>1153</v>
      </c>
      <c r="B175" s="3151" t="s">
        <v>2870</v>
      </c>
      <c r="C175" s="3151"/>
      <c r="D175" s="3151"/>
      <c r="E175" s="3151"/>
      <c r="F175" s="3157">
        <v>2780</v>
      </c>
      <c r="G175" s="3157"/>
      <c r="I175" s="969"/>
      <c r="J175" s="3186"/>
      <c r="K175" s="3186"/>
      <c r="L175" s="3186"/>
      <c r="M175" s="3186"/>
      <c r="N175" s="3186"/>
      <c r="O175" s="3186"/>
      <c r="P175" s="3186"/>
      <c r="Q175" s="3186"/>
      <c r="R175" s="3186"/>
      <c r="S175" s="3186"/>
      <c r="T175" s="3186"/>
      <c r="U175" s="3186"/>
    </row>
    <row r="176" spans="1:21" s="958" customFormat="1" ht="14.25" customHeight="1">
      <c r="A176" s="3151" t="s">
        <v>1153</v>
      </c>
      <c r="B176" s="3151" t="s">
        <v>2871</v>
      </c>
      <c r="C176" s="3151"/>
      <c r="D176" s="3151"/>
      <c r="E176" s="3151"/>
      <c r="F176" s="3157">
        <v>2780</v>
      </c>
      <c r="G176" s="3157"/>
      <c r="I176" s="969"/>
      <c r="J176" s="3186"/>
      <c r="K176" s="3186"/>
      <c r="L176" s="3186"/>
      <c r="M176" s="3186"/>
      <c r="N176" s="3186"/>
      <c r="O176" s="3186"/>
      <c r="P176" s="3186"/>
      <c r="Q176" s="3186"/>
      <c r="R176" s="3186"/>
      <c r="S176" s="3186"/>
      <c r="T176" s="3186"/>
      <c r="U176" s="3186"/>
    </row>
    <row r="177" spans="1:21" s="958" customFormat="1" ht="14.25" customHeight="1">
      <c r="A177" s="3151" t="s">
        <v>1153</v>
      </c>
      <c r="B177" s="3151" t="s">
        <v>2872</v>
      </c>
      <c r="C177" s="3151"/>
      <c r="D177" s="3151"/>
      <c r="E177" s="3151"/>
      <c r="F177" s="3157">
        <v>2780</v>
      </c>
      <c r="G177" s="3157"/>
      <c r="I177" s="969"/>
      <c r="J177" s="3186"/>
      <c r="K177" s="3186"/>
      <c r="L177" s="3186"/>
      <c r="M177" s="3186"/>
      <c r="N177" s="3186"/>
      <c r="O177" s="3186"/>
      <c r="P177" s="3186"/>
      <c r="Q177" s="3186"/>
      <c r="R177" s="3186"/>
      <c r="S177" s="3186"/>
      <c r="T177" s="3186"/>
      <c r="U177" s="3186"/>
    </row>
    <row r="178" spans="1:21" s="958" customFormat="1" ht="14.25" customHeight="1">
      <c r="A178" s="3151" t="s">
        <v>1153</v>
      </c>
      <c r="B178" s="3151" t="s">
        <v>2873</v>
      </c>
      <c r="C178" s="3151"/>
      <c r="D178" s="3151"/>
      <c r="E178" s="3151"/>
      <c r="F178" s="3157">
        <v>2060</v>
      </c>
      <c r="G178" s="3157"/>
      <c r="I178" s="969"/>
      <c r="J178" s="3186"/>
      <c r="K178" s="3186"/>
      <c r="L178" s="3186"/>
      <c r="M178" s="3186"/>
      <c r="N178" s="3186"/>
      <c r="O178" s="3186"/>
      <c r="P178" s="3186"/>
      <c r="Q178" s="3186"/>
      <c r="R178" s="3186"/>
      <c r="S178" s="3186"/>
      <c r="T178" s="3186"/>
      <c r="U178" s="3186"/>
    </row>
    <row r="179" spans="1:21" s="958" customFormat="1" ht="14.25" customHeight="1">
      <c r="A179" s="3151" t="s">
        <v>1153</v>
      </c>
      <c r="B179" s="3151" t="s">
        <v>2874</v>
      </c>
      <c r="C179" s="3151"/>
      <c r="D179" s="3151"/>
      <c r="E179" s="3151"/>
      <c r="F179" s="3157">
        <v>2120</v>
      </c>
      <c r="G179" s="3159"/>
      <c r="I179" s="969"/>
      <c r="J179" s="3186"/>
      <c r="K179" s="3186"/>
      <c r="L179" s="3186"/>
      <c r="M179" s="3186"/>
      <c r="N179" s="3186"/>
      <c r="O179" s="3186"/>
      <c r="P179" s="3186"/>
      <c r="Q179" s="3186"/>
      <c r="R179" s="3186"/>
      <c r="S179" s="3186"/>
      <c r="T179" s="3186"/>
      <c r="U179" s="3186"/>
    </row>
    <row r="180" spans="1:21" s="958" customFormat="1" ht="14.25" customHeight="1">
      <c r="A180" s="3151" t="s">
        <v>1153</v>
      </c>
      <c r="B180" s="3151" t="s">
        <v>2875</v>
      </c>
      <c r="C180" s="3151"/>
      <c r="D180" s="3151"/>
      <c r="E180" s="3151"/>
      <c r="F180" s="3157">
        <v>2340</v>
      </c>
      <c r="G180" s="3157"/>
      <c r="I180" s="969"/>
      <c r="J180" s="3186"/>
      <c r="K180" s="3186"/>
      <c r="L180" s="3186"/>
      <c r="M180" s="3186"/>
      <c r="N180" s="3186"/>
      <c r="O180" s="3186"/>
      <c r="P180" s="3186"/>
      <c r="Q180" s="3186"/>
      <c r="R180" s="3186"/>
      <c r="S180" s="3186"/>
      <c r="T180" s="3186"/>
      <c r="U180" s="3186"/>
    </row>
    <row r="181" spans="1:21" s="958" customFormat="1" ht="14.25" customHeight="1">
      <c r="A181" s="3151" t="s">
        <v>1153</v>
      </c>
      <c r="B181" s="3151" t="s">
        <v>2876</v>
      </c>
      <c r="C181" s="3151"/>
      <c r="D181" s="3151"/>
      <c r="E181" s="3151"/>
      <c r="F181" s="3157">
        <v>2340</v>
      </c>
      <c r="G181" s="3157"/>
      <c r="I181" s="969"/>
      <c r="J181" s="3186"/>
      <c r="K181" s="3186"/>
      <c r="L181" s="3186"/>
      <c r="M181" s="3186"/>
      <c r="N181" s="3186"/>
      <c r="O181" s="3186"/>
      <c r="P181" s="3186"/>
      <c r="Q181" s="3186"/>
      <c r="R181" s="3186"/>
      <c r="S181" s="3186"/>
      <c r="T181" s="3186"/>
      <c r="U181" s="3186"/>
    </row>
    <row r="182" spans="1:21" s="958" customFormat="1" ht="14.25" customHeight="1">
      <c r="A182" s="3151" t="s">
        <v>1153</v>
      </c>
      <c r="B182" s="3151" t="s">
        <v>2877</v>
      </c>
      <c r="C182" s="3151"/>
      <c r="D182" s="3151"/>
      <c r="E182" s="3151"/>
      <c r="F182" s="3157">
        <v>2340</v>
      </c>
      <c r="G182" s="3157"/>
      <c r="I182" s="969"/>
      <c r="J182" s="3186"/>
      <c r="K182" s="3186"/>
      <c r="L182" s="3186"/>
      <c r="M182" s="3186"/>
      <c r="N182" s="3186"/>
      <c r="O182" s="3186"/>
      <c r="P182" s="3186"/>
      <c r="Q182" s="3186"/>
      <c r="R182" s="3186"/>
      <c r="S182" s="3186"/>
      <c r="T182" s="3186"/>
      <c r="U182" s="3186"/>
    </row>
    <row r="183" spans="1:21" s="958" customFormat="1" ht="14.25" customHeight="1">
      <c r="A183" s="3151" t="s">
        <v>1153</v>
      </c>
      <c r="B183" s="3151" t="s">
        <v>2878</v>
      </c>
      <c r="C183" s="3151"/>
      <c r="D183" s="3151"/>
      <c r="E183" s="3151"/>
      <c r="F183" s="3157">
        <v>2340</v>
      </c>
      <c r="G183" s="3159"/>
      <c r="I183" s="969"/>
      <c r="J183" s="3186"/>
      <c r="K183" s="3186"/>
      <c r="L183" s="3186"/>
      <c r="M183" s="3186"/>
      <c r="N183" s="3186"/>
      <c r="O183" s="3186"/>
      <c r="P183" s="3186"/>
      <c r="Q183" s="3186"/>
      <c r="R183" s="3186"/>
      <c r="S183" s="3186"/>
      <c r="T183" s="3186"/>
      <c r="U183" s="3186"/>
    </row>
    <row r="184" spans="1:21" s="958" customFormat="1" ht="14.25" customHeight="1">
      <c r="A184" s="3151" t="s">
        <v>1153</v>
      </c>
      <c r="B184" s="3151" t="s">
        <v>2879</v>
      </c>
      <c r="C184" s="3151"/>
      <c r="D184" s="3151"/>
      <c r="E184" s="3151"/>
      <c r="F184" s="3157">
        <v>2340</v>
      </c>
      <c r="G184" s="3159"/>
      <c r="I184" s="969"/>
      <c r="J184" s="3186"/>
      <c r="K184" s="3186"/>
      <c r="L184" s="3186"/>
      <c r="M184" s="3186"/>
      <c r="N184" s="3186"/>
      <c r="O184" s="3186"/>
      <c r="P184" s="3186"/>
      <c r="Q184" s="3186"/>
      <c r="R184" s="3186"/>
      <c r="S184" s="3186"/>
      <c r="T184" s="3186"/>
      <c r="U184" s="3186"/>
    </row>
    <row r="185" spans="1:21" s="958" customFormat="1" ht="14.25" customHeight="1">
      <c r="A185" s="3151" t="s">
        <v>1153</v>
      </c>
      <c r="B185" s="3151" t="s">
        <v>2880</v>
      </c>
      <c r="C185" s="3151"/>
      <c r="D185" s="3151"/>
      <c r="E185" s="3151"/>
      <c r="F185" s="3157">
        <v>2530</v>
      </c>
      <c r="G185" s="3157"/>
      <c r="I185" s="969"/>
      <c r="J185" s="3186"/>
      <c r="K185" s="3186"/>
      <c r="L185" s="3186"/>
      <c r="M185" s="3186"/>
      <c r="N185" s="3186"/>
      <c r="O185" s="3186"/>
      <c r="P185" s="3186"/>
      <c r="Q185" s="3186"/>
      <c r="R185" s="3186"/>
      <c r="S185" s="3186"/>
      <c r="T185" s="3186"/>
      <c r="U185" s="3186"/>
    </row>
    <row r="186" spans="1:21" s="958" customFormat="1" ht="14.25" customHeight="1">
      <c r="A186" s="3151" t="s">
        <v>1153</v>
      </c>
      <c r="B186" s="3151" t="s">
        <v>2881</v>
      </c>
      <c r="C186" s="3151"/>
      <c r="D186" s="3151"/>
      <c r="E186" s="3151"/>
      <c r="F186" s="3157">
        <v>2550</v>
      </c>
      <c r="G186" s="3157"/>
      <c r="I186" s="969"/>
      <c r="J186" s="3186"/>
      <c r="K186" s="3186"/>
      <c r="L186" s="3186"/>
      <c r="M186" s="3186"/>
      <c r="N186" s="3186"/>
      <c r="O186" s="3186"/>
      <c r="P186" s="3186"/>
      <c r="Q186" s="3186"/>
      <c r="R186" s="3186"/>
      <c r="S186" s="3186"/>
      <c r="T186" s="3186"/>
      <c r="U186" s="3186"/>
    </row>
    <row r="187" spans="1:21" s="958" customFormat="1" ht="14.25" customHeight="1">
      <c r="A187" s="3151" t="s">
        <v>1153</v>
      </c>
      <c r="B187" s="3151" t="s">
        <v>2882</v>
      </c>
      <c r="C187" s="3151"/>
      <c r="D187" s="3151"/>
      <c r="E187" s="3151"/>
      <c r="F187" s="3157">
        <v>2070</v>
      </c>
      <c r="G187" s="3157"/>
      <c r="I187" s="969"/>
      <c r="J187" s="3186"/>
      <c r="K187" s="3186"/>
      <c r="L187" s="3186"/>
      <c r="M187" s="3186"/>
      <c r="N187" s="3186"/>
      <c r="O187" s="3186"/>
      <c r="P187" s="3186"/>
      <c r="Q187" s="3186"/>
      <c r="R187" s="3186"/>
      <c r="S187" s="3186"/>
      <c r="T187" s="3186"/>
      <c r="U187" s="3186"/>
    </row>
    <row r="188" spans="1:21" s="958" customFormat="1" ht="14.25" customHeight="1">
      <c r="A188" s="3151" t="s">
        <v>1153</v>
      </c>
      <c r="B188" s="3151" t="s">
        <v>2883</v>
      </c>
      <c r="C188" s="3151"/>
      <c r="D188" s="3151"/>
      <c r="E188" s="3151"/>
      <c r="F188" s="3157">
        <v>2340</v>
      </c>
      <c r="G188" s="3157"/>
      <c r="I188" s="969"/>
      <c r="J188" s="3186"/>
      <c r="K188" s="3186"/>
      <c r="L188" s="3186"/>
      <c r="M188" s="3186"/>
      <c r="N188" s="3186"/>
      <c r="O188" s="3186"/>
      <c r="P188" s="3186"/>
      <c r="Q188" s="3186"/>
      <c r="R188" s="3186"/>
      <c r="S188" s="3186"/>
      <c r="T188" s="3186"/>
      <c r="U188" s="3186"/>
    </row>
    <row r="189" spans="1:21" s="958" customFormat="1" ht="14.25" customHeight="1" thickBot="1">
      <c r="A189" s="3166" t="s">
        <v>1153</v>
      </c>
      <c r="B189" s="3154" t="s">
        <v>2884</v>
      </c>
      <c r="C189" s="3154"/>
      <c r="D189" s="3154"/>
      <c r="E189" s="3154"/>
      <c r="F189" s="3155">
        <v>2050</v>
      </c>
      <c r="G189" s="3167"/>
      <c r="I189" s="969"/>
      <c r="J189" s="3186"/>
      <c r="K189" s="3186"/>
      <c r="L189" s="3186"/>
      <c r="M189" s="3186"/>
      <c r="N189" s="3186"/>
      <c r="O189" s="3186"/>
      <c r="P189" s="3186"/>
      <c r="Q189" s="3186"/>
      <c r="R189" s="3186"/>
      <c r="S189" s="3186"/>
      <c r="T189" s="3186"/>
      <c r="U189" s="3186"/>
    </row>
    <row r="190" spans="1:21" s="958" customFormat="1" ht="14.25" customHeight="1">
      <c r="A190" s="3165" t="s">
        <v>1154</v>
      </c>
      <c r="B190" s="1213" t="s">
        <v>2885</v>
      </c>
      <c r="C190" s="1213">
        <v>8830</v>
      </c>
      <c r="D190" s="1213">
        <v>8790</v>
      </c>
      <c r="E190" s="1213">
        <v>11630</v>
      </c>
      <c r="F190" s="3152">
        <v>1790</v>
      </c>
      <c r="G190" s="3152">
        <v>5550</v>
      </c>
      <c r="I190" s="969"/>
      <c r="J190" s="3186"/>
      <c r="K190" s="3186"/>
      <c r="L190" s="3186"/>
      <c r="M190" s="3186"/>
      <c r="N190" s="3186"/>
      <c r="O190" s="3186"/>
      <c r="P190" s="3186"/>
      <c r="Q190" s="3186"/>
      <c r="R190" s="3186"/>
      <c r="S190" s="3186"/>
      <c r="T190" s="3186"/>
      <c r="U190" s="3186"/>
    </row>
    <row r="191" spans="1:21" s="958" customFormat="1" ht="14.25" customHeight="1">
      <c r="A191" s="3151" t="s">
        <v>1154</v>
      </c>
      <c r="B191" s="3151" t="s">
        <v>978</v>
      </c>
      <c r="C191" s="3151">
        <v>9780</v>
      </c>
      <c r="D191" s="3151">
        <v>9710</v>
      </c>
      <c r="E191" s="3151">
        <v>12550</v>
      </c>
      <c r="F191" s="3157">
        <v>1980</v>
      </c>
      <c r="G191" s="3157">
        <v>6130</v>
      </c>
      <c r="I191" s="969"/>
      <c r="J191" s="3186"/>
      <c r="K191" s="3186"/>
      <c r="L191" s="3186"/>
      <c r="M191" s="3186"/>
      <c r="N191" s="3186"/>
      <c r="O191" s="3186"/>
      <c r="P191" s="3186"/>
      <c r="Q191" s="3186"/>
      <c r="R191" s="3186"/>
      <c r="S191" s="3186"/>
      <c r="T191" s="3186"/>
      <c r="U191" s="3186"/>
    </row>
    <row r="192" spans="1:21" s="958" customFormat="1" ht="14.25" customHeight="1">
      <c r="A192" s="3151" t="s">
        <v>1154</v>
      </c>
      <c r="B192" s="3151" t="s">
        <v>988</v>
      </c>
      <c r="C192" s="3151">
        <v>8180</v>
      </c>
      <c r="D192" s="3151">
        <v>8140</v>
      </c>
      <c r="E192" s="3151">
        <v>10870</v>
      </c>
      <c r="F192" s="3157">
        <v>1690</v>
      </c>
      <c r="G192" s="3157">
        <v>5140</v>
      </c>
      <c r="I192" s="969"/>
      <c r="J192" s="3186"/>
      <c r="K192" s="3186"/>
      <c r="L192" s="3186"/>
      <c r="M192" s="3186"/>
      <c r="N192" s="3186"/>
      <c r="O192" s="3186"/>
      <c r="P192" s="3186"/>
      <c r="Q192" s="3186"/>
      <c r="R192" s="3186"/>
      <c r="S192" s="3186"/>
      <c r="T192" s="3186"/>
      <c r="U192" s="3186"/>
    </row>
    <row r="193" spans="1:21" s="958" customFormat="1" ht="14.25" customHeight="1">
      <c r="A193" s="3151" t="s">
        <v>1154</v>
      </c>
      <c r="B193" s="3151" t="s">
        <v>997</v>
      </c>
      <c r="C193" s="3151">
        <v>8440</v>
      </c>
      <c r="D193" s="3151">
        <v>8390</v>
      </c>
      <c r="E193" s="3151">
        <v>11210</v>
      </c>
      <c r="F193" s="3157">
        <v>1600</v>
      </c>
      <c r="G193" s="3157">
        <v>5300</v>
      </c>
      <c r="I193" s="969"/>
      <c r="J193" s="3186"/>
      <c r="K193" s="3186"/>
      <c r="L193" s="3186"/>
      <c r="M193" s="3186"/>
      <c r="N193" s="3186"/>
      <c r="O193" s="3186"/>
      <c r="P193" s="3186"/>
      <c r="Q193" s="3186"/>
      <c r="R193" s="3186"/>
      <c r="S193" s="3186"/>
      <c r="T193" s="3186"/>
      <c r="U193" s="3186"/>
    </row>
    <row r="194" spans="1:21" s="958" customFormat="1" ht="14.25" customHeight="1">
      <c r="A194" s="3151" t="s">
        <v>1154</v>
      </c>
      <c r="B194" s="3151" t="s">
        <v>1007</v>
      </c>
      <c r="C194" s="3151">
        <v>8780</v>
      </c>
      <c r="D194" s="3151">
        <v>8730</v>
      </c>
      <c r="E194" s="3151">
        <v>11550</v>
      </c>
      <c r="F194" s="3157">
        <v>1660</v>
      </c>
      <c r="G194" s="3157">
        <v>5520</v>
      </c>
      <c r="I194" s="969"/>
      <c r="J194" s="3186"/>
      <c r="K194" s="3186"/>
      <c r="L194" s="3186"/>
      <c r="M194" s="3186"/>
      <c r="N194" s="3186"/>
      <c r="O194" s="3186"/>
      <c r="P194" s="3186"/>
      <c r="Q194" s="3186"/>
      <c r="R194" s="3186"/>
      <c r="S194" s="3186"/>
      <c r="T194" s="3186"/>
      <c r="U194" s="3186"/>
    </row>
    <row r="195" spans="1:21" s="958" customFormat="1" ht="14.25" customHeight="1">
      <c r="A195" s="3151" t="s">
        <v>1154</v>
      </c>
      <c r="B195" s="3151" t="s">
        <v>1014</v>
      </c>
      <c r="C195" s="3151">
        <v>8720</v>
      </c>
      <c r="D195" s="3151">
        <v>8670</v>
      </c>
      <c r="E195" s="3151">
        <v>11450</v>
      </c>
      <c r="F195" s="3157">
        <v>1720</v>
      </c>
      <c r="G195" s="3157">
        <v>5480</v>
      </c>
      <c r="I195" s="969"/>
      <c r="J195" s="3186"/>
      <c r="K195" s="3186"/>
      <c r="L195" s="3186"/>
      <c r="M195" s="3186"/>
      <c r="N195" s="3186"/>
      <c r="O195" s="3186"/>
      <c r="P195" s="3186"/>
      <c r="Q195" s="3186"/>
      <c r="R195" s="3186"/>
      <c r="S195" s="3186"/>
      <c r="T195" s="3186"/>
      <c r="U195" s="3186"/>
    </row>
    <row r="196" spans="1:21" s="958" customFormat="1" ht="14.25" customHeight="1">
      <c r="A196" s="3151" t="s">
        <v>1154</v>
      </c>
      <c r="B196" s="3151" t="s">
        <v>1020</v>
      </c>
      <c r="C196" s="3151">
        <v>8460</v>
      </c>
      <c r="D196" s="3151">
        <v>8410</v>
      </c>
      <c r="E196" s="3151">
        <v>11230</v>
      </c>
      <c r="F196" s="3157">
        <v>1730</v>
      </c>
      <c r="G196" s="3157">
        <v>5310</v>
      </c>
      <c r="I196" s="969"/>
      <c r="J196" s="3186"/>
      <c r="K196" s="3186"/>
      <c r="L196" s="3186"/>
      <c r="M196" s="3186"/>
      <c r="N196" s="3186"/>
      <c r="O196" s="3186"/>
      <c r="P196" s="3186"/>
      <c r="Q196" s="3186"/>
      <c r="R196" s="3186"/>
      <c r="S196" s="3186"/>
      <c r="T196" s="3186"/>
      <c r="U196" s="3186"/>
    </row>
    <row r="197" spans="1:21" s="958" customFormat="1" ht="14.25" customHeight="1">
      <c r="A197" s="3151" t="s">
        <v>1154</v>
      </c>
      <c r="B197" s="3151" t="s">
        <v>1027</v>
      </c>
      <c r="C197" s="3151">
        <v>8790</v>
      </c>
      <c r="D197" s="3151">
        <v>8730</v>
      </c>
      <c r="E197" s="3151">
        <v>11560</v>
      </c>
      <c r="F197" s="3157">
        <v>1750</v>
      </c>
      <c r="G197" s="3157">
        <v>5520</v>
      </c>
      <c r="I197" s="969"/>
      <c r="J197" s="3186"/>
      <c r="K197" s="3186"/>
      <c r="L197" s="3186"/>
      <c r="M197" s="3186"/>
      <c r="N197" s="3186"/>
      <c r="O197" s="3186"/>
      <c r="P197" s="3186"/>
      <c r="Q197" s="3186"/>
      <c r="R197" s="3186"/>
      <c r="S197" s="3186"/>
      <c r="T197" s="3186"/>
      <c r="U197" s="3186"/>
    </row>
    <row r="198" spans="1:21" s="958" customFormat="1" ht="14.25" customHeight="1">
      <c r="A198" s="3151" t="s">
        <v>1154</v>
      </c>
      <c r="B198" s="3151" t="s">
        <v>1037</v>
      </c>
      <c r="C198" s="3151">
        <v>8720</v>
      </c>
      <c r="D198" s="3151">
        <v>8680</v>
      </c>
      <c r="E198" s="3151">
        <v>11470</v>
      </c>
      <c r="F198" s="3157"/>
      <c r="G198" s="3157">
        <v>5480</v>
      </c>
      <c r="I198" s="969"/>
      <c r="J198" s="3186"/>
      <c r="K198" s="3186"/>
      <c r="L198" s="3186"/>
      <c r="M198" s="3186"/>
      <c r="N198" s="3186"/>
      <c r="O198" s="3186"/>
      <c r="P198" s="3186"/>
      <c r="Q198" s="3186"/>
      <c r="R198" s="3186"/>
      <c r="S198" s="3186"/>
      <c r="T198" s="3186"/>
      <c r="U198" s="3186"/>
    </row>
    <row r="199" spans="1:21" s="958" customFormat="1" ht="14.25" customHeight="1">
      <c r="A199" s="3151" t="s">
        <v>1154</v>
      </c>
      <c r="B199" s="3151" t="s">
        <v>2886</v>
      </c>
      <c r="C199" s="3151">
        <v>8690</v>
      </c>
      <c r="D199" s="3151">
        <v>8630</v>
      </c>
      <c r="E199" s="3151">
        <v>11350</v>
      </c>
      <c r="F199" s="3157">
        <v>1600</v>
      </c>
      <c r="G199" s="3157">
        <v>5450</v>
      </c>
      <c r="I199" s="969"/>
      <c r="J199" s="3186"/>
      <c r="K199" s="3186"/>
      <c r="L199" s="3186"/>
      <c r="M199" s="3186"/>
      <c r="N199" s="3186"/>
      <c r="O199" s="3186"/>
      <c r="P199" s="3186"/>
      <c r="Q199" s="3186"/>
      <c r="R199" s="3186"/>
      <c r="S199" s="3186"/>
      <c r="T199" s="3186"/>
      <c r="U199" s="3186"/>
    </row>
    <row r="200" spans="1:21" s="958" customFormat="1" ht="14.25" customHeight="1">
      <c r="A200" s="3151" t="s">
        <v>1154</v>
      </c>
      <c r="B200" s="3151" t="s">
        <v>2887</v>
      </c>
      <c r="C200" s="3151"/>
      <c r="D200" s="3151"/>
      <c r="E200" s="3151"/>
      <c r="F200" s="3157">
        <v>1510</v>
      </c>
      <c r="G200" s="3157"/>
      <c r="I200" s="969"/>
      <c r="J200" s="3186"/>
      <c r="K200" s="3186"/>
      <c r="L200" s="3186"/>
      <c r="M200" s="3186"/>
      <c r="N200" s="3186"/>
      <c r="O200" s="3186"/>
      <c r="P200" s="3186"/>
      <c r="Q200" s="3186"/>
      <c r="R200" s="3186"/>
      <c r="S200" s="3186"/>
      <c r="T200" s="3186"/>
      <c r="U200" s="3186"/>
    </row>
    <row r="201" spans="1:21" s="958" customFormat="1" ht="14.25" customHeight="1">
      <c r="A201" s="3151" t="s">
        <v>1154</v>
      </c>
      <c r="B201" s="3151" t="s">
        <v>2888</v>
      </c>
      <c r="C201" s="3151">
        <v>8440</v>
      </c>
      <c r="D201" s="3151">
        <v>8390</v>
      </c>
      <c r="E201" s="3151">
        <v>10930</v>
      </c>
      <c r="F201" s="3157">
        <v>1500</v>
      </c>
      <c r="G201" s="3157">
        <v>5300</v>
      </c>
      <c r="I201" s="969"/>
      <c r="J201" s="3186"/>
      <c r="K201" s="3186"/>
      <c r="L201" s="3186"/>
      <c r="M201" s="3186"/>
      <c r="N201" s="3186"/>
      <c r="O201" s="3186"/>
      <c r="P201" s="3186"/>
      <c r="Q201" s="3186"/>
      <c r="R201" s="3186"/>
      <c r="S201" s="3186"/>
      <c r="T201" s="3186"/>
      <c r="U201" s="3186"/>
    </row>
    <row r="202" spans="1:21" s="958" customFormat="1" ht="14.25" customHeight="1">
      <c r="A202" s="3151" t="s">
        <v>1154</v>
      </c>
      <c r="B202" s="3151" t="s">
        <v>1088</v>
      </c>
      <c r="C202" s="3151">
        <v>8530</v>
      </c>
      <c r="D202" s="3151">
        <v>8490</v>
      </c>
      <c r="E202" s="3151">
        <v>11160</v>
      </c>
      <c r="F202" s="3157">
        <v>1580</v>
      </c>
      <c r="G202" s="3157">
        <v>5360</v>
      </c>
      <c r="I202" s="969"/>
      <c r="J202" s="3186"/>
      <c r="K202" s="3186"/>
      <c r="L202" s="3186"/>
      <c r="M202" s="3186"/>
      <c r="N202" s="3186"/>
      <c r="O202" s="3186"/>
      <c r="P202" s="3186"/>
      <c r="Q202" s="3186"/>
      <c r="R202" s="3186"/>
      <c r="S202" s="3186"/>
      <c r="T202" s="3186"/>
      <c r="U202" s="3186"/>
    </row>
    <row r="203" spans="1:21" s="958" customFormat="1" ht="14.25" customHeight="1">
      <c r="A203" s="3151" t="s">
        <v>1154</v>
      </c>
      <c r="B203" s="3151" t="s">
        <v>2889</v>
      </c>
      <c r="C203" s="3151">
        <v>8130</v>
      </c>
      <c r="D203" s="3151">
        <v>8070</v>
      </c>
      <c r="E203" s="3151">
        <v>10820</v>
      </c>
      <c r="F203" s="3157">
        <v>1690</v>
      </c>
      <c r="G203" s="3157">
        <v>5100</v>
      </c>
      <c r="I203" s="969"/>
      <c r="J203" s="3186"/>
      <c r="K203" s="3186"/>
      <c r="L203" s="3186"/>
      <c r="M203" s="3186"/>
      <c r="N203" s="3186"/>
      <c r="O203" s="3186"/>
      <c r="P203" s="3186"/>
      <c r="Q203" s="3186"/>
      <c r="R203" s="3186"/>
      <c r="S203" s="3186"/>
      <c r="T203" s="3186"/>
      <c r="U203" s="3186"/>
    </row>
    <row r="204" spans="1:21" s="958" customFormat="1" ht="14.25" customHeight="1">
      <c r="A204" s="3151" t="s">
        <v>1154</v>
      </c>
      <c r="B204" s="3151" t="s">
        <v>2890</v>
      </c>
      <c r="C204" s="3151">
        <v>8350</v>
      </c>
      <c r="D204" s="3151">
        <v>8290</v>
      </c>
      <c r="E204" s="3151">
        <v>11080</v>
      </c>
      <c r="F204" s="3157">
        <v>1450</v>
      </c>
      <c r="G204" s="3157">
        <v>5240</v>
      </c>
      <c r="I204" s="969"/>
      <c r="J204" s="3186"/>
      <c r="K204" s="3186"/>
      <c r="L204" s="3186"/>
      <c r="M204" s="3186"/>
      <c r="N204" s="3186"/>
      <c r="O204" s="3186"/>
      <c r="P204" s="3186"/>
      <c r="Q204" s="3186"/>
      <c r="R204" s="3186"/>
      <c r="S204" s="3186"/>
      <c r="T204" s="3186"/>
      <c r="U204" s="3186"/>
    </row>
    <row r="205" spans="1:21" s="958" customFormat="1" ht="14.25" customHeight="1">
      <c r="A205" s="3151" t="s">
        <v>1154</v>
      </c>
      <c r="B205" s="3151" t="s">
        <v>2891</v>
      </c>
      <c r="C205" s="3151">
        <v>7190</v>
      </c>
      <c r="D205" s="3151">
        <v>7130</v>
      </c>
      <c r="E205" s="3151">
        <v>9490</v>
      </c>
      <c r="F205" s="3157">
        <v>1470</v>
      </c>
      <c r="G205" s="3164">
        <v>4510</v>
      </c>
      <c r="I205" s="969"/>
      <c r="J205" s="3186"/>
      <c r="K205" s="3186"/>
      <c r="L205" s="3186"/>
      <c r="M205" s="3186"/>
      <c r="N205" s="3186"/>
      <c r="O205" s="3186"/>
      <c r="P205" s="3186"/>
      <c r="Q205" s="3186"/>
      <c r="R205" s="3186"/>
      <c r="S205" s="3186"/>
      <c r="T205" s="3186"/>
      <c r="U205" s="3186"/>
    </row>
    <row r="206" spans="1:21" s="958" customFormat="1" ht="14.25" customHeight="1">
      <c r="A206" s="1213" t="s">
        <v>1154</v>
      </c>
      <c r="B206" s="1213" t="s">
        <v>2892</v>
      </c>
      <c r="C206" s="1213">
        <v>7000</v>
      </c>
      <c r="D206" s="1213">
        <v>6950</v>
      </c>
      <c r="E206" s="1213">
        <v>9170</v>
      </c>
      <c r="F206" s="3152">
        <v>1400</v>
      </c>
      <c r="G206" s="3152">
        <v>4380</v>
      </c>
      <c r="I206" s="969"/>
      <c r="J206" s="3186"/>
      <c r="K206" s="3186"/>
      <c r="L206" s="3186"/>
      <c r="M206" s="3186"/>
      <c r="N206" s="3186"/>
      <c r="O206" s="3186"/>
      <c r="P206" s="3186"/>
      <c r="Q206" s="3186"/>
      <c r="R206" s="3186"/>
      <c r="S206" s="3186"/>
      <c r="T206" s="3186"/>
      <c r="U206" s="3186"/>
    </row>
    <row r="207" spans="1:21" s="958" customFormat="1" ht="14.25" customHeight="1">
      <c r="A207" s="3151" t="s">
        <v>1154</v>
      </c>
      <c r="B207" s="3151" t="s">
        <v>2893</v>
      </c>
      <c r="C207" s="3151">
        <v>6950</v>
      </c>
      <c r="D207" s="3151">
        <v>6900</v>
      </c>
      <c r="E207" s="3151">
        <v>9110</v>
      </c>
      <c r="F207" s="3157">
        <v>1790</v>
      </c>
      <c r="G207" s="3157">
        <v>4360</v>
      </c>
      <c r="I207" s="969"/>
      <c r="J207" s="3186"/>
      <c r="K207" s="3186"/>
      <c r="L207" s="3186"/>
      <c r="M207" s="3186"/>
      <c r="N207" s="3186"/>
      <c r="O207" s="3186"/>
      <c r="P207" s="3186"/>
      <c r="Q207" s="3186"/>
      <c r="R207" s="3186"/>
      <c r="S207" s="3186"/>
      <c r="T207" s="3186"/>
      <c r="U207" s="3186"/>
    </row>
    <row r="208" spans="1:21" s="958" customFormat="1" ht="14.25" customHeight="1">
      <c r="A208" s="3151" t="s">
        <v>1154</v>
      </c>
      <c r="B208" s="3151" t="s">
        <v>2894</v>
      </c>
      <c r="C208" s="3151">
        <v>9470</v>
      </c>
      <c r="D208" s="3151">
        <v>9410</v>
      </c>
      <c r="E208" s="3151">
        <v>12330</v>
      </c>
      <c r="F208" s="3157">
        <v>1770</v>
      </c>
      <c r="G208" s="3157">
        <v>5940</v>
      </c>
      <c r="I208" s="969"/>
      <c r="J208" s="3186"/>
      <c r="K208" s="3186"/>
      <c r="L208" s="3186"/>
      <c r="M208" s="3186"/>
      <c r="N208" s="3186"/>
      <c r="O208" s="3186"/>
      <c r="P208" s="3186"/>
      <c r="Q208" s="3186"/>
      <c r="R208" s="3186"/>
      <c r="S208" s="3186"/>
      <c r="T208" s="3186"/>
      <c r="U208" s="3186"/>
    </row>
    <row r="209" spans="1:21" s="958" customFormat="1" ht="14.25" customHeight="1">
      <c r="A209" s="3151" t="s">
        <v>1154</v>
      </c>
      <c r="B209" s="3151" t="s">
        <v>1112</v>
      </c>
      <c r="C209" s="3151">
        <v>8740</v>
      </c>
      <c r="D209" s="3151">
        <v>8700</v>
      </c>
      <c r="E209" s="3151">
        <v>11500</v>
      </c>
      <c r="F209" s="3157">
        <v>1730</v>
      </c>
      <c r="G209" s="3157">
        <v>5490</v>
      </c>
      <c r="I209" s="969"/>
      <c r="J209" s="3186"/>
      <c r="K209" s="3186"/>
      <c r="L209" s="3186"/>
      <c r="M209" s="3186"/>
      <c r="N209" s="3186"/>
      <c r="O209" s="3186"/>
      <c r="P209" s="3186"/>
      <c r="Q209" s="3186"/>
      <c r="R209" s="3186"/>
      <c r="S209" s="3186"/>
      <c r="T209" s="3186"/>
      <c r="U209" s="3186"/>
    </row>
    <row r="210" spans="1:21" s="958" customFormat="1" ht="14.25" customHeight="1">
      <c r="A210" s="3151" t="s">
        <v>1154</v>
      </c>
      <c r="B210" s="3151" t="s">
        <v>2895</v>
      </c>
      <c r="C210" s="3151">
        <v>8710</v>
      </c>
      <c r="D210" s="3151">
        <v>8660</v>
      </c>
      <c r="E210" s="3151">
        <v>11440</v>
      </c>
      <c r="F210" s="3157">
        <v>1740</v>
      </c>
      <c r="G210" s="3157">
        <v>5470</v>
      </c>
      <c r="I210" s="969"/>
      <c r="J210" s="3186"/>
      <c r="K210" s="3186"/>
      <c r="L210" s="3186"/>
      <c r="M210" s="3186"/>
      <c r="N210" s="3186"/>
      <c r="O210" s="3186"/>
      <c r="P210" s="3186"/>
      <c r="Q210" s="3186"/>
      <c r="R210" s="3186"/>
      <c r="S210" s="3186"/>
      <c r="T210" s="3186"/>
      <c r="U210" s="3186"/>
    </row>
    <row r="211" spans="1:21" s="958" customFormat="1" ht="14.25" customHeight="1">
      <c r="A211" s="3151" t="s">
        <v>1154</v>
      </c>
      <c r="B211" s="3151" t="s">
        <v>2896</v>
      </c>
      <c r="C211" s="3151">
        <v>9480</v>
      </c>
      <c r="D211" s="3151">
        <v>9430</v>
      </c>
      <c r="E211" s="3151">
        <v>12360</v>
      </c>
      <c r="F211" s="3157">
        <v>1820</v>
      </c>
      <c r="G211" s="3157">
        <v>5950</v>
      </c>
      <c r="I211" s="969"/>
      <c r="J211" s="3186"/>
      <c r="K211" s="3186"/>
      <c r="L211" s="3186"/>
      <c r="M211" s="3186"/>
      <c r="N211" s="3186"/>
      <c r="O211" s="3186"/>
      <c r="P211" s="3186"/>
      <c r="Q211" s="3186"/>
      <c r="R211" s="3186"/>
      <c r="S211" s="3186"/>
      <c r="T211" s="3186"/>
      <c r="U211" s="3186"/>
    </row>
    <row r="212" spans="1:21" s="958" customFormat="1" ht="14.25" customHeight="1">
      <c r="A212" s="3151" t="s">
        <v>1154</v>
      </c>
      <c r="B212" s="3151" t="s">
        <v>1134</v>
      </c>
      <c r="C212" s="3151">
        <v>9070</v>
      </c>
      <c r="D212" s="3151">
        <v>9020</v>
      </c>
      <c r="E212" s="3151">
        <v>11720</v>
      </c>
      <c r="F212" s="3157">
        <v>1850</v>
      </c>
      <c r="G212" s="3157">
        <v>5700</v>
      </c>
      <c r="I212" s="969"/>
      <c r="J212" s="3186"/>
      <c r="K212" s="3186"/>
      <c r="L212" s="3186"/>
      <c r="M212" s="3186"/>
      <c r="N212" s="3186"/>
      <c r="O212" s="3186"/>
      <c r="P212" s="3186"/>
      <c r="Q212" s="3186"/>
      <c r="R212" s="3186"/>
      <c r="S212" s="3186"/>
      <c r="T212" s="3186"/>
      <c r="U212" s="3186"/>
    </row>
    <row r="213" spans="1:21" s="958" customFormat="1" ht="14.25" customHeight="1">
      <c r="A213" s="3151" t="s">
        <v>1154</v>
      </c>
      <c r="B213" s="3151" t="s">
        <v>1137</v>
      </c>
      <c r="C213" s="3151">
        <v>9030</v>
      </c>
      <c r="D213" s="3151">
        <v>8980</v>
      </c>
      <c r="E213" s="3151">
        <v>11670</v>
      </c>
      <c r="F213" s="3157">
        <v>1690</v>
      </c>
      <c r="G213" s="3157">
        <v>5670</v>
      </c>
      <c r="I213" s="969"/>
      <c r="J213" s="3186"/>
      <c r="K213" s="3186"/>
      <c r="L213" s="3186"/>
      <c r="M213" s="3186"/>
      <c r="N213" s="3186"/>
      <c r="O213" s="3186"/>
      <c r="P213" s="3186"/>
      <c r="Q213" s="3186"/>
      <c r="R213" s="3186"/>
      <c r="S213" s="3186"/>
      <c r="T213" s="3186"/>
      <c r="U213" s="3186"/>
    </row>
    <row r="214" spans="1:21" s="958" customFormat="1" ht="14.25" customHeight="1">
      <c r="A214" s="3151" t="s">
        <v>1154</v>
      </c>
      <c r="B214" s="3151" t="s">
        <v>2897</v>
      </c>
      <c r="C214" s="3151">
        <v>8090</v>
      </c>
      <c r="D214" s="3151">
        <v>8030</v>
      </c>
      <c r="E214" s="3151">
        <v>10780</v>
      </c>
      <c r="F214" s="3157">
        <v>1570</v>
      </c>
      <c r="G214" s="3159">
        <v>5070</v>
      </c>
      <c r="I214" s="969"/>
      <c r="J214" s="3186"/>
      <c r="K214" s="3186"/>
      <c r="L214" s="3186"/>
      <c r="M214" s="3186"/>
      <c r="N214" s="3186"/>
      <c r="O214" s="3186"/>
      <c r="P214" s="3186"/>
      <c r="Q214" s="3186"/>
      <c r="R214" s="3186"/>
      <c r="S214" s="3186"/>
      <c r="T214" s="3186"/>
      <c r="U214" s="3186"/>
    </row>
    <row r="215" spans="1:21" s="958" customFormat="1" ht="14.25" customHeight="1">
      <c r="A215" s="3151" t="s">
        <v>1154</v>
      </c>
      <c r="B215" s="3151" t="s">
        <v>1123</v>
      </c>
      <c r="C215" s="3151">
        <v>7950</v>
      </c>
      <c r="D215" s="3151">
        <v>7900</v>
      </c>
      <c r="E215" s="3151">
        <v>10560</v>
      </c>
      <c r="F215" s="3157">
        <v>1630</v>
      </c>
      <c r="G215" s="3157">
        <v>4990</v>
      </c>
      <c r="I215" s="969"/>
      <c r="J215" s="3186"/>
      <c r="K215" s="3186"/>
      <c r="L215" s="3186"/>
      <c r="M215" s="3186"/>
      <c r="N215" s="3186"/>
      <c r="O215" s="3186"/>
      <c r="P215" s="3186"/>
      <c r="Q215" s="3186"/>
      <c r="R215" s="3186"/>
      <c r="S215" s="3186"/>
      <c r="T215" s="3186"/>
      <c r="U215" s="3186"/>
    </row>
    <row r="216" spans="1:21" s="958" customFormat="1" ht="14.25" customHeight="1">
      <c r="A216" s="3151" t="s">
        <v>1154</v>
      </c>
      <c r="B216" s="3151" t="s">
        <v>2898</v>
      </c>
      <c r="C216" s="3151">
        <v>8490</v>
      </c>
      <c r="D216" s="3151">
        <v>8440</v>
      </c>
      <c r="E216" s="3151">
        <v>11260</v>
      </c>
      <c r="F216" s="3157">
        <v>1690</v>
      </c>
      <c r="G216" s="3157">
        <v>5330</v>
      </c>
      <c r="I216" s="969"/>
      <c r="J216" s="3186"/>
      <c r="K216" s="3186"/>
      <c r="L216" s="3186"/>
      <c r="M216" s="3186"/>
      <c r="N216" s="3186"/>
      <c r="O216" s="3186"/>
      <c r="P216" s="3186"/>
      <c r="Q216" s="3186"/>
      <c r="R216" s="3186"/>
      <c r="S216" s="3186"/>
      <c r="T216" s="3186"/>
      <c r="U216" s="3186"/>
    </row>
    <row r="217" spans="1:21" s="958" customFormat="1" ht="14.25" customHeight="1">
      <c r="A217" s="3151" t="s">
        <v>1154</v>
      </c>
      <c r="B217" s="3151" t="s">
        <v>2899</v>
      </c>
      <c r="C217" s="3151">
        <v>8200</v>
      </c>
      <c r="D217" s="3151">
        <v>8150</v>
      </c>
      <c r="E217" s="3151">
        <v>10910</v>
      </c>
      <c r="F217" s="3157">
        <v>1670</v>
      </c>
      <c r="G217" s="3157">
        <v>5150</v>
      </c>
      <c r="I217" s="969"/>
      <c r="J217" s="3186"/>
      <c r="K217" s="3186"/>
      <c r="L217" s="3186"/>
      <c r="M217" s="3186"/>
      <c r="N217" s="3186"/>
      <c r="O217" s="3186"/>
      <c r="P217" s="3186"/>
      <c r="Q217" s="3186"/>
      <c r="R217" s="3186"/>
      <c r="S217" s="3186"/>
      <c r="T217" s="3186"/>
      <c r="U217" s="3186"/>
    </row>
    <row r="218" spans="1:21" s="958" customFormat="1" ht="14.25" customHeight="1">
      <c r="A218" s="3151" t="s">
        <v>1154</v>
      </c>
      <c r="B218" s="3151" t="s">
        <v>2900</v>
      </c>
      <c r="C218" s="3151"/>
      <c r="D218" s="3151"/>
      <c r="E218" s="3151"/>
      <c r="F218" s="3157">
        <v>2040</v>
      </c>
      <c r="G218" s="3157"/>
      <c r="I218" s="969"/>
      <c r="J218" s="3186"/>
      <c r="K218" s="3186"/>
      <c r="L218" s="3186"/>
      <c r="M218" s="3186"/>
      <c r="N218" s="3186"/>
      <c r="O218" s="3186"/>
      <c r="P218" s="3186"/>
      <c r="Q218" s="3186"/>
      <c r="R218" s="3186"/>
      <c r="S218" s="3186"/>
      <c r="T218" s="3186"/>
      <c r="U218" s="3186"/>
    </row>
    <row r="219" spans="1:21" s="958" customFormat="1" ht="14.25" customHeight="1">
      <c r="A219" s="3151" t="s">
        <v>1154</v>
      </c>
      <c r="B219" s="3151" t="s">
        <v>2901</v>
      </c>
      <c r="C219" s="3151"/>
      <c r="D219" s="3151"/>
      <c r="E219" s="3151"/>
      <c r="F219" s="3157">
        <v>2040</v>
      </c>
      <c r="G219" s="3157"/>
      <c r="I219" s="969"/>
      <c r="J219" s="3186"/>
      <c r="K219" s="3186"/>
      <c r="L219" s="3186"/>
      <c r="M219" s="3186"/>
      <c r="N219" s="3186"/>
      <c r="O219" s="3186"/>
      <c r="P219" s="3186"/>
      <c r="Q219" s="3186"/>
      <c r="R219" s="3186"/>
      <c r="S219" s="3186"/>
      <c r="T219" s="3186"/>
      <c r="U219" s="3186"/>
    </row>
    <row r="220" spans="1:21" s="958" customFormat="1" ht="14.25" customHeight="1">
      <c r="A220" s="3151" t="s">
        <v>1154</v>
      </c>
      <c r="B220" s="3151" t="s">
        <v>2902</v>
      </c>
      <c r="C220" s="3151"/>
      <c r="D220" s="3151"/>
      <c r="E220" s="3151"/>
      <c r="F220" s="3157">
        <v>2040</v>
      </c>
      <c r="G220" s="3157"/>
      <c r="I220" s="969"/>
      <c r="J220" s="3186"/>
      <c r="K220" s="3186"/>
      <c r="L220" s="3186"/>
      <c r="M220" s="3186"/>
      <c r="N220" s="3186"/>
      <c r="O220" s="3186"/>
      <c r="P220" s="3186"/>
      <c r="Q220" s="3186"/>
      <c r="R220" s="3186"/>
      <c r="S220" s="3186"/>
      <c r="T220" s="3186"/>
      <c r="U220" s="3186"/>
    </row>
    <row r="221" spans="1:21" s="958" customFormat="1" ht="14.25" customHeight="1">
      <c r="A221" s="3151" t="s">
        <v>1154</v>
      </c>
      <c r="B221" s="3151" t="s">
        <v>2903</v>
      </c>
      <c r="C221" s="3160"/>
      <c r="D221" s="3160"/>
      <c r="E221" s="3160"/>
      <c r="F221" s="3159">
        <v>2040</v>
      </c>
      <c r="G221" s="3157"/>
      <c r="I221" s="969"/>
      <c r="J221" s="3186"/>
      <c r="K221" s="3186"/>
      <c r="L221" s="3186"/>
      <c r="M221" s="3186"/>
      <c r="N221" s="3186"/>
      <c r="O221" s="3186"/>
      <c r="P221" s="3186"/>
      <c r="Q221" s="3186"/>
      <c r="R221" s="3186"/>
      <c r="S221" s="3186"/>
      <c r="T221" s="3186"/>
      <c r="U221" s="3186"/>
    </row>
    <row r="222" spans="1:21" s="958" customFormat="1" ht="14.25" customHeight="1">
      <c r="A222" s="3151" t="s">
        <v>1154</v>
      </c>
      <c r="B222" s="3151" t="s">
        <v>2904</v>
      </c>
      <c r="C222" s="3160"/>
      <c r="D222" s="3160"/>
      <c r="E222" s="3160"/>
      <c r="F222" s="3159">
        <v>2040</v>
      </c>
      <c r="G222" s="3157"/>
      <c r="I222" s="969"/>
      <c r="J222" s="3186"/>
      <c r="K222" s="3186"/>
      <c r="L222" s="3186"/>
      <c r="M222" s="3186"/>
      <c r="N222" s="3186"/>
      <c r="O222" s="3186"/>
      <c r="P222" s="3186"/>
      <c r="Q222" s="3186"/>
      <c r="R222" s="3186"/>
      <c r="S222" s="3186"/>
      <c r="T222" s="3186"/>
      <c r="U222" s="3186"/>
    </row>
    <row r="223" spans="1:21" s="958" customFormat="1" ht="14.25" customHeight="1">
      <c r="A223" s="3151" t="s">
        <v>1154</v>
      </c>
      <c r="B223" s="3151" t="s">
        <v>2905</v>
      </c>
      <c r="C223" s="3160"/>
      <c r="D223" s="3160"/>
      <c r="E223" s="3160"/>
      <c r="F223" s="3159">
        <v>1930</v>
      </c>
      <c r="G223" s="3157"/>
      <c r="I223" s="969"/>
      <c r="J223" s="3186"/>
      <c r="K223" s="3186"/>
      <c r="L223" s="3186"/>
      <c r="M223" s="3186"/>
      <c r="N223" s="3186"/>
      <c r="O223" s="3186"/>
      <c r="P223" s="3186"/>
      <c r="Q223" s="3186"/>
      <c r="R223" s="3186"/>
      <c r="S223" s="3186"/>
      <c r="T223" s="3186"/>
      <c r="U223" s="3186"/>
    </row>
    <row r="224" spans="1:21" s="958" customFormat="1" ht="14.25" customHeight="1">
      <c r="A224" s="3151" t="s">
        <v>1154</v>
      </c>
      <c r="B224" s="3151" t="s">
        <v>2906</v>
      </c>
      <c r="C224" s="3160"/>
      <c r="D224" s="3160"/>
      <c r="E224" s="3160"/>
      <c r="F224" s="3159">
        <v>1930</v>
      </c>
      <c r="G224" s="3157"/>
      <c r="I224" s="969"/>
      <c r="J224" s="3186"/>
      <c r="K224" s="3186"/>
      <c r="L224" s="3186"/>
      <c r="M224" s="3186"/>
      <c r="N224" s="3186"/>
      <c r="O224" s="3186"/>
      <c r="P224" s="3186"/>
      <c r="Q224" s="3186"/>
      <c r="R224" s="3186"/>
      <c r="S224" s="3186"/>
      <c r="T224" s="3186"/>
      <c r="U224" s="3186"/>
    </row>
    <row r="225" spans="1:21" s="958" customFormat="1" ht="14.25" customHeight="1">
      <c r="A225" s="3151" t="s">
        <v>1154</v>
      </c>
      <c r="B225" s="3151" t="s">
        <v>2907</v>
      </c>
      <c r="C225" s="3151"/>
      <c r="D225" s="3151"/>
      <c r="E225" s="3151"/>
      <c r="F225" s="3157">
        <v>1930</v>
      </c>
      <c r="G225" s="3157"/>
      <c r="I225" s="969"/>
      <c r="J225" s="3186"/>
      <c r="K225" s="3186"/>
      <c r="L225" s="3186"/>
      <c r="M225" s="3186"/>
      <c r="N225" s="3186"/>
      <c r="O225" s="3186"/>
      <c r="P225" s="3186"/>
      <c r="Q225" s="3186"/>
      <c r="R225" s="3186"/>
      <c r="S225" s="3186"/>
      <c r="T225" s="3186"/>
      <c r="U225" s="3186"/>
    </row>
    <row r="226" spans="1:21" s="958" customFormat="1" ht="14.25" customHeight="1">
      <c r="A226" s="3151" t="s">
        <v>1154</v>
      </c>
      <c r="B226" s="3151" t="s">
        <v>2908</v>
      </c>
      <c r="C226" s="3151"/>
      <c r="D226" s="3151"/>
      <c r="E226" s="3151"/>
      <c r="F226" s="3157">
        <v>1700</v>
      </c>
      <c r="G226" s="3157"/>
      <c r="I226" s="969"/>
      <c r="J226" s="3186"/>
      <c r="K226" s="3186"/>
      <c r="L226" s="3186"/>
      <c r="M226" s="3186"/>
      <c r="N226" s="3186"/>
      <c r="O226" s="3186"/>
      <c r="P226" s="3186"/>
      <c r="Q226" s="3186"/>
      <c r="R226" s="3186"/>
      <c r="S226" s="3186"/>
      <c r="T226" s="3186"/>
      <c r="U226" s="3186"/>
    </row>
    <row r="227" spans="1:21" s="958" customFormat="1" ht="14.25" customHeight="1">
      <c r="A227" s="3151" t="s">
        <v>1154</v>
      </c>
      <c r="B227" s="3151" t="s">
        <v>2909</v>
      </c>
      <c r="C227" s="3151"/>
      <c r="D227" s="3151"/>
      <c r="E227" s="3151"/>
      <c r="F227" s="3157">
        <v>1520</v>
      </c>
      <c r="G227" s="3157"/>
      <c r="I227" s="969"/>
      <c r="J227" s="3186"/>
      <c r="K227" s="3186"/>
      <c r="L227" s="3186"/>
      <c r="M227" s="3186"/>
      <c r="N227" s="3186"/>
      <c r="O227" s="3186"/>
      <c r="P227" s="3186"/>
      <c r="Q227" s="3186"/>
      <c r="R227" s="3186"/>
      <c r="S227" s="3186"/>
      <c r="T227" s="3186"/>
      <c r="U227" s="3186"/>
    </row>
    <row r="228" spans="1:21" s="958" customFormat="1" ht="14.25" customHeight="1">
      <c r="A228" s="3151" t="s">
        <v>1154</v>
      </c>
      <c r="B228" s="3151" t="s">
        <v>2910</v>
      </c>
      <c r="C228" s="3151"/>
      <c r="D228" s="3151"/>
      <c r="E228" s="3151"/>
      <c r="F228" s="3157">
        <v>1520</v>
      </c>
      <c r="G228" s="3157"/>
      <c r="I228" s="969"/>
      <c r="J228" s="3186"/>
      <c r="K228" s="3186"/>
      <c r="L228" s="3186"/>
      <c r="M228" s="3186"/>
      <c r="N228" s="3186"/>
      <c r="O228" s="3186"/>
      <c r="P228" s="3186"/>
      <c r="Q228" s="3186"/>
      <c r="R228" s="3186"/>
      <c r="S228" s="3186"/>
      <c r="T228" s="3186"/>
      <c r="U228" s="3186"/>
    </row>
    <row r="229" spans="1:21" s="958" customFormat="1" ht="14.25" customHeight="1">
      <c r="A229" s="3151" t="s">
        <v>1154</v>
      </c>
      <c r="B229" s="3151" t="s">
        <v>2911</v>
      </c>
      <c r="C229" s="3151"/>
      <c r="D229" s="3151"/>
      <c r="E229" s="3151"/>
      <c r="F229" s="3157">
        <v>1520</v>
      </c>
      <c r="G229" s="3159"/>
      <c r="I229" s="969"/>
      <c r="J229" s="3186"/>
      <c r="K229" s="3186"/>
      <c r="L229" s="3186"/>
      <c r="M229" s="3186"/>
      <c r="N229" s="3186"/>
      <c r="O229" s="3186"/>
      <c r="P229" s="3186"/>
      <c r="Q229" s="3186"/>
      <c r="R229" s="3186"/>
      <c r="S229" s="3186"/>
      <c r="T229" s="3186"/>
      <c r="U229" s="3186"/>
    </row>
    <row r="230" spans="1:21" s="958" customFormat="1" ht="14.25" customHeight="1">
      <c r="A230" s="3151" t="s">
        <v>1154</v>
      </c>
      <c r="B230" s="3151" t="s">
        <v>2912</v>
      </c>
      <c r="C230" s="3151"/>
      <c r="D230" s="3151"/>
      <c r="E230" s="3151"/>
      <c r="F230" s="3157">
        <v>1820</v>
      </c>
      <c r="G230" s="3159"/>
      <c r="I230" s="969"/>
      <c r="J230" s="3186"/>
      <c r="K230" s="3186"/>
      <c r="L230" s="3186"/>
      <c r="M230" s="3186"/>
      <c r="N230" s="3186"/>
      <c r="O230" s="3186"/>
      <c r="P230" s="3186"/>
      <c r="Q230" s="3186"/>
      <c r="R230" s="3186"/>
      <c r="S230" s="3186"/>
      <c r="T230" s="3186"/>
      <c r="U230" s="3186"/>
    </row>
    <row r="231" spans="1:21" s="958" customFormat="1" ht="14.25" customHeight="1">
      <c r="A231" s="3151" t="s">
        <v>1154</v>
      </c>
      <c r="B231" s="3151" t="s">
        <v>2913</v>
      </c>
      <c r="C231" s="3151"/>
      <c r="D231" s="3151"/>
      <c r="E231" s="3151"/>
      <c r="F231" s="3157">
        <v>1760</v>
      </c>
      <c r="G231" s="3159"/>
      <c r="I231" s="969"/>
      <c r="J231" s="3186"/>
      <c r="K231" s="3186"/>
      <c r="L231" s="3186"/>
      <c r="M231" s="3186"/>
      <c r="N231" s="3186"/>
      <c r="O231" s="3186"/>
      <c r="P231" s="3186"/>
      <c r="Q231" s="3186"/>
      <c r="R231" s="3186"/>
      <c r="S231" s="3186"/>
      <c r="T231" s="3186"/>
      <c r="U231" s="3186"/>
    </row>
    <row r="232" spans="1:21" s="958" customFormat="1" ht="14.25" customHeight="1">
      <c r="A232" s="3151" t="s">
        <v>1154</v>
      </c>
      <c r="B232" s="3151" t="s">
        <v>2914</v>
      </c>
      <c r="C232" s="3151"/>
      <c r="D232" s="3151"/>
      <c r="E232" s="3151"/>
      <c r="F232" s="3157">
        <v>1840</v>
      </c>
      <c r="G232" s="3157"/>
      <c r="I232" s="969"/>
      <c r="J232" s="3186"/>
      <c r="K232" s="3186"/>
      <c r="L232" s="3186"/>
      <c r="M232" s="3186"/>
      <c r="N232" s="3186"/>
      <c r="O232" s="3186"/>
      <c r="P232" s="3186"/>
      <c r="Q232" s="3186"/>
      <c r="R232" s="3186"/>
      <c r="S232" s="3186"/>
      <c r="T232" s="3186"/>
      <c r="U232" s="3186"/>
    </row>
    <row r="233" spans="1:21" s="958" customFormat="1" ht="14.25" customHeight="1" thickBot="1">
      <c r="A233" s="3166" t="s">
        <v>1154</v>
      </c>
      <c r="B233" s="3154" t="s">
        <v>2915</v>
      </c>
      <c r="C233" s="3154"/>
      <c r="D233" s="3154"/>
      <c r="E233" s="3154"/>
      <c r="F233" s="3155">
        <v>1770</v>
      </c>
      <c r="G233" s="3170"/>
      <c r="I233" s="969"/>
      <c r="J233" s="3186"/>
      <c r="K233" s="3186"/>
      <c r="L233" s="3186"/>
      <c r="M233" s="3186"/>
      <c r="N233" s="3186"/>
      <c r="O233" s="3186"/>
      <c r="P233" s="3186"/>
      <c r="Q233" s="3186"/>
      <c r="R233" s="3186"/>
      <c r="S233" s="3186"/>
      <c r="T233" s="3186"/>
      <c r="U233" s="3186"/>
    </row>
    <row r="234" spans="1:21" s="958" customFormat="1" ht="14.25" customHeight="1">
      <c r="A234" s="3165" t="s">
        <v>1155</v>
      </c>
      <c r="B234" s="1213" t="s">
        <v>2916</v>
      </c>
      <c r="C234" s="1213">
        <v>6980</v>
      </c>
      <c r="D234" s="1213">
        <v>6970</v>
      </c>
      <c r="E234" s="1213">
        <v>8720</v>
      </c>
      <c r="F234" s="3152">
        <v>1350</v>
      </c>
      <c r="G234" s="3168">
        <v>4280</v>
      </c>
      <c r="I234" s="969"/>
      <c r="J234" s="3186"/>
      <c r="K234" s="3186"/>
      <c r="L234" s="3186"/>
      <c r="M234" s="3186"/>
      <c r="N234" s="3186"/>
      <c r="O234" s="3186"/>
      <c r="P234" s="3186"/>
      <c r="Q234" s="3186"/>
      <c r="R234" s="3186"/>
      <c r="S234" s="3186"/>
      <c r="T234" s="3186"/>
      <c r="U234" s="3186"/>
    </row>
    <row r="235" spans="1:21" s="958" customFormat="1" ht="14.25" customHeight="1">
      <c r="A235" s="3151" t="s">
        <v>1155</v>
      </c>
      <c r="B235" s="3151" t="s">
        <v>979</v>
      </c>
      <c r="C235" s="3151">
        <v>7620</v>
      </c>
      <c r="D235" s="3151">
        <v>7580</v>
      </c>
      <c r="E235" s="3151">
        <v>9360</v>
      </c>
      <c r="F235" s="3157">
        <v>1490</v>
      </c>
      <c r="G235" s="3157">
        <v>4650</v>
      </c>
      <c r="I235" s="969"/>
      <c r="J235" s="3186"/>
      <c r="K235" s="3186"/>
      <c r="L235" s="3186"/>
      <c r="M235" s="3186"/>
      <c r="N235" s="3186"/>
      <c r="O235" s="3186"/>
      <c r="P235" s="3186"/>
      <c r="Q235" s="3186"/>
      <c r="R235" s="3186"/>
      <c r="S235" s="3186"/>
      <c r="T235" s="3186"/>
      <c r="U235" s="3186"/>
    </row>
    <row r="236" spans="1:21" s="958" customFormat="1" ht="14.25" customHeight="1">
      <c r="A236" s="3151" t="s">
        <v>1155</v>
      </c>
      <c r="B236" s="3151" t="s">
        <v>989</v>
      </c>
      <c r="C236" s="3151">
        <v>6650</v>
      </c>
      <c r="D236" s="3151">
        <v>6630</v>
      </c>
      <c r="E236" s="3151">
        <v>8330</v>
      </c>
      <c r="F236" s="3157">
        <v>1250</v>
      </c>
      <c r="G236" s="3157">
        <v>4070</v>
      </c>
      <c r="I236" s="969"/>
      <c r="J236" s="3186"/>
      <c r="K236" s="3186"/>
      <c r="L236" s="3186"/>
      <c r="M236" s="3186"/>
      <c r="N236" s="3186"/>
      <c r="O236" s="3186"/>
      <c r="P236" s="3186"/>
      <c r="Q236" s="3186"/>
      <c r="R236" s="3186"/>
      <c r="S236" s="3186"/>
      <c r="T236" s="3186"/>
      <c r="U236" s="3186"/>
    </row>
    <row r="237" spans="1:21" s="958" customFormat="1" ht="14.25" customHeight="1">
      <c r="A237" s="3151" t="s">
        <v>1155</v>
      </c>
      <c r="B237" s="3151" t="s">
        <v>998</v>
      </c>
      <c r="C237" s="3151">
        <v>5850</v>
      </c>
      <c r="D237" s="3151">
        <v>5820</v>
      </c>
      <c r="E237" s="3151">
        <v>7260</v>
      </c>
      <c r="F237" s="3157">
        <v>1140</v>
      </c>
      <c r="G237" s="3157">
        <v>3570</v>
      </c>
      <c r="I237" s="969"/>
      <c r="J237" s="3186"/>
      <c r="K237" s="3186"/>
      <c r="L237" s="3186"/>
      <c r="M237" s="3186"/>
      <c r="N237" s="3186"/>
      <c r="O237" s="3186"/>
      <c r="P237" s="3186"/>
      <c r="Q237" s="3186"/>
      <c r="R237" s="3186"/>
      <c r="S237" s="3186"/>
      <c r="T237" s="3186"/>
      <c r="U237" s="3186"/>
    </row>
    <row r="238" spans="1:21" s="958" customFormat="1" ht="14.25" customHeight="1">
      <c r="A238" s="3151" t="s">
        <v>1155</v>
      </c>
      <c r="B238" s="3151" t="s">
        <v>2917</v>
      </c>
      <c r="C238" s="3151">
        <v>6920</v>
      </c>
      <c r="D238" s="3151">
        <v>6890</v>
      </c>
      <c r="E238" s="3151">
        <v>8640</v>
      </c>
      <c r="F238" s="3157">
        <v>1310</v>
      </c>
      <c r="G238" s="3157">
        <v>4230</v>
      </c>
      <c r="I238" s="969"/>
      <c r="J238" s="3186"/>
      <c r="K238" s="3186"/>
      <c r="L238" s="3186"/>
      <c r="M238" s="3186"/>
      <c r="N238" s="3186"/>
      <c r="O238" s="3186"/>
      <c r="P238" s="3186"/>
      <c r="Q238" s="3186"/>
      <c r="R238" s="3186"/>
      <c r="S238" s="3186"/>
      <c r="T238" s="3186"/>
      <c r="U238" s="3186"/>
    </row>
    <row r="239" spans="1:21" s="958" customFormat="1" ht="14.25" customHeight="1">
      <c r="A239" s="3151" t="s">
        <v>1155</v>
      </c>
      <c r="B239" s="3151" t="s">
        <v>2918</v>
      </c>
      <c r="C239" s="3151">
        <v>6780</v>
      </c>
      <c r="D239" s="3151">
        <v>6750</v>
      </c>
      <c r="E239" s="3151">
        <v>8440</v>
      </c>
      <c r="F239" s="3157">
        <v>1160</v>
      </c>
      <c r="G239" s="3157">
        <v>4140</v>
      </c>
      <c r="I239" s="969"/>
      <c r="J239" s="3186"/>
      <c r="K239" s="3186"/>
      <c r="L239" s="3186"/>
      <c r="M239" s="3186"/>
      <c r="N239" s="3186"/>
      <c r="O239" s="3186"/>
      <c r="P239" s="3186"/>
      <c r="Q239" s="3186"/>
      <c r="R239" s="3186"/>
      <c r="S239" s="3186"/>
      <c r="T239" s="3186"/>
      <c r="U239" s="3186"/>
    </row>
    <row r="240" spans="1:21" s="958" customFormat="1" ht="14.25" customHeight="1">
      <c r="A240" s="3151" t="s">
        <v>1155</v>
      </c>
      <c r="B240" s="3151" t="s">
        <v>2919</v>
      </c>
      <c r="C240" s="3151">
        <v>5420</v>
      </c>
      <c r="D240" s="3151">
        <v>5380</v>
      </c>
      <c r="E240" s="3151">
        <v>6640</v>
      </c>
      <c r="F240" s="3157">
        <v>1020</v>
      </c>
      <c r="G240" s="3157">
        <v>3300</v>
      </c>
      <c r="I240" s="969"/>
      <c r="J240" s="3186"/>
      <c r="K240" s="3186"/>
      <c r="L240" s="3186"/>
      <c r="M240" s="3186"/>
      <c r="N240" s="3186"/>
      <c r="O240" s="3186"/>
      <c r="P240" s="3186"/>
      <c r="Q240" s="3186"/>
      <c r="R240" s="3186"/>
      <c r="S240" s="3186"/>
      <c r="T240" s="3186"/>
      <c r="U240" s="3186"/>
    </row>
    <row r="241" spans="1:21" s="958" customFormat="1" ht="14.25" customHeight="1">
      <c r="A241" s="3151" t="s">
        <v>1155</v>
      </c>
      <c r="B241" s="3151" t="s">
        <v>2920</v>
      </c>
      <c r="C241" s="3151">
        <v>6660</v>
      </c>
      <c r="D241" s="3151">
        <v>6640</v>
      </c>
      <c r="E241" s="3151">
        <v>8340</v>
      </c>
      <c r="F241" s="3157">
        <v>1130</v>
      </c>
      <c r="G241" s="3157">
        <v>4080</v>
      </c>
      <c r="I241" s="969"/>
      <c r="J241" s="3186"/>
      <c r="K241" s="3186"/>
      <c r="L241" s="3186"/>
      <c r="M241" s="3186"/>
      <c r="N241" s="3186"/>
      <c r="O241" s="3186"/>
      <c r="P241" s="3186"/>
      <c r="Q241" s="3186"/>
      <c r="R241" s="3186"/>
      <c r="S241" s="3186"/>
      <c r="T241" s="3186"/>
      <c r="U241" s="3186"/>
    </row>
    <row r="242" spans="1:21" s="958" customFormat="1" ht="14.25" customHeight="1">
      <c r="A242" s="3151" t="s">
        <v>1155</v>
      </c>
      <c r="B242" s="3151" t="s">
        <v>1028</v>
      </c>
      <c r="C242" s="3151">
        <v>6580</v>
      </c>
      <c r="D242" s="3151">
        <v>6550</v>
      </c>
      <c r="E242" s="3151">
        <v>8090</v>
      </c>
      <c r="F242" s="3157">
        <v>1240</v>
      </c>
      <c r="G242" s="3157">
        <v>4020</v>
      </c>
      <c r="I242" s="969"/>
      <c r="J242" s="3186"/>
      <c r="K242" s="3186"/>
      <c r="L242" s="3186"/>
      <c r="M242" s="3186"/>
      <c r="N242" s="3186"/>
      <c r="O242" s="3186"/>
      <c r="P242" s="3186"/>
      <c r="Q242" s="3186"/>
      <c r="R242" s="3186"/>
      <c r="S242" s="3186"/>
      <c r="T242" s="3186"/>
      <c r="U242" s="3186"/>
    </row>
    <row r="243" spans="1:21" s="958" customFormat="1" ht="14.25" customHeight="1">
      <c r="A243" s="3151" t="s">
        <v>1155</v>
      </c>
      <c r="B243" s="3151" t="s">
        <v>1038</v>
      </c>
      <c r="C243" s="3151">
        <v>6000</v>
      </c>
      <c r="D243" s="3151">
        <v>5970</v>
      </c>
      <c r="E243" s="3151">
        <v>7370</v>
      </c>
      <c r="F243" s="3157">
        <v>1070</v>
      </c>
      <c r="G243" s="3157">
        <v>3670</v>
      </c>
      <c r="I243" s="969"/>
      <c r="J243" s="3186"/>
      <c r="K243" s="3186"/>
      <c r="L243" s="3186"/>
      <c r="M243" s="3186"/>
      <c r="N243" s="3186"/>
      <c r="O243" s="3186"/>
      <c r="P243" s="3186"/>
      <c r="Q243" s="3186"/>
      <c r="R243" s="3186"/>
      <c r="S243" s="3186"/>
      <c r="T243" s="3186"/>
      <c r="U243" s="3186"/>
    </row>
    <row r="244" spans="1:21" s="958" customFormat="1" ht="14.25" customHeight="1">
      <c r="A244" s="3151" t="s">
        <v>1155</v>
      </c>
      <c r="B244" s="3151" t="s">
        <v>2921</v>
      </c>
      <c r="C244" s="3151">
        <v>5840</v>
      </c>
      <c r="D244" s="3151">
        <v>5810</v>
      </c>
      <c r="E244" s="3151">
        <v>7240</v>
      </c>
      <c r="F244" s="3157">
        <v>1100</v>
      </c>
      <c r="G244" s="3164">
        <v>3560</v>
      </c>
      <c r="I244" s="969"/>
      <c r="J244" s="3186"/>
      <c r="K244" s="3186"/>
      <c r="L244" s="3186"/>
      <c r="M244" s="3186"/>
      <c r="N244" s="3186"/>
      <c r="O244" s="3186"/>
      <c r="P244" s="3186"/>
      <c r="Q244" s="3186"/>
      <c r="R244" s="3186"/>
      <c r="S244" s="3186"/>
      <c r="T244" s="3186"/>
      <c r="U244" s="3186"/>
    </row>
    <row r="245" spans="1:21" s="958" customFormat="1" ht="14.25" customHeight="1">
      <c r="A245" s="1213" t="s">
        <v>1155</v>
      </c>
      <c r="B245" s="1213" t="s">
        <v>1053</v>
      </c>
      <c r="C245" s="1213">
        <v>6040</v>
      </c>
      <c r="D245" s="1213">
        <v>6000</v>
      </c>
      <c r="E245" s="1213">
        <v>7420</v>
      </c>
      <c r="F245" s="3152">
        <v>1140</v>
      </c>
      <c r="G245" s="3152">
        <v>3690</v>
      </c>
      <c r="I245" s="969"/>
      <c r="J245" s="3186"/>
      <c r="K245" s="3186"/>
      <c r="L245" s="3186"/>
      <c r="M245" s="3186"/>
      <c r="N245" s="3186"/>
      <c r="O245" s="3186"/>
      <c r="P245" s="3186"/>
      <c r="Q245" s="3186"/>
      <c r="R245" s="3186"/>
      <c r="S245" s="3186"/>
      <c r="T245" s="3186"/>
      <c r="U245" s="3186"/>
    </row>
    <row r="246" spans="1:21" s="958" customFormat="1" ht="14.25" customHeight="1">
      <c r="A246" s="3151" t="s">
        <v>1155</v>
      </c>
      <c r="B246" s="3151" t="s">
        <v>1060</v>
      </c>
      <c r="C246" s="3151">
        <v>5890</v>
      </c>
      <c r="D246" s="3151">
        <v>5860</v>
      </c>
      <c r="E246" s="3151">
        <v>7300</v>
      </c>
      <c r="F246" s="3157">
        <v>1110</v>
      </c>
      <c r="G246" s="3157">
        <v>3590</v>
      </c>
      <c r="I246" s="969"/>
      <c r="J246" s="3186"/>
      <c r="K246" s="3186"/>
      <c r="L246" s="3186"/>
      <c r="M246" s="3186"/>
      <c r="N246" s="3186"/>
      <c r="O246" s="3186"/>
      <c r="P246" s="3186"/>
      <c r="Q246" s="3186"/>
      <c r="R246" s="3186"/>
      <c r="S246" s="3186"/>
      <c r="T246" s="3186"/>
      <c r="U246" s="3186"/>
    </row>
    <row r="247" spans="1:21" s="958" customFormat="1" ht="14.25" customHeight="1">
      <c r="A247" s="3151" t="s">
        <v>1155</v>
      </c>
      <c r="B247" s="3151" t="s">
        <v>2922</v>
      </c>
      <c r="C247" s="3151">
        <v>6480</v>
      </c>
      <c r="D247" s="3151">
        <v>6450</v>
      </c>
      <c r="E247" s="3151">
        <v>8010</v>
      </c>
      <c r="F247" s="3157">
        <v>1170</v>
      </c>
      <c r="G247" s="3157">
        <v>3960</v>
      </c>
      <c r="I247" s="969"/>
      <c r="J247" s="3186"/>
      <c r="K247" s="3186"/>
      <c r="L247" s="3186"/>
      <c r="M247" s="3186"/>
      <c r="N247" s="3186"/>
      <c r="O247" s="3186"/>
      <c r="P247" s="3186"/>
      <c r="Q247" s="3186"/>
      <c r="R247" s="3186"/>
      <c r="S247" s="3186"/>
      <c r="T247" s="3186"/>
      <c r="U247" s="3186"/>
    </row>
    <row r="248" spans="1:21" s="958" customFormat="1" ht="14.25" customHeight="1">
      <c r="A248" s="3151" t="s">
        <v>1155</v>
      </c>
      <c r="B248" s="3151" t="s">
        <v>1075</v>
      </c>
      <c r="C248" s="3151">
        <v>6860</v>
      </c>
      <c r="D248" s="3151">
        <v>6840</v>
      </c>
      <c r="E248" s="3151">
        <v>8520</v>
      </c>
      <c r="F248" s="3157">
        <v>1240</v>
      </c>
      <c r="G248" s="3157">
        <v>4200</v>
      </c>
      <c r="I248" s="969"/>
      <c r="J248" s="3186"/>
      <c r="K248" s="3186"/>
      <c r="L248" s="3186"/>
      <c r="M248" s="3186"/>
      <c r="N248" s="3186"/>
      <c r="O248" s="3186"/>
      <c r="P248" s="3186"/>
      <c r="Q248" s="3186"/>
      <c r="R248" s="3186"/>
      <c r="S248" s="3186"/>
      <c r="T248" s="3186"/>
      <c r="U248" s="3186"/>
    </row>
    <row r="249" spans="1:21" s="958" customFormat="1" ht="14.25" customHeight="1">
      <c r="A249" s="3151" t="s">
        <v>1155</v>
      </c>
      <c r="B249" s="3151" t="s">
        <v>2923</v>
      </c>
      <c r="C249" s="3151">
        <v>7180</v>
      </c>
      <c r="D249" s="3151">
        <v>7140</v>
      </c>
      <c r="E249" s="3151">
        <v>8900</v>
      </c>
      <c r="F249" s="3157">
        <v>1350</v>
      </c>
      <c r="G249" s="3157">
        <v>4380</v>
      </c>
      <c r="I249" s="969"/>
      <c r="J249" s="3186"/>
      <c r="K249" s="3186"/>
      <c r="L249" s="3186"/>
      <c r="M249" s="3186"/>
      <c r="N249" s="3186"/>
      <c r="O249" s="3186"/>
      <c r="P249" s="3186"/>
      <c r="Q249" s="3186"/>
      <c r="R249" s="3186"/>
      <c r="S249" s="3186"/>
      <c r="T249" s="3186"/>
      <c r="U249" s="3186"/>
    </row>
    <row r="250" spans="1:21" s="958" customFormat="1" ht="14.25" customHeight="1">
      <c r="A250" s="3151" t="s">
        <v>1155</v>
      </c>
      <c r="B250" s="3151" t="s">
        <v>1089</v>
      </c>
      <c r="C250" s="3151">
        <v>6880</v>
      </c>
      <c r="D250" s="3151">
        <v>6860</v>
      </c>
      <c r="E250" s="3151">
        <v>8550</v>
      </c>
      <c r="F250" s="3157">
        <v>1220</v>
      </c>
      <c r="G250" s="3157">
        <v>4210</v>
      </c>
      <c r="I250" s="969"/>
      <c r="J250" s="3186"/>
      <c r="K250" s="3186"/>
      <c r="L250" s="3186"/>
      <c r="M250" s="3186"/>
      <c r="N250" s="3186"/>
      <c r="O250" s="3186"/>
      <c r="P250" s="3186"/>
      <c r="Q250" s="3186"/>
      <c r="R250" s="3186"/>
      <c r="S250" s="3186"/>
      <c r="T250" s="3186"/>
      <c r="U250" s="3186"/>
    </row>
    <row r="251" spans="1:21" s="958" customFormat="1" ht="14.25" customHeight="1">
      <c r="A251" s="3151" t="s">
        <v>1155</v>
      </c>
      <c r="B251" s="3151" t="s">
        <v>1097</v>
      </c>
      <c r="C251" s="3151"/>
      <c r="D251" s="3151"/>
      <c r="E251" s="3151"/>
      <c r="F251" s="3157">
        <v>1100</v>
      </c>
      <c r="G251" s="3157"/>
      <c r="I251" s="969"/>
      <c r="J251" s="3186"/>
      <c r="K251" s="3186"/>
      <c r="L251" s="3186"/>
      <c r="M251" s="3186"/>
      <c r="N251" s="3186"/>
      <c r="O251" s="3186"/>
      <c r="P251" s="3186"/>
      <c r="Q251" s="3186"/>
      <c r="R251" s="3186"/>
      <c r="S251" s="3186"/>
      <c r="T251" s="3186"/>
      <c r="U251" s="3186"/>
    </row>
    <row r="252" spans="1:21" s="958" customFormat="1" ht="14.25" customHeight="1">
      <c r="A252" s="3151" t="s">
        <v>1155</v>
      </c>
      <c r="B252" s="3151" t="s">
        <v>2924</v>
      </c>
      <c r="C252" s="3151">
        <v>7240</v>
      </c>
      <c r="D252" s="3151">
        <v>7200</v>
      </c>
      <c r="E252" s="3151">
        <v>9040</v>
      </c>
      <c r="F252" s="3157">
        <v>1380</v>
      </c>
      <c r="G252" s="3157">
        <v>4420</v>
      </c>
      <c r="I252" s="969"/>
      <c r="J252" s="3186"/>
      <c r="K252" s="3186"/>
      <c r="L252" s="3186"/>
      <c r="M252" s="3186"/>
      <c r="N252" s="3186"/>
      <c r="O252" s="3186"/>
      <c r="P252" s="3186"/>
      <c r="Q252" s="3186"/>
      <c r="R252" s="3186"/>
      <c r="S252" s="3186"/>
      <c r="T252" s="3186"/>
      <c r="U252" s="3186"/>
    </row>
    <row r="253" spans="1:21" s="958" customFormat="1" ht="14.25" customHeight="1">
      <c r="A253" s="3151" t="s">
        <v>1155</v>
      </c>
      <c r="B253" s="3151" t="s">
        <v>1132</v>
      </c>
      <c r="C253" s="3151">
        <v>6670</v>
      </c>
      <c r="D253" s="3151">
        <v>6650</v>
      </c>
      <c r="E253" s="3151">
        <v>8350</v>
      </c>
      <c r="F253" s="3157">
        <v>1260</v>
      </c>
      <c r="G253" s="3157">
        <v>4080</v>
      </c>
      <c r="I253" s="969"/>
      <c r="J253" s="3186"/>
      <c r="K253" s="3186"/>
      <c r="L253" s="3186"/>
      <c r="M253" s="3186"/>
      <c r="N253" s="3186"/>
      <c r="O253" s="3186"/>
      <c r="P253" s="3186"/>
      <c r="Q253" s="3186"/>
      <c r="R253" s="3186"/>
      <c r="S253" s="3186"/>
      <c r="T253" s="3186"/>
      <c r="U253" s="3186"/>
    </row>
    <row r="254" spans="1:21" s="958" customFormat="1" ht="14.25" customHeight="1">
      <c r="A254" s="3151" t="s">
        <v>1155</v>
      </c>
      <c r="B254" s="3151" t="s">
        <v>1135</v>
      </c>
      <c r="C254" s="3160">
        <v>7630</v>
      </c>
      <c r="D254" s="3160">
        <v>7590</v>
      </c>
      <c r="E254" s="3160">
        <v>9380</v>
      </c>
      <c r="F254" s="3159">
        <v>1320</v>
      </c>
      <c r="G254" s="3157">
        <v>4660</v>
      </c>
      <c r="I254" s="969"/>
      <c r="J254" s="3186"/>
      <c r="K254" s="3186"/>
      <c r="L254" s="3186"/>
      <c r="M254" s="3186"/>
      <c r="N254" s="3186"/>
      <c r="O254" s="3186"/>
      <c r="P254" s="3186"/>
      <c r="Q254" s="3186"/>
      <c r="R254" s="3186"/>
      <c r="S254" s="3186"/>
      <c r="T254" s="3186"/>
      <c r="U254" s="3186"/>
    </row>
    <row r="255" spans="1:21" s="958" customFormat="1" ht="14.25" customHeight="1">
      <c r="A255" s="3151" t="s">
        <v>1155</v>
      </c>
      <c r="B255" s="3151" t="s">
        <v>1138</v>
      </c>
      <c r="C255" s="3160">
        <v>6940</v>
      </c>
      <c r="D255" s="3160">
        <v>6890</v>
      </c>
      <c r="E255" s="3160">
        <v>8650</v>
      </c>
      <c r="F255" s="3159">
        <v>1210</v>
      </c>
      <c r="G255" s="3157">
        <v>4230</v>
      </c>
      <c r="I255" s="969"/>
      <c r="J255" s="3186"/>
      <c r="K255" s="3186"/>
      <c r="L255" s="3186"/>
      <c r="M255" s="3186"/>
      <c r="N255" s="3186"/>
      <c r="O255" s="3186"/>
      <c r="P255" s="3186"/>
      <c r="Q255" s="3186"/>
      <c r="R255" s="3186"/>
      <c r="S255" s="3186"/>
      <c r="T255" s="3186"/>
      <c r="U255" s="3186"/>
    </row>
    <row r="256" spans="1:21" s="958" customFormat="1" ht="14.25" customHeight="1">
      <c r="A256" s="3151" t="s">
        <v>1155</v>
      </c>
      <c r="B256" s="3151" t="s">
        <v>2925</v>
      </c>
      <c r="C256" s="3151">
        <v>7520</v>
      </c>
      <c r="D256" s="3151">
        <v>7490</v>
      </c>
      <c r="E256" s="3151">
        <v>9240</v>
      </c>
      <c r="F256" s="3157">
        <v>1270</v>
      </c>
      <c r="G256" s="3157">
        <v>4590</v>
      </c>
      <c r="I256" s="969"/>
      <c r="J256" s="3186"/>
      <c r="K256" s="3186"/>
      <c r="L256" s="3186"/>
      <c r="M256" s="3186"/>
      <c r="N256" s="3186"/>
      <c r="O256" s="3186"/>
      <c r="P256" s="3186"/>
      <c r="Q256" s="3186"/>
      <c r="R256" s="3186"/>
      <c r="S256" s="3186"/>
      <c r="T256" s="3186"/>
      <c r="U256" s="3186"/>
    </row>
    <row r="257" spans="1:21" s="958" customFormat="1" ht="14.25" customHeight="1">
      <c r="A257" s="3151" t="s">
        <v>1155</v>
      </c>
      <c r="B257" s="3151" t="s">
        <v>1124</v>
      </c>
      <c r="C257" s="3151">
        <v>6280</v>
      </c>
      <c r="D257" s="3151">
        <v>6230</v>
      </c>
      <c r="E257" s="3151">
        <v>7740</v>
      </c>
      <c r="F257" s="3157">
        <v>1080</v>
      </c>
      <c r="G257" s="3157">
        <v>3830</v>
      </c>
      <c r="I257" s="969"/>
      <c r="J257" s="3186"/>
      <c r="K257" s="3186"/>
      <c r="L257" s="3186"/>
      <c r="M257" s="3186"/>
      <c r="N257" s="3186"/>
      <c r="O257" s="3186"/>
      <c r="P257" s="3186"/>
      <c r="Q257" s="3186"/>
      <c r="R257" s="3186"/>
      <c r="S257" s="3186"/>
      <c r="T257" s="3186"/>
      <c r="U257" s="3186"/>
    </row>
    <row r="258" spans="1:21" s="958" customFormat="1" ht="14.25" customHeight="1">
      <c r="A258" s="3151" t="s">
        <v>1155</v>
      </c>
      <c r="B258" s="3151" t="s">
        <v>2926</v>
      </c>
      <c r="C258" s="3151">
        <v>6190</v>
      </c>
      <c r="D258" s="3151">
        <v>6160</v>
      </c>
      <c r="E258" s="3151">
        <v>7680</v>
      </c>
      <c r="F258" s="3157">
        <v>1170</v>
      </c>
      <c r="G258" s="3157">
        <v>3780</v>
      </c>
      <c r="I258" s="969"/>
      <c r="J258" s="3186"/>
      <c r="K258" s="3186"/>
      <c r="L258" s="3186"/>
      <c r="M258" s="3186"/>
      <c r="N258" s="3186"/>
      <c r="O258" s="3186"/>
      <c r="P258" s="3186"/>
      <c r="Q258" s="3186"/>
      <c r="R258" s="3186"/>
      <c r="S258" s="3186"/>
      <c r="T258" s="3186"/>
      <c r="U258" s="3186"/>
    </row>
    <row r="259" spans="1:21" s="958" customFormat="1" ht="14.25" customHeight="1">
      <c r="A259" s="3151" t="s">
        <v>1155</v>
      </c>
      <c r="B259" s="3151" t="s">
        <v>2927</v>
      </c>
      <c r="C259" s="3151">
        <v>7610</v>
      </c>
      <c r="D259" s="3151">
        <v>7570</v>
      </c>
      <c r="E259" s="3151">
        <v>9350</v>
      </c>
      <c r="F259" s="3157">
        <v>1350</v>
      </c>
      <c r="G259" s="3157">
        <v>4650</v>
      </c>
      <c r="I259" s="969"/>
      <c r="J259" s="3186"/>
      <c r="K259" s="3186"/>
      <c r="L259" s="3186"/>
      <c r="M259" s="3186"/>
      <c r="N259" s="3186"/>
      <c r="O259" s="3186"/>
      <c r="P259" s="3186"/>
      <c r="Q259" s="3186"/>
      <c r="R259" s="3186"/>
      <c r="S259" s="3186"/>
      <c r="T259" s="3186"/>
      <c r="U259" s="3186"/>
    </row>
    <row r="260" spans="1:21" s="958" customFormat="1" ht="14.25" customHeight="1">
      <c r="A260" s="3151" t="s">
        <v>1155</v>
      </c>
      <c r="B260" s="3151" t="s">
        <v>2928</v>
      </c>
      <c r="C260" s="3151">
        <v>6920</v>
      </c>
      <c r="D260" s="3151">
        <v>6880</v>
      </c>
      <c r="E260" s="3151">
        <v>8380</v>
      </c>
      <c r="F260" s="3157">
        <v>1160</v>
      </c>
      <c r="G260" s="3157">
        <v>4220</v>
      </c>
      <c r="I260" s="969"/>
      <c r="J260" s="3186"/>
      <c r="K260" s="3186"/>
      <c r="L260" s="3186"/>
      <c r="M260" s="3186"/>
      <c r="N260" s="3186"/>
      <c r="O260" s="3186"/>
      <c r="P260" s="3186"/>
      <c r="Q260" s="3186"/>
      <c r="R260" s="3186"/>
      <c r="S260" s="3186"/>
      <c r="T260" s="3186"/>
      <c r="U260" s="3186"/>
    </row>
    <row r="261" spans="1:21" s="958" customFormat="1" ht="14.25" customHeight="1">
      <c r="A261" s="3151" t="s">
        <v>1155</v>
      </c>
      <c r="B261" s="3151" t="s">
        <v>2929</v>
      </c>
      <c r="C261" s="3151">
        <v>6850</v>
      </c>
      <c r="D261" s="3151">
        <v>6810</v>
      </c>
      <c r="E261" s="3151">
        <v>8290</v>
      </c>
      <c r="F261" s="3157">
        <v>1130</v>
      </c>
      <c r="G261" s="3157">
        <v>4180</v>
      </c>
      <c r="I261" s="969"/>
      <c r="J261" s="3186"/>
      <c r="K261" s="3186"/>
      <c r="L261" s="3186"/>
      <c r="M261" s="3186"/>
      <c r="N261" s="3186"/>
      <c r="O261" s="3186"/>
      <c r="P261" s="3186"/>
      <c r="Q261" s="3186"/>
      <c r="R261" s="3186"/>
      <c r="S261" s="3186"/>
      <c r="T261" s="3186"/>
      <c r="U261" s="3186"/>
    </row>
    <row r="262" spans="1:21" s="958" customFormat="1" ht="14.25" customHeight="1">
      <c r="A262" s="3151" t="s">
        <v>1155</v>
      </c>
      <c r="B262" s="3151" t="s">
        <v>2930</v>
      </c>
      <c r="C262" s="3151">
        <v>5860</v>
      </c>
      <c r="D262" s="3151">
        <v>5820</v>
      </c>
      <c r="E262" s="3151">
        <v>7640</v>
      </c>
      <c r="F262" s="3157">
        <v>1070</v>
      </c>
      <c r="G262" s="3159">
        <v>3570</v>
      </c>
      <c r="I262" s="969"/>
      <c r="J262" s="3186"/>
      <c r="K262" s="3186"/>
      <c r="L262" s="3186"/>
      <c r="M262" s="3186"/>
      <c r="N262" s="3186"/>
      <c r="O262" s="3186"/>
      <c r="P262" s="3186"/>
      <c r="Q262" s="3186"/>
      <c r="R262" s="3186"/>
      <c r="S262" s="3186"/>
      <c r="T262" s="3186"/>
      <c r="U262" s="3186"/>
    </row>
    <row r="263" spans="1:21" s="958" customFormat="1" ht="14.25" customHeight="1">
      <c r="A263" s="3151" t="s">
        <v>1155</v>
      </c>
      <c r="B263" s="3151" t="s">
        <v>2931</v>
      </c>
      <c r="C263" s="3151">
        <v>5870</v>
      </c>
      <c r="D263" s="3151">
        <v>5840</v>
      </c>
      <c r="E263" s="3151">
        <v>7270</v>
      </c>
      <c r="F263" s="3157">
        <v>1190</v>
      </c>
      <c r="G263" s="3157">
        <v>3580</v>
      </c>
      <c r="I263" s="969"/>
      <c r="J263" s="3186"/>
      <c r="K263" s="3186"/>
      <c r="L263" s="3186"/>
      <c r="M263" s="3186"/>
      <c r="N263" s="3186"/>
      <c r="O263" s="3186"/>
      <c r="P263" s="3186"/>
      <c r="Q263" s="3186"/>
      <c r="R263" s="3186"/>
      <c r="S263" s="3186"/>
      <c r="T263" s="3186"/>
      <c r="U263" s="3186"/>
    </row>
    <row r="264" spans="1:21" s="958" customFormat="1" ht="14.25" customHeight="1">
      <c r="A264" s="3151" t="s">
        <v>1155</v>
      </c>
      <c r="B264" s="3151" t="s">
        <v>1148</v>
      </c>
      <c r="C264" s="3151">
        <v>6190</v>
      </c>
      <c r="D264" s="3151">
        <v>6150</v>
      </c>
      <c r="E264" s="3151">
        <v>7660</v>
      </c>
      <c r="F264" s="3157">
        <v>1160</v>
      </c>
      <c r="G264" s="3157">
        <v>3770</v>
      </c>
      <c r="I264" s="969"/>
      <c r="J264" s="3186"/>
      <c r="K264" s="3186"/>
      <c r="L264" s="3186"/>
      <c r="M264" s="3186"/>
      <c r="N264" s="3186"/>
      <c r="O264" s="3186"/>
      <c r="P264" s="3186"/>
      <c r="Q264" s="3186"/>
      <c r="R264" s="3186"/>
      <c r="S264" s="3186"/>
      <c r="T264" s="3186"/>
      <c r="U264" s="3186"/>
    </row>
    <row r="265" spans="1:21" s="958" customFormat="1" ht="14.25" customHeight="1">
      <c r="A265" s="3151" t="s">
        <v>1155</v>
      </c>
      <c r="B265" s="3151" t="s">
        <v>2932</v>
      </c>
      <c r="C265" s="3151"/>
      <c r="D265" s="3151"/>
      <c r="E265" s="3151"/>
      <c r="F265" s="3157">
        <v>1500</v>
      </c>
      <c r="G265" s="3157"/>
      <c r="I265" s="969"/>
      <c r="J265" s="3186"/>
      <c r="K265" s="3186"/>
      <c r="L265" s="3186"/>
      <c r="M265" s="3186"/>
      <c r="N265" s="3186"/>
      <c r="O265" s="3186"/>
      <c r="P265" s="3186"/>
      <c r="Q265" s="3186"/>
      <c r="R265" s="3186"/>
      <c r="S265" s="3186"/>
      <c r="T265" s="3186"/>
      <c r="U265" s="3186"/>
    </row>
    <row r="266" spans="1:21" s="958" customFormat="1" ht="14.25" customHeight="1">
      <c r="A266" s="3151" t="s">
        <v>1155</v>
      </c>
      <c r="B266" s="3151" t="s">
        <v>2933</v>
      </c>
      <c r="C266" s="3151"/>
      <c r="D266" s="3151"/>
      <c r="E266" s="3151"/>
      <c r="F266" s="3157">
        <v>1500</v>
      </c>
      <c r="G266" s="3157"/>
      <c r="I266" s="969"/>
      <c r="J266" s="3186"/>
      <c r="K266" s="3186"/>
      <c r="L266" s="3186"/>
      <c r="M266" s="3186"/>
      <c r="N266" s="3186"/>
      <c r="O266" s="3186"/>
      <c r="P266" s="3186"/>
      <c r="Q266" s="3186"/>
      <c r="R266" s="3186"/>
      <c r="S266" s="3186"/>
      <c r="T266" s="3186"/>
      <c r="U266" s="3186"/>
    </row>
    <row r="267" spans="1:21" s="958" customFormat="1" ht="14.25" customHeight="1">
      <c r="A267" s="3151" t="s">
        <v>1155</v>
      </c>
      <c r="B267" s="3151" t="s">
        <v>2934</v>
      </c>
      <c r="C267" s="3151"/>
      <c r="D267" s="3151"/>
      <c r="E267" s="3151"/>
      <c r="F267" s="3157">
        <v>1500</v>
      </c>
      <c r="G267" s="3159"/>
      <c r="I267" s="969"/>
      <c r="J267" s="3186"/>
      <c r="K267" s="3186"/>
      <c r="L267" s="3186"/>
      <c r="M267" s="3186"/>
      <c r="N267" s="3186"/>
      <c r="O267" s="3186"/>
      <c r="P267" s="3186"/>
      <c r="Q267" s="3186"/>
      <c r="R267" s="3186"/>
      <c r="S267" s="3186"/>
      <c r="T267" s="3186"/>
      <c r="U267" s="3186"/>
    </row>
    <row r="268" spans="1:21" s="958" customFormat="1" ht="14.25" customHeight="1">
      <c r="A268" s="3151" t="s">
        <v>1155</v>
      </c>
      <c r="B268" s="3151" t="s">
        <v>2935</v>
      </c>
      <c r="C268" s="3151"/>
      <c r="D268" s="3151"/>
      <c r="E268" s="3151"/>
      <c r="F268" s="3157">
        <v>1290</v>
      </c>
      <c r="G268" s="3157"/>
      <c r="I268" s="969"/>
      <c r="J268" s="3186"/>
      <c r="K268" s="3186"/>
      <c r="L268" s="3186"/>
      <c r="M268" s="3186"/>
      <c r="N268" s="3186"/>
      <c r="O268" s="3186"/>
      <c r="P268" s="3186"/>
      <c r="Q268" s="3186"/>
      <c r="R268" s="3186"/>
      <c r="S268" s="3186"/>
      <c r="T268" s="3186"/>
      <c r="U268" s="3186"/>
    </row>
    <row r="269" spans="1:21" s="958" customFormat="1" ht="14.25" customHeight="1">
      <c r="A269" s="3151" t="s">
        <v>1155</v>
      </c>
      <c r="B269" s="3151" t="s">
        <v>2936</v>
      </c>
      <c r="C269" s="3151"/>
      <c r="D269" s="3151"/>
      <c r="E269" s="3151"/>
      <c r="F269" s="3157">
        <v>1150</v>
      </c>
      <c r="G269" s="3157"/>
      <c r="I269" s="969"/>
      <c r="J269" s="3186"/>
      <c r="K269" s="3186"/>
      <c r="L269" s="3186"/>
      <c r="M269" s="3186"/>
      <c r="N269" s="3186"/>
      <c r="O269" s="3186"/>
      <c r="P269" s="3186"/>
      <c r="Q269" s="3186"/>
      <c r="R269" s="3186"/>
      <c r="S269" s="3186"/>
      <c r="T269" s="3186"/>
      <c r="U269" s="3186"/>
    </row>
    <row r="270" spans="1:21" s="958" customFormat="1" ht="14.25" customHeight="1">
      <c r="A270" s="3151" t="s">
        <v>1155</v>
      </c>
      <c r="B270" s="3151" t="s">
        <v>2937</v>
      </c>
      <c r="C270" s="3151"/>
      <c r="D270" s="3151"/>
      <c r="E270" s="3151"/>
      <c r="F270" s="3157">
        <v>1380</v>
      </c>
      <c r="G270" s="3157"/>
      <c r="I270" s="969"/>
      <c r="J270" s="3186"/>
      <c r="K270" s="3186"/>
      <c r="L270" s="3186"/>
      <c r="M270" s="3186"/>
      <c r="N270" s="3186"/>
      <c r="O270" s="3186"/>
      <c r="P270" s="3186"/>
      <c r="Q270" s="3186"/>
      <c r="R270" s="3186"/>
      <c r="S270" s="3186"/>
      <c r="T270" s="3186"/>
      <c r="U270" s="3186"/>
    </row>
    <row r="271" spans="1:21" s="958" customFormat="1" ht="14.25" customHeight="1">
      <c r="A271" s="3151" t="s">
        <v>1155</v>
      </c>
      <c r="B271" s="3151" t="s">
        <v>2938</v>
      </c>
      <c r="C271" s="3151"/>
      <c r="D271" s="3151"/>
      <c r="E271" s="3151"/>
      <c r="F271" s="3157">
        <v>1460</v>
      </c>
      <c r="G271" s="3157"/>
      <c r="I271" s="969"/>
      <c r="J271" s="3186"/>
      <c r="K271" s="3186"/>
      <c r="L271" s="3186"/>
      <c r="M271" s="3186"/>
      <c r="N271" s="3186"/>
      <c r="O271" s="3186"/>
      <c r="P271" s="3186"/>
      <c r="Q271" s="3186"/>
      <c r="R271" s="3186"/>
      <c r="S271" s="3186"/>
      <c r="T271" s="3186"/>
      <c r="U271" s="3186"/>
    </row>
    <row r="272" spans="1:21" s="958" customFormat="1" ht="14.25" customHeight="1">
      <c r="A272" s="3151" t="s">
        <v>1155</v>
      </c>
      <c r="B272" s="3151" t="s">
        <v>2939</v>
      </c>
      <c r="C272" s="3160"/>
      <c r="D272" s="3160"/>
      <c r="E272" s="3160"/>
      <c r="F272" s="3159">
        <v>1460</v>
      </c>
      <c r="G272" s="3157"/>
      <c r="I272" s="969"/>
      <c r="J272" s="3186"/>
      <c r="K272" s="3186"/>
      <c r="L272" s="3186"/>
      <c r="M272" s="3186"/>
      <c r="N272" s="3186"/>
      <c r="O272" s="3186"/>
      <c r="P272" s="3186"/>
      <c r="Q272" s="3186"/>
      <c r="R272" s="3186"/>
      <c r="S272" s="3186"/>
      <c r="T272" s="3186"/>
      <c r="U272" s="3186"/>
    </row>
    <row r="273" spans="1:21" s="958" customFormat="1" ht="14.25" customHeight="1">
      <c r="A273" s="3151" t="s">
        <v>1155</v>
      </c>
      <c r="B273" s="3151" t="s">
        <v>2940</v>
      </c>
      <c r="C273" s="3151"/>
      <c r="D273" s="3151"/>
      <c r="E273" s="3151"/>
      <c r="F273" s="3157">
        <v>1490</v>
      </c>
      <c r="G273" s="3157"/>
      <c r="I273" s="969"/>
      <c r="J273" s="3186"/>
      <c r="K273" s="3186"/>
      <c r="L273" s="3186"/>
      <c r="M273" s="3186"/>
      <c r="N273" s="3186"/>
      <c r="O273" s="3186"/>
      <c r="P273" s="3186"/>
      <c r="Q273" s="3186"/>
      <c r="R273" s="3186"/>
      <c r="S273" s="3186"/>
      <c r="T273" s="3186"/>
      <c r="U273" s="3186"/>
    </row>
    <row r="274" spans="1:21" s="958" customFormat="1" ht="14.25" customHeight="1">
      <c r="A274" s="3151" t="s">
        <v>1155</v>
      </c>
      <c r="B274" s="3151" t="s">
        <v>2941</v>
      </c>
      <c r="C274" s="3151"/>
      <c r="D274" s="3151"/>
      <c r="E274" s="3151"/>
      <c r="F274" s="3157">
        <v>1490</v>
      </c>
      <c r="G274" s="3157"/>
      <c r="I274" s="969"/>
      <c r="J274" s="3186"/>
      <c r="K274" s="3186"/>
      <c r="L274" s="3186"/>
      <c r="M274" s="3186"/>
      <c r="N274" s="3186"/>
      <c r="O274" s="3186"/>
      <c r="P274" s="3186"/>
      <c r="Q274" s="3186"/>
      <c r="R274" s="3186"/>
      <c r="S274" s="3186"/>
      <c r="T274" s="3186"/>
      <c r="U274" s="3186"/>
    </row>
    <row r="275" spans="1:21" s="958" customFormat="1" ht="14.25" customHeight="1">
      <c r="A275" s="3151" t="s">
        <v>1155</v>
      </c>
      <c r="B275" s="3151" t="s">
        <v>2942</v>
      </c>
      <c r="C275" s="3151"/>
      <c r="D275" s="3151"/>
      <c r="E275" s="3151"/>
      <c r="F275" s="3157">
        <v>1220</v>
      </c>
      <c r="G275" s="3157"/>
      <c r="I275" s="969"/>
      <c r="J275" s="3186"/>
      <c r="K275" s="3186"/>
      <c r="L275" s="3186"/>
      <c r="M275" s="3186"/>
      <c r="N275" s="3186"/>
      <c r="O275" s="3186"/>
      <c r="P275" s="3186"/>
      <c r="Q275" s="3186"/>
      <c r="R275" s="3186"/>
      <c r="S275" s="3186"/>
      <c r="T275" s="3186"/>
      <c r="U275" s="3186"/>
    </row>
    <row r="276" spans="1:21" s="958" customFormat="1" ht="14.25" customHeight="1" thickBot="1">
      <c r="A276" s="3166" t="s">
        <v>1155</v>
      </c>
      <c r="B276" s="3154" t="s">
        <v>2943</v>
      </c>
      <c r="C276" s="3154"/>
      <c r="D276" s="3154"/>
      <c r="E276" s="3154"/>
      <c r="F276" s="3155">
        <v>1380</v>
      </c>
      <c r="G276" s="3167"/>
      <c r="I276" s="969"/>
      <c r="J276" s="3186"/>
      <c r="K276" s="3186"/>
      <c r="L276" s="3186"/>
      <c r="M276" s="3186"/>
      <c r="N276" s="3186"/>
      <c r="O276" s="3186"/>
      <c r="P276" s="3186"/>
      <c r="Q276" s="3186"/>
      <c r="R276" s="3186"/>
      <c r="S276" s="3186"/>
      <c r="T276" s="3186"/>
      <c r="U276" s="3186"/>
    </row>
    <row r="277" spans="1:21" s="958" customFormat="1" ht="14.25" customHeight="1">
      <c r="A277" s="3165" t="s">
        <v>1156</v>
      </c>
      <c r="B277" s="1213" t="s">
        <v>2944</v>
      </c>
      <c r="C277" s="1213">
        <v>5790</v>
      </c>
      <c r="D277" s="1213">
        <v>5740</v>
      </c>
      <c r="E277" s="1213">
        <v>6730</v>
      </c>
      <c r="F277" s="3152">
        <v>1110</v>
      </c>
      <c r="G277" s="3152">
        <v>3460</v>
      </c>
      <c r="I277" s="969"/>
      <c r="J277" s="3186"/>
      <c r="K277" s="3186"/>
      <c r="L277" s="3186"/>
      <c r="M277" s="3186"/>
      <c r="N277" s="3186"/>
      <c r="O277" s="3186"/>
      <c r="P277" s="3186"/>
      <c r="Q277" s="3186"/>
      <c r="R277" s="3186"/>
      <c r="S277" s="3186"/>
      <c r="T277" s="3186"/>
      <c r="U277" s="3186"/>
    </row>
    <row r="278" spans="1:21" s="958" customFormat="1" ht="14.25" customHeight="1">
      <c r="A278" s="3151" t="s">
        <v>1156</v>
      </c>
      <c r="B278" s="3151" t="s">
        <v>980</v>
      </c>
      <c r="C278" s="3151">
        <v>5740</v>
      </c>
      <c r="D278" s="3151">
        <v>5670</v>
      </c>
      <c r="E278" s="3151">
        <v>6680</v>
      </c>
      <c r="F278" s="3157">
        <v>1070</v>
      </c>
      <c r="G278" s="3157">
        <v>3420</v>
      </c>
      <c r="I278" s="969"/>
      <c r="J278" s="3186"/>
      <c r="K278" s="3186"/>
      <c r="L278" s="3186"/>
      <c r="M278" s="3186"/>
      <c r="N278" s="3186"/>
      <c r="O278" s="3186"/>
      <c r="P278" s="3186"/>
      <c r="Q278" s="3186"/>
      <c r="R278" s="3186"/>
      <c r="S278" s="3186"/>
      <c r="T278" s="3186"/>
      <c r="U278" s="3186"/>
    </row>
    <row r="279" spans="1:21" s="958" customFormat="1" ht="14.25" customHeight="1">
      <c r="A279" s="3151" t="s">
        <v>1156</v>
      </c>
      <c r="B279" s="3151" t="s">
        <v>2945</v>
      </c>
      <c r="C279" s="3151">
        <v>4760</v>
      </c>
      <c r="D279" s="3151">
        <v>4720</v>
      </c>
      <c r="E279" s="3151">
        <v>5540</v>
      </c>
      <c r="F279" s="3157">
        <v>810</v>
      </c>
      <c r="G279" s="3157">
        <v>2850</v>
      </c>
      <c r="I279" s="969"/>
      <c r="J279" s="3186"/>
      <c r="K279" s="3186"/>
      <c r="L279" s="3186"/>
      <c r="M279" s="3186"/>
      <c r="N279" s="3186"/>
      <c r="O279" s="3186"/>
      <c r="P279" s="3186"/>
      <c r="Q279" s="3186"/>
      <c r="R279" s="3186"/>
      <c r="S279" s="3186"/>
      <c r="T279" s="3186"/>
      <c r="U279" s="3186"/>
    </row>
    <row r="280" spans="1:21" s="958" customFormat="1" ht="14.25" customHeight="1">
      <c r="A280" s="3151" t="s">
        <v>1156</v>
      </c>
      <c r="B280" s="3151" t="s">
        <v>2946</v>
      </c>
      <c r="C280" s="3151">
        <v>4010</v>
      </c>
      <c r="D280" s="3151">
        <v>3950</v>
      </c>
      <c r="E280" s="3151">
        <v>4710</v>
      </c>
      <c r="F280" s="3157">
        <v>800</v>
      </c>
      <c r="G280" s="3157">
        <v>2390</v>
      </c>
      <c r="I280" s="969"/>
      <c r="J280" s="3186"/>
      <c r="K280" s="3186"/>
      <c r="L280" s="3186"/>
      <c r="M280" s="3186"/>
      <c r="N280" s="3186"/>
      <c r="O280" s="3186"/>
      <c r="P280" s="3186"/>
      <c r="Q280" s="3186"/>
      <c r="R280" s="3186"/>
      <c r="S280" s="3186"/>
      <c r="T280" s="3186"/>
      <c r="U280" s="3186"/>
    </row>
    <row r="281" spans="1:21" s="958" customFormat="1" ht="14.25" customHeight="1">
      <c r="A281" s="3151" t="s">
        <v>1156</v>
      </c>
      <c r="B281" s="3151" t="s">
        <v>2947</v>
      </c>
      <c r="C281" s="3151">
        <v>4480</v>
      </c>
      <c r="D281" s="3151">
        <v>4420</v>
      </c>
      <c r="E281" s="3151">
        <v>5230</v>
      </c>
      <c r="F281" s="3157">
        <v>870</v>
      </c>
      <c r="G281" s="3157">
        <v>2660</v>
      </c>
      <c r="I281" s="969"/>
      <c r="J281" s="3186"/>
      <c r="K281" s="3186"/>
      <c r="L281" s="3186"/>
      <c r="M281" s="3186"/>
      <c r="N281" s="3186"/>
      <c r="O281" s="3186"/>
      <c r="P281" s="3186"/>
      <c r="Q281" s="3186"/>
      <c r="R281" s="3186"/>
      <c r="S281" s="3186"/>
      <c r="T281" s="3186"/>
      <c r="U281" s="3186"/>
    </row>
    <row r="282" spans="1:21" s="958" customFormat="1" ht="14.25" customHeight="1">
      <c r="A282" s="3151" t="s">
        <v>1156</v>
      </c>
      <c r="B282" s="3151" t="s">
        <v>2948</v>
      </c>
      <c r="C282" s="3151">
        <v>5360</v>
      </c>
      <c r="D282" s="3151">
        <v>5300</v>
      </c>
      <c r="E282" s="3151">
        <v>6190</v>
      </c>
      <c r="F282" s="3157">
        <v>950</v>
      </c>
      <c r="G282" s="3157">
        <v>3190</v>
      </c>
      <c r="I282" s="969"/>
      <c r="J282" s="3186"/>
      <c r="K282" s="3186"/>
      <c r="L282" s="3186"/>
      <c r="M282" s="3186"/>
      <c r="N282" s="3186"/>
      <c r="O282" s="3186"/>
      <c r="P282" s="3186"/>
      <c r="Q282" s="3186"/>
      <c r="R282" s="3186"/>
      <c r="S282" s="3186"/>
      <c r="T282" s="3186"/>
      <c r="U282" s="3186"/>
    </row>
    <row r="283" spans="1:21" s="958" customFormat="1" ht="14.25" customHeight="1">
      <c r="A283" s="3151" t="s">
        <v>1156</v>
      </c>
      <c r="B283" s="3151" t="s">
        <v>1021</v>
      </c>
      <c r="C283" s="3151">
        <v>4950</v>
      </c>
      <c r="D283" s="3151">
        <v>4900</v>
      </c>
      <c r="E283" s="3151">
        <v>5720</v>
      </c>
      <c r="F283" s="3157">
        <v>920</v>
      </c>
      <c r="G283" s="3157">
        <v>2950</v>
      </c>
      <c r="I283" s="969"/>
      <c r="J283" s="3186"/>
      <c r="K283" s="3186"/>
      <c r="L283" s="3186"/>
      <c r="M283" s="3186"/>
      <c r="N283" s="3186"/>
      <c r="O283" s="3186"/>
      <c r="P283" s="3186"/>
      <c r="Q283" s="3186"/>
      <c r="R283" s="3186"/>
      <c r="S283" s="3186"/>
      <c r="T283" s="3186"/>
      <c r="U283" s="3186"/>
    </row>
    <row r="284" spans="1:21" s="958" customFormat="1" ht="14.25" customHeight="1">
      <c r="A284" s="3151" t="s">
        <v>1156</v>
      </c>
      <c r="B284" s="3151" t="s">
        <v>1029</v>
      </c>
      <c r="C284" s="3151">
        <v>5610</v>
      </c>
      <c r="D284" s="3151">
        <v>5560</v>
      </c>
      <c r="E284" s="3151">
        <v>6520</v>
      </c>
      <c r="F284" s="3157">
        <v>1030</v>
      </c>
      <c r="G284" s="3157">
        <v>3360</v>
      </c>
      <c r="I284" s="969"/>
      <c r="J284" s="3186"/>
      <c r="K284" s="3186"/>
      <c r="L284" s="3186"/>
      <c r="M284" s="3186"/>
      <c r="N284" s="3186"/>
      <c r="O284" s="3186"/>
      <c r="P284" s="3186"/>
      <c r="Q284" s="3186"/>
      <c r="R284" s="3186"/>
      <c r="S284" s="3186"/>
      <c r="T284" s="3186"/>
      <c r="U284" s="3186"/>
    </row>
    <row r="285" spans="1:21" s="958" customFormat="1" ht="14.25" customHeight="1">
      <c r="A285" s="3151" t="s">
        <v>1156</v>
      </c>
      <c r="B285" s="3151" t="s">
        <v>1039</v>
      </c>
      <c r="C285" s="3151">
        <v>5340</v>
      </c>
      <c r="D285" s="3151">
        <v>5290</v>
      </c>
      <c r="E285" s="3151">
        <v>6170</v>
      </c>
      <c r="F285" s="3157">
        <v>1080</v>
      </c>
      <c r="G285" s="3157">
        <v>3180</v>
      </c>
      <c r="I285" s="969"/>
      <c r="J285" s="3186"/>
      <c r="K285" s="3186"/>
      <c r="L285" s="3186"/>
      <c r="M285" s="3186"/>
      <c r="N285" s="3186"/>
      <c r="O285" s="3186"/>
      <c r="P285" s="3186"/>
      <c r="Q285" s="3186"/>
      <c r="R285" s="3186"/>
      <c r="S285" s="3186"/>
      <c r="T285" s="3186"/>
      <c r="U285" s="3186"/>
    </row>
    <row r="286" spans="1:21" s="958" customFormat="1" ht="14.25" customHeight="1">
      <c r="A286" s="3151" t="s">
        <v>1156</v>
      </c>
      <c r="B286" s="3151" t="s">
        <v>1046</v>
      </c>
      <c r="C286" s="3151">
        <v>4890</v>
      </c>
      <c r="D286" s="3151">
        <v>4840</v>
      </c>
      <c r="E286" s="3151">
        <v>5640</v>
      </c>
      <c r="F286" s="3157">
        <v>960</v>
      </c>
      <c r="G286" s="3157">
        <v>2910</v>
      </c>
      <c r="I286" s="969"/>
      <c r="J286" s="3186"/>
      <c r="K286" s="3186"/>
      <c r="L286" s="3186"/>
      <c r="M286" s="3186"/>
      <c r="N286" s="3186"/>
      <c r="O286" s="3186"/>
      <c r="P286" s="3186"/>
      <c r="Q286" s="3186"/>
      <c r="R286" s="3186"/>
      <c r="S286" s="3186"/>
      <c r="T286" s="3186"/>
      <c r="U286" s="3186"/>
    </row>
    <row r="287" spans="1:21" s="958" customFormat="1" ht="14.25" customHeight="1">
      <c r="A287" s="3151" t="s">
        <v>1156</v>
      </c>
      <c r="B287" s="3151" t="s">
        <v>2949</v>
      </c>
      <c r="C287" s="3151">
        <v>4960</v>
      </c>
      <c r="D287" s="3151">
        <v>4920</v>
      </c>
      <c r="E287" s="3151">
        <v>5730</v>
      </c>
      <c r="F287" s="3157">
        <v>930</v>
      </c>
      <c r="G287" s="3157">
        <v>2960</v>
      </c>
      <c r="I287" s="969"/>
      <c r="J287" s="3186"/>
      <c r="K287" s="3186"/>
      <c r="L287" s="3186"/>
      <c r="M287" s="3186"/>
      <c r="N287" s="3186"/>
      <c r="O287" s="3186"/>
      <c r="P287" s="3186"/>
      <c r="Q287" s="3186"/>
      <c r="R287" s="3186"/>
      <c r="S287" s="3186"/>
      <c r="T287" s="3186"/>
      <c r="U287" s="3186"/>
    </row>
    <row r="288" spans="1:21" s="958" customFormat="1" ht="14.25" customHeight="1">
      <c r="A288" s="3151" t="s">
        <v>1156</v>
      </c>
      <c r="B288" s="3151" t="s">
        <v>1067</v>
      </c>
      <c r="C288" s="3151">
        <v>4350</v>
      </c>
      <c r="D288" s="3151">
        <v>4300</v>
      </c>
      <c r="E288" s="3151">
        <v>4900</v>
      </c>
      <c r="F288" s="3157">
        <v>820</v>
      </c>
      <c r="G288" s="3157">
        <v>2590</v>
      </c>
      <c r="I288" s="969"/>
      <c r="J288" s="3186"/>
      <c r="K288" s="3186"/>
      <c r="L288" s="3186"/>
      <c r="M288" s="3186"/>
      <c r="N288" s="3186"/>
      <c r="O288" s="3186"/>
      <c r="P288" s="3186"/>
      <c r="Q288" s="3186"/>
      <c r="R288" s="3186"/>
      <c r="S288" s="3186"/>
      <c r="T288" s="3186"/>
      <c r="U288" s="3186"/>
    </row>
    <row r="289" spans="1:21" s="958" customFormat="1" ht="14.25" customHeight="1">
      <c r="A289" s="3151" t="s">
        <v>1156</v>
      </c>
      <c r="B289" s="3151" t="s">
        <v>2950</v>
      </c>
      <c r="C289" s="3151">
        <v>5230</v>
      </c>
      <c r="D289" s="3151">
        <v>5170</v>
      </c>
      <c r="E289" s="3151">
        <v>6060</v>
      </c>
      <c r="F289" s="3151">
        <v>900</v>
      </c>
      <c r="G289" s="3151">
        <v>3120</v>
      </c>
      <c r="H289" s="955"/>
      <c r="I289" s="969"/>
      <c r="J289" s="3186"/>
      <c r="K289" s="3186"/>
      <c r="L289" s="3186"/>
      <c r="M289" s="3186"/>
      <c r="N289" s="3186"/>
      <c r="O289" s="3186"/>
      <c r="P289" s="3186"/>
      <c r="Q289" s="3186"/>
      <c r="R289" s="3186"/>
      <c r="S289" s="3186"/>
      <c r="T289" s="3186"/>
      <c r="U289" s="3186"/>
    </row>
    <row r="290" spans="1:21" s="958" customFormat="1" ht="14.25" customHeight="1">
      <c r="A290" s="1213" t="s">
        <v>1156</v>
      </c>
      <c r="B290" s="1213" t="s">
        <v>1090</v>
      </c>
      <c r="C290" s="1213">
        <v>5550</v>
      </c>
      <c r="D290" s="1213">
        <v>5500</v>
      </c>
      <c r="E290" s="1213">
        <v>6440</v>
      </c>
      <c r="F290" s="3152">
        <v>960</v>
      </c>
      <c r="G290" s="3168">
        <v>3320</v>
      </c>
      <c r="I290" s="969"/>
      <c r="J290" s="3186"/>
      <c r="K290" s="3186"/>
      <c r="L290" s="3186"/>
      <c r="M290" s="3186"/>
      <c r="N290" s="3186"/>
      <c r="O290" s="3186"/>
      <c r="P290" s="3186"/>
      <c r="Q290" s="3186"/>
      <c r="R290" s="3186"/>
      <c r="S290" s="3186"/>
      <c r="T290" s="3186"/>
      <c r="U290" s="3186"/>
    </row>
    <row r="291" spans="1:21" s="958" customFormat="1" ht="14.25" customHeight="1">
      <c r="A291" s="3151" t="s">
        <v>1156</v>
      </c>
      <c r="B291" s="3151" t="s">
        <v>1098</v>
      </c>
      <c r="C291" s="3151">
        <v>5440</v>
      </c>
      <c r="D291" s="3151">
        <v>5400</v>
      </c>
      <c r="E291" s="3151">
        <v>6320</v>
      </c>
      <c r="F291" s="3157">
        <v>930</v>
      </c>
      <c r="G291" s="3159">
        <v>3250</v>
      </c>
      <c r="I291" s="969"/>
      <c r="J291" s="3186"/>
      <c r="K291" s="3186"/>
      <c r="L291" s="3186"/>
      <c r="M291" s="3186"/>
      <c r="N291" s="3186"/>
      <c r="O291" s="3186"/>
      <c r="P291" s="3186"/>
      <c r="Q291" s="3186"/>
      <c r="R291" s="3186"/>
      <c r="S291" s="3186"/>
      <c r="T291" s="3186"/>
      <c r="U291" s="3186"/>
    </row>
    <row r="292" spans="1:21" s="958" customFormat="1" ht="14.25" customHeight="1">
      <c r="A292" s="3151" t="s">
        <v>1156</v>
      </c>
      <c r="B292" s="3151" t="s">
        <v>1104</v>
      </c>
      <c r="C292" s="3151">
        <v>5400</v>
      </c>
      <c r="D292" s="3151">
        <v>5360</v>
      </c>
      <c r="E292" s="3151">
        <v>6270</v>
      </c>
      <c r="F292" s="3157">
        <v>1040</v>
      </c>
      <c r="G292" s="3157">
        <v>3230</v>
      </c>
      <c r="I292" s="969"/>
      <c r="J292" s="3186"/>
      <c r="K292" s="3186"/>
      <c r="L292" s="3186"/>
      <c r="M292" s="3186"/>
      <c r="N292" s="3186"/>
      <c r="O292" s="3186"/>
      <c r="P292" s="3186"/>
      <c r="Q292" s="3186"/>
      <c r="R292" s="3186"/>
      <c r="S292" s="3186"/>
      <c r="T292" s="3186"/>
      <c r="U292" s="3186"/>
    </row>
    <row r="293" spans="1:21" s="958" customFormat="1" ht="14.25" customHeight="1">
      <c r="A293" s="3151" t="s">
        <v>1156</v>
      </c>
      <c r="B293" s="3151" t="s">
        <v>2951</v>
      </c>
      <c r="C293" s="3151">
        <v>5320</v>
      </c>
      <c r="D293" s="3151">
        <v>5270</v>
      </c>
      <c r="E293" s="3151">
        <v>6160</v>
      </c>
      <c r="F293" s="3157">
        <v>990</v>
      </c>
      <c r="G293" s="3157">
        <v>3170</v>
      </c>
      <c r="I293" s="969"/>
      <c r="J293" s="3186"/>
      <c r="K293" s="3186"/>
      <c r="L293" s="3186"/>
      <c r="M293" s="3186"/>
      <c r="N293" s="3186"/>
      <c r="O293" s="3186"/>
      <c r="P293" s="3186"/>
      <c r="Q293" s="3186"/>
      <c r="R293" s="3186"/>
      <c r="S293" s="3186"/>
      <c r="T293" s="3186"/>
      <c r="U293" s="3186"/>
    </row>
    <row r="294" spans="1:21" s="958" customFormat="1" ht="14.25" customHeight="1">
      <c r="A294" s="3151" t="s">
        <v>1156</v>
      </c>
      <c r="B294" s="3151" t="s">
        <v>2952</v>
      </c>
      <c r="C294" s="3151">
        <v>5260</v>
      </c>
      <c r="D294" s="3151">
        <v>5210</v>
      </c>
      <c r="E294" s="3151">
        <v>6100</v>
      </c>
      <c r="F294" s="3157">
        <v>950</v>
      </c>
      <c r="G294" s="3157">
        <v>3150</v>
      </c>
      <c r="I294" s="969"/>
      <c r="J294" s="3186"/>
      <c r="K294" s="3186"/>
      <c r="L294" s="3186"/>
      <c r="M294" s="3186"/>
      <c r="N294" s="3186"/>
      <c r="O294" s="3186"/>
      <c r="P294" s="3186"/>
      <c r="Q294" s="3186"/>
      <c r="R294" s="3186"/>
      <c r="S294" s="3186"/>
      <c r="T294" s="3186"/>
      <c r="U294" s="3186"/>
    </row>
    <row r="295" spans="1:21" s="958" customFormat="1" ht="14.25" customHeight="1">
      <c r="A295" s="3151" t="s">
        <v>1156</v>
      </c>
      <c r="B295" s="3151" t="s">
        <v>1139</v>
      </c>
      <c r="C295" s="3151">
        <v>5610</v>
      </c>
      <c r="D295" s="3151">
        <v>5570</v>
      </c>
      <c r="E295" s="3151">
        <v>6530</v>
      </c>
      <c r="F295" s="3157">
        <v>960</v>
      </c>
      <c r="G295" s="3157">
        <v>3360</v>
      </c>
      <c r="I295" s="969"/>
      <c r="J295" s="3186"/>
      <c r="K295" s="3186"/>
      <c r="L295" s="3186"/>
      <c r="M295" s="3186"/>
      <c r="N295" s="3186"/>
      <c r="O295" s="3186"/>
      <c r="P295" s="3186"/>
      <c r="Q295" s="3186"/>
      <c r="R295" s="3186"/>
      <c r="S295" s="3186"/>
      <c r="T295" s="3186"/>
      <c r="U295" s="3186"/>
    </row>
    <row r="296" spans="1:21" s="958" customFormat="1" ht="14.25" customHeight="1">
      <c r="A296" s="3151" t="s">
        <v>1156</v>
      </c>
      <c r="B296" s="3151" t="s">
        <v>1142</v>
      </c>
      <c r="C296" s="3151">
        <v>5540</v>
      </c>
      <c r="D296" s="3151">
        <v>5490</v>
      </c>
      <c r="E296" s="3151">
        <v>6430</v>
      </c>
      <c r="F296" s="3157">
        <v>980</v>
      </c>
      <c r="G296" s="3157">
        <v>3310</v>
      </c>
      <c r="I296" s="969"/>
      <c r="J296" s="3186"/>
      <c r="K296" s="3186"/>
      <c r="L296" s="3186"/>
      <c r="M296" s="3186"/>
      <c r="N296" s="3186"/>
      <c r="O296" s="3186"/>
      <c r="P296" s="3186"/>
      <c r="Q296" s="3186"/>
      <c r="R296" s="3186"/>
      <c r="S296" s="3186"/>
      <c r="T296" s="3186"/>
      <c r="U296" s="3186"/>
    </row>
    <row r="297" spans="1:21" s="958" customFormat="1" ht="14.25" customHeight="1">
      <c r="A297" s="3151" t="s">
        <v>1156</v>
      </c>
      <c r="B297" s="3151" t="s">
        <v>1144</v>
      </c>
      <c r="C297" s="3151">
        <v>5480</v>
      </c>
      <c r="D297" s="3151">
        <v>5420</v>
      </c>
      <c r="E297" s="3151">
        <v>6370</v>
      </c>
      <c r="F297" s="3157">
        <v>990</v>
      </c>
      <c r="G297" s="3157">
        <v>3270</v>
      </c>
      <c r="I297" s="969"/>
      <c r="J297" s="3186"/>
      <c r="K297" s="3186"/>
      <c r="L297" s="3186"/>
      <c r="M297" s="3186"/>
      <c r="N297" s="3186"/>
      <c r="O297" s="3186"/>
      <c r="P297" s="3186"/>
      <c r="Q297" s="3186"/>
      <c r="R297" s="3186"/>
      <c r="S297" s="3186"/>
      <c r="T297" s="3186"/>
      <c r="U297" s="3186"/>
    </row>
    <row r="298" spans="1:21" s="958" customFormat="1" ht="14.25" customHeight="1">
      <c r="A298" s="3151" t="s">
        <v>1156</v>
      </c>
      <c r="B298" s="3151" t="s">
        <v>1147</v>
      </c>
      <c r="C298" s="3151">
        <v>5090</v>
      </c>
      <c r="D298" s="3151">
        <v>5050</v>
      </c>
      <c r="E298" s="3151">
        <v>5910</v>
      </c>
      <c r="F298" s="3157">
        <v>900</v>
      </c>
      <c r="G298" s="3157">
        <v>3040</v>
      </c>
      <c r="I298" s="969"/>
      <c r="J298" s="3186"/>
      <c r="K298" s="3186"/>
      <c r="L298" s="3186"/>
      <c r="M298" s="3186"/>
      <c r="N298" s="3186"/>
      <c r="O298" s="3186"/>
      <c r="P298" s="3186"/>
      <c r="Q298" s="3186"/>
      <c r="R298" s="3186"/>
      <c r="S298" s="3186"/>
      <c r="T298" s="3186"/>
      <c r="U298" s="3186"/>
    </row>
    <row r="299" spans="1:21" s="958" customFormat="1" ht="14.25" customHeight="1">
      <c r="A299" s="3151" t="s">
        <v>1156</v>
      </c>
      <c r="B299" s="3151" t="s">
        <v>2953</v>
      </c>
      <c r="C299" s="3151">
        <v>5430</v>
      </c>
      <c r="D299" s="3151">
        <v>5380</v>
      </c>
      <c r="E299" s="3151">
        <v>6280</v>
      </c>
      <c r="F299" s="3157">
        <v>1000</v>
      </c>
      <c r="G299" s="3159">
        <v>3240</v>
      </c>
      <c r="I299" s="969"/>
      <c r="J299" s="3186"/>
      <c r="K299" s="3186"/>
      <c r="L299" s="3186"/>
      <c r="M299" s="3186"/>
      <c r="N299" s="3186"/>
      <c r="O299" s="3186"/>
      <c r="P299" s="3186"/>
      <c r="Q299" s="3186"/>
      <c r="R299" s="3186"/>
      <c r="S299" s="3186"/>
      <c r="T299" s="3186"/>
      <c r="U299" s="3186"/>
    </row>
    <row r="300" spans="1:21" s="958" customFormat="1" ht="14.25" customHeight="1">
      <c r="A300" s="3151" t="s">
        <v>1156</v>
      </c>
      <c r="B300" s="3151" t="s">
        <v>1119</v>
      </c>
      <c r="C300" s="3151">
        <v>4740</v>
      </c>
      <c r="D300" s="3151">
        <v>4680</v>
      </c>
      <c r="E300" s="3151">
        <v>5450</v>
      </c>
      <c r="F300" s="3157">
        <v>900</v>
      </c>
      <c r="G300" s="3157">
        <v>2830</v>
      </c>
      <c r="I300" s="969"/>
      <c r="J300" s="3186"/>
      <c r="K300" s="3186"/>
      <c r="L300" s="3186"/>
      <c r="M300" s="3186"/>
      <c r="N300" s="3186"/>
      <c r="O300" s="3186"/>
      <c r="P300" s="3186"/>
      <c r="Q300" s="3186"/>
      <c r="R300" s="3186"/>
      <c r="S300" s="3186"/>
      <c r="T300" s="3186"/>
      <c r="U300" s="3186"/>
    </row>
    <row r="301" spans="1:21" s="958" customFormat="1" ht="14.25" customHeight="1">
      <c r="A301" s="3151" t="s">
        <v>1156</v>
      </c>
      <c r="B301" s="3151" t="s">
        <v>1125</v>
      </c>
      <c r="C301" s="3151">
        <v>4870</v>
      </c>
      <c r="D301" s="3151">
        <v>4810</v>
      </c>
      <c r="E301" s="3151">
        <v>5560</v>
      </c>
      <c r="F301" s="3157">
        <v>990</v>
      </c>
      <c r="G301" s="3159">
        <v>2910</v>
      </c>
      <c r="I301" s="969"/>
      <c r="J301" s="3186"/>
      <c r="K301" s="3186"/>
      <c r="L301" s="3186"/>
      <c r="M301" s="3186"/>
      <c r="N301" s="3186"/>
      <c r="O301" s="3186"/>
      <c r="P301" s="3186"/>
      <c r="Q301" s="3186"/>
      <c r="R301" s="3186"/>
      <c r="S301" s="3186"/>
      <c r="T301" s="3186"/>
      <c r="U301" s="3186"/>
    </row>
    <row r="302" spans="1:21" s="958" customFormat="1" ht="14.25" customHeight="1">
      <c r="A302" s="3151" t="s">
        <v>1156</v>
      </c>
      <c r="B302" s="3151" t="s">
        <v>2954</v>
      </c>
      <c r="C302" s="3151">
        <v>5520</v>
      </c>
      <c r="D302" s="3151">
        <v>5470</v>
      </c>
      <c r="E302" s="3151">
        <v>6410</v>
      </c>
      <c r="F302" s="3157">
        <v>950</v>
      </c>
      <c r="G302" s="3157">
        <v>3300</v>
      </c>
      <c r="I302" s="969"/>
      <c r="J302" s="3186"/>
      <c r="K302" s="3186"/>
      <c r="L302" s="3186"/>
      <c r="M302" s="3186"/>
      <c r="N302" s="3186"/>
      <c r="O302" s="3186"/>
      <c r="P302" s="3186"/>
      <c r="Q302" s="3186"/>
      <c r="R302" s="3186"/>
      <c r="S302" s="3186"/>
      <c r="T302" s="3186"/>
      <c r="U302" s="3186"/>
    </row>
    <row r="303" spans="1:21" s="958" customFormat="1" ht="14.25" customHeight="1">
      <c r="A303" s="3151" t="s">
        <v>1156</v>
      </c>
      <c r="B303" s="3151" t="s">
        <v>2955</v>
      </c>
      <c r="C303" s="3151">
        <v>5630</v>
      </c>
      <c r="D303" s="3151">
        <v>5590</v>
      </c>
      <c r="E303" s="3151">
        <v>6550</v>
      </c>
      <c r="F303" s="3157">
        <v>1010</v>
      </c>
      <c r="G303" s="3157">
        <v>3370</v>
      </c>
      <c r="I303" s="969"/>
      <c r="J303" s="3186"/>
      <c r="K303" s="3186"/>
      <c r="L303" s="3186"/>
      <c r="M303" s="3186"/>
      <c r="N303" s="3186"/>
      <c r="O303" s="3186"/>
      <c r="P303" s="3186"/>
      <c r="Q303" s="3186"/>
      <c r="R303" s="3186"/>
      <c r="S303" s="3186"/>
      <c r="T303" s="3186"/>
      <c r="U303" s="3186"/>
    </row>
    <row r="304" spans="1:21" s="958" customFormat="1" ht="14.25" customHeight="1">
      <c r="A304" s="3151" t="s">
        <v>1156</v>
      </c>
      <c r="B304" s="3151" t="s">
        <v>2956</v>
      </c>
      <c r="C304" s="3151">
        <v>5680</v>
      </c>
      <c r="D304" s="3151">
        <v>5620</v>
      </c>
      <c r="E304" s="3151">
        <v>6620</v>
      </c>
      <c r="F304" s="3157">
        <v>1050</v>
      </c>
      <c r="G304" s="3159">
        <v>3390</v>
      </c>
      <c r="I304" s="969"/>
      <c r="J304" s="3186"/>
      <c r="K304" s="3186"/>
      <c r="L304" s="3186"/>
      <c r="M304" s="3186"/>
      <c r="N304" s="3186"/>
      <c r="O304" s="3186"/>
      <c r="P304" s="3186"/>
      <c r="Q304" s="3186"/>
      <c r="R304" s="3186"/>
      <c r="S304" s="3186"/>
      <c r="T304" s="3186"/>
      <c r="U304" s="3186"/>
    </row>
    <row r="305" spans="1:21" s="958" customFormat="1" ht="14.25" customHeight="1">
      <c r="A305" s="3151" t="s">
        <v>1156</v>
      </c>
      <c r="B305" s="3151" t="s">
        <v>2957</v>
      </c>
      <c r="C305" s="3151">
        <v>5590</v>
      </c>
      <c r="D305" s="3151">
        <v>5530</v>
      </c>
      <c r="E305" s="3151">
        <v>6460</v>
      </c>
      <c r="F305" s="3157">
        <v>900</v>
      </c>
      <c r="G305" s="3157">
        <v>3340</v>
      </c>
      <c r="I305" s="969"/>
      <c r="J305" s="3186"/>
      <c r="K305" s="3186"/>
      <c r="L305" s="3186"/>
      <c r="M305" s="3186"/>
      <c r="N305" s="3186"/>
      <c r="O305" s="3186"/>
      <c r="P305" s="3186"/>
      <c r="Q305" s="3186"/>
      <c r="R305" s="3186"/>
      <c r="S305" s="3186"/>
      <c r="T305" s="3186"/>
      <c r="U305" s="3186"/>
    </row>
    <row r="306" spans="1:21" s="958" customFormat="1" ht="14.25" customHeight="1">
      <c r="A306" s="3151" t="s">
        <v>1156</v>
      </c>
      <c r="B306" s="3151" t="s">
        <v>2958</v>
      </c>
      <c r="C306" s="3151">
        <v>5560</v>
      </c>
      <c r="D306" s="3151">
        <v>5510</v>
      </c>
      <c r="E306" s="3151">
        <v>6440</v>
      </c>
      <c r="F306" s="3157">
        <v>900</v>
      </c>
      <c r="G306" s="3159">
        <v>3320</v>
      </c>
      <c r="I306" s="969"/>
      <c r="J306" s="3186"/>
      <c r="K306" s="3186"/>
      <c r="L306" s="3186"/>
      <c r="M306" s="3186"/>
      <c r="N306" s="3186"/>
      <c r="O306" s="3186"/>
      <c r="P306" s="3186"/>
      <c r="Q306" s="3186"/>
      <c r="R306" s="3186"/>
      <c r="S306" s="3186"/>
      <c r="T306" s="3186"/>
      <c r="U306" s="3186"/>
    </row>
    <row r="307" spans="1:21" s="958" customFormat="1" ht="14.25" customHeight="1">
      <c r="A307" s="3151" t="s">
        <v>1156</v>
      </c>
      <c r="B307" s="3151" t="s">
        <v>2959</v>
      </c>
      <c r="C307" s="3151">
        <v>5650</v>
      </c>
      <c r="D307" s="3151">
        <v>5600</v>
      </c>
      <c r="E307" s="3151">
        <v>6590</v>
      </c>
      <c r="F307" s="3157">
        <v>930</v>
      </c>
      <c r="G307" s="3157">
        <v>3380</v>
      </c>
      <c r="I307" s="969"/>
      <c r="J307" s="3186"/>
      <c r="K307" s="3186"/>
      <c r="L307" s="3186"/>
      <c r="M307" s="3186"/>
      <c r="N307" s="3186"/>
      <c r="O307" s="3186"/>
      <c r="P307" s="3186"/>
      <c r="Q307" s="3186"/>
      <c r="R307" s="3186"/>
      <c r="S307" s="3186"/>
      <c r="T307" s="3186"/>
      <c r="U307" s="3186"/>
    </row>
    <row r="308" spans="1:21" s="958" customFormat="1" ht="14.25" customHeight="1">
      <c r="A308" s="3151" t="s">
        <v>1156</v>
      </c>
      <c r="B308" s="3151" t="s">
        <v>2960</v>
      </c>
      <c r="C308" s="3151">
        <v>5620</v>
      </c>
      <c r="D308" s="3151">
        <v>5580</v>
      </c>
      <c r="E308" s="3151">
        <v>6540</v>
      </c>
      <c r="F308" s="3157">
        <v>910</v>
      </c>
      <c r="G308" s="3157">
        <v>3370</v>
      </c>
      <c r="I308" s="969"/>
      <c r="J308" s="3186"/>
      <c r="K308" s="3186"/>
      <c r="L308" s="3186"/>
      <c r="M308" s="3186"/>
      <c r="N308" s="3186"/>
      <c r="O308" s="3186"/>
      <c r="P308" s="3186"/>
      <c r="Q308" s="3186"/>
      <c r="R308" s="3186"/>
      <c r="S308" s="3186"/>
      <c r="T308" s="3186"/>
      <c r="U308" s="3186"/>
    </row>
    <row r="309" spans="1:21" s="958" customFormat="1" ht="14.25" customHeight="1">
      <c r="A309" s="3151" t="s">
        <v>1156</v>
      </c>
      <c r="B309" s="3151" t="s">
        <v>2961</v>
      </c>
      <c r="C309" s="3151">
        <v>5060</v>
      </c>
      <c r="D309" s="3151">
        <v>5020</v>
      </c>
      <c r="E309" s="3151">
        <v>6370</v>
      </c>
      <c r="F309" s="3157">
        <v>800</v>
      </c>
      <c r="G309" s="3159">
        <v>3020</v>
      </c>
      <c r="I309" s="969"/>
      <c r="J309" s="3186"/>
      <c r="K309" s="3186"/>
      <c r="L309" s="3186"/>
      <c r="M309" s="3186"/>
      <c r="N309" s="3186"/>
      <c r="O309" s="3186"/>
      <c r="P309" s="3186"/>
      <c r="Q309" s="3186"/>
      <c r="R309" s="3186"/>
      <c r="S309" s="3186"/>
      <c r="T309" s="3186"/>
      <c r="U309" s="3186"/>
    </row>
    <row r="310" spans="1:21" s="958" customFormat="1" ht="14.25" customHeight="1">
      <c r="A310" s="3151" t="s">
        <v>1156</v>
      </c>
      <c r="B310" s="3151" t="s">
        <v>2962</v>
      </c>
      <c r="C310" s="3151">
        <v>5150</v>
      </c>
      <c r="D310" s="3151">
        <v>5110</v>
      </c>
      <c r="E310" s="3151">
        <v>6500</v>
      </c>
      <c r="F310" s="3157">
        <v>880</v>
      </c>
      <c r="G310" s="3157">
        <v>3080</v>
      </c>
      <c r="I310" s="969"/>
      <c r="J310" s="3186"/>
      <c r="K310" s="3186"/>
      <c r="L310" s="3186"/>
      <c r="M310" s="3186"/>
      <c r="N310" s="3186"/>
      <c r="O310" s="3186"/>
      <c r="P310" s="3186"/>
      <c r="Q310" s="3186"/>
      <c r="R310" s="3186"/>
      <c r="S310" s="3186"/>
      <c r="T310" s="3186"/>
      <c r="U310" s="3186"/>
    </row>
    <row r="311" spans="1:21" s="958" customFormat="1" ht="14.25" customHeight="1">
      <c r="A311" s="3151" t="s">
        <v>1156</v>
      </c>
      <c r="B311" s="3151" t="s">
        <v>2963</v>
      </c>
      <c r="C311" s="3151">
        <v>4750</v>
      </c>
      <c r="D311" s="3151">
        <v>4710</v>
      </c>
      <c r="E311" s="3151">
        <v>5510</v>
      </c>
      <c r="F311" s="3157">
        <v>880</v>
      </c>
      <c r="G311" s="3157">
        <v>2840</v>
      </c>
      <c r="I311" s="969"/>
      <c r="J311" s="3186"/>
      <c r="K311" s="3186"/>
      <c r="L311" s="3186"/>
      <c r="M311" s="3186"/>
      <c r="N311" s="3186"/>
      <c r="O311" s="3186"/>
      <c r="P311" s="3186"/>
      <c r="Q311" s="3186"/>
      <c r="R311" s="3186"/>
      <c r="S311" s="3186"/>
      <c r="T311" s="3186"/>
      <c r="U311" s="3186"/>
    </row>
    <row r="312" spans="1:21" s="958" customFormat="1" ht="14.25" customHeight="1">
      <c r="A312" s="3151" t="s">
        <v>1156</v>
      </c>
      <c r="B312" s="3151" t="s">
        <v>2964</v>
      </c>
      <c r="C312" s="3151">
        <v>4690</v>
      </c>
      <c r="D312" s="3151">
        <v>4640</v>
      </c>
      <c r="E312" s="3151">
        <v>5420</v>
      </c>
      <c r="F312" s="3157">
        <v>800</v>
      </c>
      <c r="G312" s="3157">
        <v>2800</v>
      </c>
      <c r="I312" s="969"/>
      <c r="J312" s="3186"/>
      <c r="K312" s="3186"/>
      <c r="L312" s="3186"/>
      <c r="M312" s="3186"/>
      <c r="N312" s="3186"/>
      <c r="O312" s="3186"/>
      <c r="P312" s="3186"/>
      <c r="Q312" s="3186"/>
      <c r="R312" s="3186"/>
      <c r="S312" s="3186"/>
      <c r="T312" s="3186"/>
      <c r="U312" s="3186"/>
    </row>
    <row r="313" spans="1:21" s="958" customFormat="1" ht="14.25" customHeight="1">
      <c r="A313" s="3151" t="s">
        <v>1156</v>
      </c>
      <c r="B313" s="3151" t="s">
        <v>2965</v>
      </c>
      <c r="C313" s="3151">
        <v>4810</v>
      </c>
      <c r="D313" s="3151">
        <v>4760</v>
      </c>
      <c r="E313" s="3151">
        <v>5550</v>
      </c>
      <c r="F313" s="3157">
        <v>920</v>
      </c>
      <c r="G313" s="3157">
        <v>2870</v>
      </c>
      <c r="I313" s="969"/>
      <c r="J313" s="3186"/>
      <c r="K313" s="3186"/>
      <c r="L313" s="3186"/>
      <c r="M313" s="3186"/>
      <c r="N313" s="3186"/>
      <c r="O313" s="3186"/>
      <c r="P313" s="3186"/>
      <c r="Q313" s="3186"/>
      <c r="R313" s="3186"/>
      <c r="S313" s="3186"/>
      <c r="T313" s="3186"/>
      <c r="U313" s="3186"/>
    </row>
    <row r="314" spans="1:21" s="958" customFormat="1" ht="14.25" customHeight="1">
      <c r="A314" s="3151" t="s">
        <v>1156</v>
      </c>
      <c r="B314" s="3151" t="s">
        <v>2966</v>
      </c>
      <c r="C314" s="3151"/>
      <c r="D314" s="3151"/>
      <c r="E314" s="3151"/>
      <c r="F314" s="3157">
        <v>1020</v>
      </c>
      <c r="G314" s="3157"/>
      <c r="I314" s="969"/>
      <c r="J314" s="3186"/>
      <c r="K314" s="3186"/>
      <c r="L314" s="3186"/>
      <c r="M314" s="3186"/>
      <c r="N314" s="3186"/>
      <c r="O314" s="3186"/>
      <c r="P314" s="3186"/>
      <c r="Q314" s="3186"/>
      <c r="R314" s="3186"/>
      <c r="S314" s="3186"/>
      <c r="T314" s="3186"/>
      <c r="U314" s="3186"/>
    </row>
    <row r="315" spans="1:21" s="958" customFormat="1" ht="14.25" customHeight="1">
      <c r="A315" s="3151" t="s">
        <v>1156</v>
      </c>
      <c r="B315" s="3151" t="s">
        <v>2967</v>
      </c>
      <c r="C315" s="3151"/>
      <c r="D315" s="3151"/>
      <c r="E315" s="3151"/>
      <c r="F315" s="3157">
        <v>1050</v>
      </c>
      <c r="G315" s="3157"/>
      <c r="I315" s="969"/>
      <c r="J315" s="3186"/>
      <c r="K315" s="3186"/>
      <c r="L315" s="3186"/>
      <c r="M315" s="3186"/>
      <c r="N315" s="3186"/>
      <c r="O315" s="3186"/>
      <c r="P315" s="3186"/>
      <c r="Q315" s="3186"/>
      <c r="R315" s="3186"/>
      <c r="S315" s="3186"/>
      <c r="T315" s="3186"/>
      <c r="U315" s="3186"/>
    </row>
    <row r="316" spans="1:21" s="958" customFormat="1" ht="14.25" customHeight="1">
      <c r="A316" s="3151" t="s">
        <v>1156</v>
      </c>
      <c r="B316" s="3151" t="s">
        <v>2968</v>
      </c>
      <c r="C316" s="3151"/>
      <c r="D316" s="3151"/>
      <c r="E316" s="3151"/>
      <c r="F316" s="3157">
        <v>900</v>
      </c>
      <c r="G316" s="3164"/>
      <c r="I316" s="969"/>
      <c r="J316" s="3186"/>
      <c r="K316" s="3186"/>
      <c r="L316" s="3186"/>
      <c r="M316" s="3186"/>
      <c r="N316" s="3186"/>
      <c r="O316" s="3186"/>
      <c r="P316" s="3186"/>
      <c r="Q316" s="3186"/>
      <c r="R316" s="3186"/>
      <c r="S316" s="3186"/>
      <c r="T316" s="3186"/>
      <c r="U316" s="3186"/>
    </row>
    <row r="317" spans="1:21" s="958" customFormat="1" ht="14.25" customHeight="1">
      <c r="A317" s="1213" t="s">
        <v>1156</v>
      </c>
      <c r="B317" s="1213" t="s">
        <v>2969</v>
      </c>
      <c r="C317" s="1213"/>
      <c r="D317" s="1213"/>
      <c r="E317" s="1213"/>
      <c r="F317" s="3152">
        <v>920</v>
      </c>
      <c r="G317" s="3152"/>
      <c r="I317" s="955"/>
      <c r="J317" s="3186"/>
      <c r="K317" s="3186"/>
      <c r="L317" s="3186"/>
      <c r="M317" s="3186"/>
      <c r="N317" s="3186"/>
      <c r="O317" s="3186"/>
      <c r="P317" s="3186"/>
      <c r="Q317" s="3186"/>
      <c r="R317" s="3186"/>
      <c r="S317" s="3186"/>
      <c r="T317" s="3186"/>
      <c r="U317" s="3186"/>
    </row>
    <row r="318" spans="1:21" s="958" customFormat="1" ht="14.25" customHeight="1">
      <c r="A318" s="3151" t="s">
        <v>1156</v>
      </c>
      <c r="B318" s="3151" t="s">
        <v>2970</v>
      </c>
      <c r="C318" s="3151"/>
      <c r="D318" s="3151"/>
      <c r="E318" s="3151"/>
      <c r="F318" s="3157">
        <v>1080</v>
      </c>
      <c r="G318" s="3159"/>
      <c r="I318" s="955"/>
      <c r="J318" s="3186"/>
      <c r="K318" s="3186"/>
      <c r="L318" s="3186"/>
      <c r="M318" s="3186"/>
      <c r="N318" s="3186"/>
      <c r="O318" s="3186"/>
      <c r="P318" s="3186"/>
      <c r="Q318" s="3186"/>
      <c r="R318" s="3186"/>
      <c r="S318" s="3186"/>
      <c r="T318" s="3186"/>
      <c r="U318" s="3186"/>
    </row>
    <row r="319" spans="1:21" s="958" customFormat="1" ht="14.25" customHeight="1">
      <c r="A319" s="3151" t="s">
        <v>1156</v>
      </c>
      <c r="B319" s="3151" t="s">
        <v>2971</v>
      </c>
      <c r="C319" s="3151"/>
      <c r="D319" s="3151"/>
      <c r="E319" s="3151"/>
      <c r="F319" s="3157">
        <v>1020</v>
      </c>
      <c r="G319" s="3157"/>
      <c r="I319" s="955"/>
      <c r="J319" s="3186"/>
      <c r="K319" s="3186"/>
      <c r="L319" s="3186"/>
      <c r="M319" s="3186"/>
      <c r="N319" s="3186"/>
      <c r="O319" s="3186"/>
      <c r="P319" s="3186"/>
      <c r="Q319" s="3186"/>
      <c r="R319" s="3186"/>
      <c r="S319" s="3186"/>
      <c r="T319" s="3186"/>
      <c r="U319" s="3186"/>
    </row>
    <row r="320" spans="1:21" s="958" customFormat="1" ht="14.25" customHeight="1">
      <c r="A320" s="3151" t="s">
        <v>1156</v>
      </c>
      <c r="B320" s="3151" t="s">
        <v>2972</v>
      </c>
      <c r="C320" s="3151"/>
      <c r="D320" s="3151"/>
      <c r="E320" s="3151"/>
      <c r="F320" s="3157">
        <v>1050</v>
      </c>
      <c r="G320" s="3159"/>
      <c r="I320" s="955"/>
      <c r="J320" s="3186"/>
      <c r="K320" s="3186"/>
      <c r="L320" s="3186"/>
      <c r="M320" s="3186"/>
      <c r="N320" s="3186"/>
      <c r="O320" s="3186"/>
      <c r="P320" s="3186"/>
      <c r="Q320" s="3186"/>
      <c r="R320" s="3186"/>
      <c r="S320" s="3186"/>
      <c r="T320" s="3186"/>
      <c r="U320" s="3186"/>
    </row>
    <row r="321" spans="1:21" s="958" customFormat="1" ht="14.25" customHeight="1">
      <c r="A321" s="3151" t="s">
        <v>1156</v>
      </c>
      <c r="B321" s="3151" t="s">
        <v>2973</v>
      </c>
      <c r="C321" s="3151"/>
      <c r="D321" s="3151"/>
      <c r="E321" s="3151"/>
      <c r="F321" s="3157">
        <v>960</v>
      </c>
      <c r="G321" s="3159"/>
      <c r="I321" s="955"/>
      <c r="J321" s="3186"/>
      <c r="K321" s="3186"/>
      <c r="L321" s="3186"/>
      <c r="M321" s="3186"/>
      <c r="N321" s="3186"/>
      <c r="O321" s="3186"/>
      <c r="P321" s="3186"/>
      <c r="Q321" s="3186"/>
      <c r="R321" s="3186"/>
      <c r="S321" s="3186"/>
      <c r="T321" s="3186"/>
      <c r="U321" s="3186"/>
    </row>
    <row r="322" spans="1:21" s="958" customFormat="1" ht="14.25" customHeight="1">
      <c r="A322" s="3151" t="s">
        <v>1156</v>
      </c>
      <c r="B322" s="3151" t="s">
        <v>2974</v>
      </c>
      <c r="C322" s="3151"/>
      <c r="D322" s="3151"/>
      <c r="E322" s="3151"/>
      <c r="F322" s="3157">
        <v>960</v>
      </c>
      <c r="G322" s="3157"/>
      <c r="I322" s="955"/>
      <c r="J322" s="3186"/>
      <c r="K322" s="3186"/>
      <c r="L322" s="3186"/>
      <c r="M322" s="3186"/>
      <c r="N322" s="3186"/>
      <c r="O322" s="3186"/>
      <c r="P322" s="3186"/>
      <c r="Q322" s="3186"/>
      <c r="R322" s="3186"/>
      <c r="S322" s="3186"/>
      <c r="T322" s="3186"/>
      <c r="U322" s="3186"/>
    </row>
    <row r="323" spans="1:21" s="958" customFormat="1" ht="14.25" customHeight="1">
      <c r="A323" s="3151" t="s">
        <v>1156</v>
      </c>
      <c r="B323" s="3151" t="s">
        <v>2975</v>
      </c>
      <c r="C323" s="3151"/>
      <c r="D323" s="3151"/>
      <c r="E323" s="3151"/>
      <c r="F323" s="3157">
        <v>880</v>
      </c>
      <c r="G323" s="3159"/>
      <c r="I323" s="955"/>
      <c r="J323" s="3186"/>
      <c r="K323" s="3186"/>
      <c r="L323" s="3186"/>
      <c r="M323" s="3186"/>
      <c r="N323" s="3186"/>
      <c r="O323" s="3186"/>
      <c r="P323" s="3186"/>
      <c r="Q323" s="3186"/>
      <c r="R323" s="3186"/>
      <c r="S323" s="3186"/>
      <c r="T323" s="3186"/>
      <c r="U323" s="3186"/>
    </row>
    <row r="324" spans="1:21" s="958" customFormat="1" ht="14.25" customHeight="1">
      <c r="A324" s="3151" t="s">
        <v>1156</v>
      </c>
      <c r="B324" s="3151" t="s">
        <v>2976</v>
      </c>
      <c r="C324" s="3151"/>
      <c r="D324" s="3151"/>
      <c r="E324" s="3151"/>
      <c r="F324" s="3157">
        <v>930</v>
      </c>
      <c r="G324" s="3159"/>
      <c r="I324" s="955"/>
      <c r="J324" s="3186"/>
      <c r="K324" s="3186"/>
      <c r="L324" s="3186"/>
      <c r="M324" s="3186"/>
      <c r="N324" s="3186"/>
      <c r="O324" s="3186"/>
      <c r="P324" s="3186"/>
      <c r="Q324" s="3186"/>
      <c r="R324" s="3186"/>
      <c r="S324" s="3186"/>
      <c r="T324" s="3186"/>
      <c r="U324" s="3186"/>
    </row>
    <row r="325" spans="1:21" s="958" customFormat="1" ht="14.25" customHeight="1">
      <c r="A325" s="3151" t="s">
        <v>1156</v>
      </c>
      <c r="B325" s="3151" t="s">
        <v>2977</v>
      </c>
      <c r="C325" s="3151"/>
      <c r="D325" s="3151"/>
      <c r="E325" s="3151"/>
      <c r="F325" s="3157">
        <v>900</v>
      </c>
      <c r="G325" s="3157"/>
      <c r="I325" s="955"/>
      <c r="J325" s="3186"/>
      <c r="K325" s="3186"/>
      <c r="L325" s="3186"/>
      <c r="M325" s="3186"/>
      <c r="N325" s="3186"/>
      <c r="O325" s="3186"/>
      <c r="P325" s="3186"/>
      <c r="Q325" s="3186"/>
      <c r="R325" s="3186"/>
      <c r="S325" s="3186"/>
      <c r="T325" s="3186"/>
      <c r="U325" s="3186"/>
    </row>
    <row r="326" spans="1:21" s="958" customFormat="1" ht="14.25" customHeight="1" thickBot="1">
      <c r="A326" s="3166" t="s">
        <v>1156</v>
      </c>
      <c r="B326" s="3154" t="s">
        <v>2978</v>
      </c>
      <c r="C326" s="3154"/>
      <c r="D326" s="3154"/>
      <c r="E326" s="3154"/>
      <c r="F326" s="3155">
        <v>790</v>
      </c>
      <c r="G326" s="3170"/>
      <c r="I326" s="955"/>
      <c r="J326" s="3186"/>
      <c r="K326" s="3186"/>
      <c r="L326" s="3186"/>
      <c r="M326" s="3186"/>
      <c r="N326" s="3186"/>
      <c r="O326" s="3186"/>
      <c r="P326" s="3186"/>
      <c r="Q326" s="3186"/>
      <c r="R326" s="3186"/>
      <c r="S326" s="3186"/>
      <c r="T326" s="3186"/>
      <c r="U326" s="3186"/>
    </row>
    <row r="327" spans="1:21" s="958" customFormat="1" ht="14.25" customHeight="1">
      <c r="A327" s="3165" t="s">
        <v>1157</v>
      </c>
      <c r="B327" s="2402" t="s">
        <v>2979</v>
      </c>
      <c r="C327" s="2402">
        <v>3750</v>
      </c>
      <c r="D327" s="2402">
        <v>3710</v>
      </c>
      <c r="E327" s="2402">
        <v>4080</v>
      </c>
      <c r="F327" s="3173">
        <v>860</v>
      </c>
      <c r="G327" s="3173">
        <v>2210</v>
      </c>
      <c r="I327" s="955"/>
      <c r="J327" s="3186"/>
      <c r="K327" s="3186"/>
      <c r="L327" s="3186"/>
      <c r="M327" s="3186"/>
      <c r="N327" s="3186"/>
      <c r="O327" s="3186"/>
      <c r="P327" s="3186"/>
      <c r="Q327" s="3186"/>
      <c r="R327" s="3186"/>
      <c r="S327" s="3186"/>
      <c r="T327" s="3186"/>
      <c r="U327" s="3186"/>
    </row>
    <row r="328" spans="1:21" s="958" customFormat="1" ht="14.25" customHeight="1">
      <c r="A328" s="3151" t="s">
        <v>1157</v>
      </c>
      <c r="B328" s="3151" t="s">
        <v>981</v>
      </c>
      <c r="C328" s="3151">
        <v>3330</v>
      </c>
      <c r="D328" s="3151">
        <v>3290</v>
      </c>
      <c r="E328" s="3151">
        <v>3610</v>
      </c>
      <c r="F328" s="3151">
        <v>850</v>
      </c>
      <c r="G328" s="3151">
        <v>1960</v>
      </c>
      <c r="H328" s="955"/>
      <c r="I328" s="955"/>
      <c r="J328" s="3186"/>
      <c r="K328" s="3186"/>
      <c r="L328" s="3186"/>
      <c r="M328" s="3186"/>
      <c r="N328" s="3186"/>
      <c r="O328" s="3186"/>
      <c r="P328" s="3186"/>
      <c r="Q328" s="3186"/>
      <c r="R328" s="3186"/>
      <c r="S328" s="3186"/>
      <c r="T328" s="3186"/>
      <c r="U328" s="3186"/>
    </row>
    <row r="329" spans="1:21" s="958" customFormat="1" ht="14.25" customHeight="1">
      <c r="A329" s="3151" t="s">
        <v>1157</v>
      </c>
      <c r="B329" s="3151" t="s">
        <v>2980</v>
      </c>
      <c r="C329" s="3151">
        <v>2730</v>
      </c>
      <c r="D329" s="3151">
        <v>2690</v>
      </c>
      <c r="E329" s="3151">
        <v>3100</v>
      </c>
      <c r="F329" s="3151">
        <v>660</v>
      </c>
      <c r="G329" s="3151">
        <v>1610</v>
      </c>
      <c r="H329" s="955"/>
      <c r="I329" s="955"/>
      <c r="J329" s="3186"/>
      <c r="K329" s="3186"/>
      <c r="L329" s="3186"/>
      <c r="M329" s="3186"/>
      <c r="N329" s="3186"/>
      <c r="O329" s="3186"/>
      <c r="P329" s="3186"/>
      <c r="Q329" s="3186"/>
      <c r="R329" s="3186"/>
      <c r="S329" s="3186"/>
      <c r="T329" s="3186"/>
      <c r="U329" s="3186"/>
    </row>
    <row r="330" spans="1:21" s="958" customFormat="1" ht="14.25" customHeight="1">
      <c r="A330" s="3151" t="s">
        <v>1157</v>
      </c>
      <c r="B330" s="3151" t="s">
        <v>2981</v>
      </c>
      <c r="C330" s="3151">
        <v>3270</v>
      </c>
      <c r="D330" s="3151">
        <v>3240</v>
      </c>
      <c r="E330" s="3151">
        <v>3560</v>
      </c>
      <c r="F330" s="3151">
        <v>680</v>
      </c>
      <c r="G330" s="3160">
        <v>1940</v>
      </c>
      <c r="H330" s="955"/>
      <c r="I330" s="955"/>
      <c r="J330" s="3186"/>
      <c r="K330" s="3186"/>
      <c r="L330" s="3186"/>
      <c r="M330" s="3186"/>
      <c r="N330" s="3186"/>
      <c r="O330" s="3186"/>
      <c r="P330" s="3186"/>
      <c r="Q330" s="3186"/>
      <c r="R330" s="3186"/>
      <c r="S330" s="3186"/>
      <c r="T330" s="3186"/>
      <c r="U330" s="3186"/>
    </row>
    <row r="331" spans="1:21" s="958" customFormat="1" ht="14.25" customHeight="1">
      <c r="A331" s="3151" t="s">
        <v>1157</v>
      </c>
      <c r="B331" s="3151" t="s">
        <v>1008</v>
      </c>
      <c r="C331" s="3151">
        <v>3770</v>
      </c>
      <c r="D331" s="3151">
        <v>3740</v>
      </c>
      <c r="E331" s="3151">
        <v>4110</v>
      </c>
      <c r="F331" s="3151">
        <v>730</v>
      </c>
      <c r="G331" s="3151">
        <v>2230</v>
      </c>
      <c r="H331" s="955"/>
      <c r="I331" s="955"/>
      <c r="J331" s="3186"/>
      <c r="K331" s="3186"/>
      <c r="L331" s="3186"/>
      <c r="M331" s="3186"/>
      <c r="N331" s="3186"/>
      <c r="O331" s="3186"/>
      <c r="P331" s="3186"/>
      <c r="Q331" s="3186"/>
      <c r="R331" s="3186"/>
      <c r="S331" s="3186"/>
      <c r="T331" s="3186"/>
      <c r="U331" s="3186"/>
    </row>
    <row r="332" spans="1:21" s="958" customFormat="1" ht="14.25" customHeight="1">
      <c r="A332" s="3151" t="s">
        <v>1157</v>
      </c>
      <c r="B332" s="3151" t="s">
        <v>2982</v>
      </c>
      <c r="C332" s="3151">
        <v>3520</v>
      </c>
      <c r="D332" s="3151">
        <v>3480</v>
      </c>
      <c r="E332" s="3151">
        <v>3830</v>
      </c>
      <c r="F332" s="3151">
        <v>720</v>
      </c>
      <c r="G332" s="3151">
        <v>2090</v>
      </c>
      <c r="H332" s="955"/>
      <c r="I332" s="955"/>
      <c r="J332" s="3186"/>
      <c r="K332" s="3186"/>
      <c r="L332" s="3186"/>
      <c r="M332" s="3186"/>
      <c r="N332" s="3186"/>
      <c r="O332" s="3186"/>
      <c r="P332" s="3186"/>
      <c r="Q332" s="3186"/>
      <c r="R332" s="3186"/>
      <c r="S332" s="3186"/>
      <c r="T332" s="3186"/>
      <c r="U332" s="3186"/>
    </row>
    <row r="333" spans="1:21" s="958" customFormat="1" ht="14.25" customHeight="1">
      <c r="A333" s="3151" t="s">
        <v>1157</v>
      </c>
      <c r="B333" s="3151" t="s">
        <v>2983</v>
      </c>
      <c r="C333" s="3151">
        <v>3840</v>
      </c>
      <c r="D333" s="3151">
        <v>3800</v>
      </c>
      <c r="E333" s="3151">
        <v>4200</v>
      </c>
      <c r="F333" s="3151">
        <v>760</v>
      </c>
      <c r="G333" s="3151">
        <v>2270</v>
      </c>
      <c r="H333" s="955"/>
      <c r="I333" s="955"/>
      <c r="J333" s="3186"/>
      <c r="K333" s="3186"/>
      <c r="L333" s="3186"/>
      <c r="M333" s="3186"/>
      <c r="N333" s="3186"/>
      <c r="O333" s="3186"/>
      <c r="P333" s="3186"/>
      <c r="Q333" s="3186"/>
      <c r="R333" s="3186"/>
      <c r="S333" s="3186"/>
      <c r="T333" s="3186"/>
      <c r="U333" s="3186"/>
    </row>
    <row r="334" spans="1:21" s="958" customFormat="1" ht="14.25" customHeight="1">
      <c r="A334" s="3151" t="s">
        <v>1157</v>
      </c>
      <c r="B334" s="3151" t="s">
        <v>1030</v>
      </c>
      <c r="C334" s="3151">
        <v>3960</v>
      </c>
      <c r="D334" s="3151">
        <v>3910</v>
      </c>
      <c r="E334" s="3151">
        <v>4340</v>
      </c>
      <c r="F334" s="3151">
        <v>780</v>
      </c>
      <c r="G334" s="3151">
        <v>2340</v>
      </c>
      <c r="H334" s="955"/>
      <c r="I334" s="955"/>
      <c r="J334" s="3186"/>
      <c r="K334" s="3186"/>
      <c r="L334" s="3186"/>
      <c r="M334" s="3186"/>
      <c r="N334" s="3186"/>
      <c r="O334" s="3186"/>
      <c r="P334" s="3186"/>
      <c r="Q334" s="3186"/>
      <c r="R334" s="3186"/>
      <c r="S334" s="3186"/>
      <c r="T334" s="3186"/>
      <c r="U334" s="3186"/>
    </row>
    <row r="335" spans="1:21" s="958" customFormat="1" ht="14.25" customHeight="1">
      <c r="A335" s="3151" t="s">
        <v>1157</v>
      </c>
      <c r="B335" s="3151" t="s">
        <v>1040</v>
      </c>
      <c r="C335" s="3151">
        <v>3710</v>
      </c>
      <c r="D335" s="3151">
        <v>3670</v>
      </c>
      <c r="E335" s="3151">
        <v>4030</v>
      </c>
      <c r="F335" s="3151">
        <v>750</v>
      </c>
      <c r="G335" s="3160">
        <v>2200</v>
      </c>
      <c r="H335" s="955"/>
      <c r="I335" s="955"/>
      <c r="J335" s="3186"/>
      <c r="K335" s="3186"/>
      <c r="L335" s="3186"/>
      <c r="M335" s="3186"/>
      <c r="N335" s="3186"/>
      <c r="O335" s="3186"/>
      <c r="P335" s="3186"/>
      <c r="Q335" s="3186"/>
      <c r="R335" s="3186"/>
      <c r="S335" s="3186"/>
      <c r="T335" s="3186"/>
      <c r="U335" s="3186"/>
    </row>
    <row r="336" spans="1:21" s="958" customFormat="1" ht="14.25" customHeight="1">
      <c r="A336" s="3151" t="s">
        <v>1157</v>
      </c>
      <c r="B336" s="3151" t="s">
        <v>2984</v>
      </c>
      <c r="C336" s="3151">
        <v>3570</v>
      </c>
      <c r="D336" s="3151">
        <v>3530</v>
      </c>
      <c r="E336" s="3151">
        <v>3880</v>
      </c>
      <c r="F336" s="3151">
        <v>770</v>
      </c>
      <c r="G336" s="3151">
        <v>2110</v>
      </c>
      <c r="H336" s="955"/>
      <c r="I336" s="955"/>
      <c r="J336" s="3186"/>
      <c r="K336" s="3186"/>
      <c r="L336" s="3186"/>
      <c r="M336" s="3186"/>
      <c r="N336" s="3186"/>
      <c r="O336" s="3186"/>
      <c r="P336" s="3186"/>
      <c r="Q336" s="3186"/>
      <c r="R336" s="3186"/>
      <c r="S336" s="3186"/>
      <c r="T336" s="3186"/>
      <c r="U336" s="3186"/>
    </row>
    <row r="337" spans="1:21" s="958" customFormat="1" ht="14.25" customHeight="1">
      <c r="A337" s="3151" t="s">
        <v>1157</v>
      </c>
      <c r="B337" s="3151" t="s">
        <v>2985</v>
      </c>
      <c r="C337" s="3151">
        <v>3780</v>
      </c>
      <c r="D337" s="3151">
        <v>3750</v>
      </c>
      <c r="E337" s="3151">
        <v>4130</v>
      </c>
      <c r="F337" s="3151">
        <v>750</v>
      </c>
      <c r="G337" s="3151">
        <v>2240</v>
      </c>
      <c r="H337" s="955"/>
      <c r="I337" s="955"/>
      <c r="J337" s="3186"/>
      <c r="K337" s="3186"/>
      <c r="L337" s="3186"/>
      <c r="M337" s="3186"/>
      <c r="N337" s="3186"/>
      <c r="O337" s="3186"/>
      <c r="P337" s="3186"/>
      <c r="Q337" s="3186"/>
      <c r="R337" s="3186"/>
      <c r="S337" s="3186"/>
      <c r="T337" s="3186"/>
      <c r="U337" s="3186"/>
    </row>
    <row r="338" spans="1:21" s="958" customFormat="1" ht="14.25" customHeight="1">
      <c r="A338" s="3151" t="s">
        <v>1157</v>
      </c>
      <c r="B338" s="3151" t="s">
        <v>1068</v>
      </c>
      <c r="C338" s="3151">
        <v>3600</v>
      </c>
      <c r="D338" s="3151">
        <v>3570</v>
      </c>
      <c r="E338" s="3151">
        <v>3920</v>
      </c>
      <c r="F338" s="3151">
        <v>790</v>
      </c>
      <c r="G338" s="3160">
        <v>2140</v>
      </c>
      <c r="H338" s="955"/>
      <c r="I338" s="955"/>
      <c r="J338" s="3186"/>
      <c r="K338" s="3186"/>
      <c r="L338" s="3186"/>
      <c r="M338" s="3186"/>
      <c r="N338" s="3186"/>
      <c r="O338" s="3186"/>
      <c r="P338" s="3186"/>
      <c r="Q338" s="3186"/>
      <c r="R338" s="3186"/>
      <c r="S338" s="3186"/>
      <c r="T338" s="3186"/>
      <c r="U338" s="3186"/>
    </row>
    <row r="339" spans="1:21" s="958" customFormat="1" ht="14.25" customHeight="1">
      <c r="A339" s="3151" t="s">
        <v>1157</v>
      </c>
      <c r="B339" s="3151" t="s">
        <v>1076</v>
      </c>
      <c r="C339" s="3151">
        <v>3540</v>
      </c>
      <c r="D339" s="3151">
        <v>3500</v>
      </c>
      <c r="E339" s="3151">
        <v>3850</v>
      </c>
      <c r="F339" s="3151">
        <v>780</v>
      </c>
      <c r="G339" s="3160">
        <v>2100</v>
      </c>
      <c r="H339" s="955"/>
      <c r="I339" s="955"/>
      <c r="J339" s="3186"/>
      <c r="K339" s="3186"/>
      <c r="L339" s="3186"/>
      <c r="M339" s="3186"/>
      <c r="N339" s="3186"/>
      <c r="O339" s="3186"/>
      <c r="P339" s="3186"/>
      <c r="Q339" s="3186"/>
      <c r="R339" s="3186"/>
      <c r="S339" s="3186"/>
      <c r="T339" s="3186"/>
      <c r="U339" s="3186"/>
    </row>
    <row r="340" spans="1:21" s="958" customFormat="1" ht="14.25" customHeight="1">
      <c r="A340" s="3151" t="s">
        <v>1157</v>
      </c>
      <c r="B340" s="3151" t="s">
        <v>2986</v>
      </c>
      <c r="C340" s="3151">
        <v>3850</v>
      </c>
      <c r="D340" s="3151">
        <v>3810</v>
      </c>
      <c r="E340" s="3151">
        <v>4210</v>
      </c>
      <c r="F340" s="3151">
        <v>750</v>
      </c>
      <c r="G340" s="3160">
        <v>2280</v>
      </c>
      <c r="H340" s="955"/>
      <c r="I340" s="955"/>
      <c r="J340" s="3186"/>
      <c r="K340" s="3186"/>
      <c r="L340" s="3186"/>
      <c r="M340" s="3186"/>
      <c r="N340" s="3186"/>
      <c r="O340" s="3186"/>
      <c r="P340" s="3186"/>
      <c r="Q340" s="3186"/>
      <c r="R340" s="3186"/>
      <c r="S340" s="3186"/>
      <c r="T340" s="3186"/>
      <c r="U340" s="3186"/>
    </row>
    <row r="341" spans="1:21" s="958" customFormat="1" ht="14.25" customHeight="1">
      <c r="A341" s="3151" t="s">
        <v>1157</v>
      </c>
      <c r="B341" s="3151" t="s">
        <v>1054</v>
      </c>
      <c r="C341" s="3151">
        <v>3780</v>
      </c>
      <c r="D341" s="3151">
        <v>3750</v>
      </c>
      <c r="E341" s="3151">
        <v>4140</v>
      </c>
      <c r="F341" s="3151">
        <v>720</v>
      </c>
      <c r="G341" s="3151">
        <v>2240</v>
      </c>
      <c r="H341" s="955"/>
      <c r="I341" s="955"/>
      <c r="J341" s="3186"/>
      <c r="K341" s="3186"/>
      <c r="L341" s="3186"/>
      <c r="M341" s="3186"/>
      <c r="N341" s="3186"/>
      <c r="O341" s="3186"/>
      <c r="P341" s="3186"/>
      <c r="Q341" s="3186"/>
      <c r="R341" s="3186"/>
      <c r="S341" s="3186"/>
      <c r="T341" s="3186"/>
      <c r="U341" s="3186"/>
    </row>
    <row r="342" spans="1:21" s="958" customFormat="1" ht="14.25" customHeight="1">
      <c r="A342" s="3151" t="s">
        <v>1157</v>
      </c>
      <c r="B342" s="3151" t="s">
        <v>2987</v>
      </c>
      <c r="C342" s="3151">
        <v>3670</v>
      </c>
      <c r="D342" s="3151">
        <v>3620</v>
      </c>
      <c r="E342" s="3151">
        <v>3990</v>
      </c>
      <c r="F342" s="3151">
        <v>760</v>
      </c>
      <c r="G342" s="3151">
        <v>2170</v>
      </c>
      <c r="H342" s="955"/>
      <c r="I342" s="955"/>
      <c r="J342" s="3186"/>
      <c r="K342" s="3186"/>
      <c r="L342" s="3186"/>
      <c r="M342" s="3186"/>
      <c r="N342" s="3186"/>
      <c r="O342" s="3186"/>
      <c r="P342" s="3186"/>
      <c r="Q342" s="3186"/>
      <c r="R342" s="3186"/>
      <c r="S342" s="3186"/>
      <c r="T342" s="3186"/>
      <c r="U342" s="3186"/>
    </row>
    <row r="343" spans="1:21" s="958" customFormat="1" ht="14.25" customHeight="1">
      <c r="A343" s="3151" t="s">
        <v>1157</v>
      </c>
      <c r="B343" s="3151" t="s">
        <v>1105</v>
      </c>
      <c r="C343" s="3151">
        <v>3760</v>
      </c>
      <c r="D343" s="3151">
        <v>3720</v>
      </c>
      <c r="E343" s="3151">
        <v>4090</v>
      </c>
      <c r="F343" s="3151">
        <v>780</v>
      </c>
      <c r="G343" s="3151">
        <v>2220</v>
      </c>
      <c r="H343" s="955"/>
      <c r="I343" s="955"/>
      <c r="J343" s="3186"/>
      <c r="K343" s="3186"/>
      <c r="L343" s="3186"/>
      <c r="M343" s="3186"/>
      <c r="N343" s="3186"/>
      <c r="O343" s="3186"/>
      <c r="P343" s="3186"/>
      <c r="Q343" s="3186"/>
      <c r="R343" s="3186"/>
      <c r="S343" s="3186"/>
      <c r="T343" s="3186"/>
      <c r="U343" s="3186"/>
    </row>
    <row r="344" spans="1:21" s="958" customFormat="1" ht="14.25" customHeight="1">
      <c r="A344" s="3151" t="s">
        <v>1157</v>
      </c>
      <c r="B344" s="3151" t="s">
        <v>1113</v>
      </c>
      <c r="C344" s="3151">
        <v>3680</v>
      </c>
      <c r="D344" s="3151">
        <v>3640</v>
      </c>
      <c r="E344" s="3151">
        <v>4010</v>
      </c>
      <c r="F344" s="3151">
        <v>750</v>
      </c>
      <c r="G344" s="3151">
        <v>2180</v>
      </c>
      <c r="H344" s="955"/>
      <c r="I344" s="955"/>
      <c r="J344" s="3186"/>
      <c r="K344" s="3186"/>
      <c r="L344" s="3186"/>
      <c r="M344" s="3186"/>
      <c r="N344" s="3186"/>
      <c r="O344" s="3186"/>
      <c r="P344" s="3186"/>
      <c r="Q344" s="3186"/>
      <c r="R344" s="3186"/>
      <c r="S344" s="3186"/>
      <c r="T344" s="3186"/>
      <c r="U344" s="3186"/>
    </row>
    <row r="345" spans="1:21">
      <c r="A345" s="3160" t="s">
        <v>1157</v>
      </c>
      <c r="B345" s="3160" t="s">
        <v>2988</v>
      </c>
      <c r="C345" s="3160">
        <v>3190</v>
      </c>
      <c r="D345" s="3160">
        <v>3140</v>
      </c>
      <c r="E345" s="3160">
        <v>3450</v>
      </c>
      <c r="F345" s="3160">
        <v>720</v>
      </c>
      <c r="G345" s="3160">
        <v>1880</v>
      </c>
      <c r="H345" s="955"/>
    </row>
    <row r="346" spans="1:21">
      <c r="A346" s="3160" t="s">
        <v>1157</v>
      </c>
      <c r="B346" s="3160" t="s">
        <v>2989</v>
      </c>
      <c r="C346" s="3160">
        <v>3630</v>
      </c>
      <c r="D346" s="3160">
        <v>3590</v>
      </c>
      <c r="E346" s="3160">
        <v>3940</v>
      </c>
      <c r="F346" s="3160">
        <v>730</v>
      </c>
      <c r="G346" s="3160">
        <v>2150</v>
      </c>
      <c r="H346" s="955"/>
    </row>
    <row r="347" spans="1:21">
      <c r="A347" s="3160" t="s">
        <v>1157</v>
      </c>
      <c r="B347" s="3160" t="s">
        <v>1091</v>
      </c>
      <c r="C347" s="3160">
        <v>3860</v>
      </c>
      <c r="D347" s="3160">
        <v>3820</v>
      </c>
      <c r="E347" s="3160">
        <v>4220</v>
      </c>
      <c r="F347" s="3160">
        <v>750</v>
      </c>
      <c r="G347" s="3160">
        <v>2280</v>
      </c>
      <c r="H347" s="955"/>
    </row>
    <row r="348" spans="1:21">
      <c r="A348" s="3160" t="s">
        <v>1157</v>
      </c>
      <c r="B348" s="3160" t="s">
        <v>2990</v>
      </c>
      <c r="C348" s="3160">
        <v>4000</v>
      </c>
      <c r="D348" s="3160">
        <v>3950</v>
      </c>
      <c r="E348" s="3160">
        <v>4430</v>
      </c>
      <c r="F348" s="3160">
        <v>760</v>
      </c>
      <c r="G348" s="3160">
        <v>2360</v>
      </c>
      <c r="H348" s="955"/>
    </row>
    <row r="349" spans="1:21">
      <c r="A349" s="3160" t="s">
        <v>1157</v>
      </c>
      <c r="B349" s="3160" t="s">
        <v>2991</v>
      </c>
      <c r="C349" s="3160">
        <v>3820</v>
      </c>
      <c r="D349" s="3160">
        <v>3780</v>
      </c>
      <c r="E349" s="3160">
        <v>4170</v>
      </c>
      <c r="F349" s="3160">
        <v>710</v>
      </c>
      <c r="G349" s="3160">
        <v>2260</v>
      </c>
      <c r="H349" s="955"/>
    </row>
    <row r="350" spans="1:21">
      <c r="A350" s="3160" t="s">
        <v>1157</v>
      </c>
      <c r="B350" s="3160" t="s">
        <v>2992</v>
      </c>
      <c r="C350" s="3160">
        <v>3760</v>
      </c>
      <c r="D350" s="3160">
        <v>3730</v>
      </c>
      <c r="E350" s="3160">
        <v>4100</v>
      </c>
      <c r="F350" s="3160">
        <v>800</v>
      </c>
      <c r="G350" s="3160">
        <v>2230</v>
      </c>
      <c r="H350" s="955"/>
    </row>
    <row r="351" spans="1:21">
      <c r="A351" s="3160" t="s">
        <v>1157</v>
      </c>
      <c r="B351" s="3160" t="s">
        <v>2993</v>
      </c>
      <c r="C351" s="3160">
        <v>3610</v>
      </c>
      <c r="D351" s="3160">
        <v>3580</v>
      </c>
      <c r="E351" s="3160">
        <v>3930</v>
      </c>
      <c r="F351" s="3160">
        <v>700</v>
      </c>
      <c r="G351" s="3160">
        <v>2140</v>
      </c>
      <c r="H351" s="955"/>
    </row>
    <row r="352" spans="1:21">
      <c r="A352" s="3160" t="s">
        <v>1157</v>
      </c>
      <c r="B352" s="3160" t="s">
        <v>2994</v>
      </c>
      <c r="C352" s="3160">
        <v>3670</v>
      </c>
      <c r="D352" s="3160">
        <v>3630</v>
      </c>
      <c r="E352" s="3160">
        <v>4000</v>
      </c>
      <c r="F352" s="3160">
        <v>750</v>
      </c>
      <c r="G352" s="3160">
        <v>2180</v>
      </c>
      <c r="H352" s="955"/>
    </row>
    <row r="353" spans="1:8">
      <c r="A353" s="3160" t="s">
        <v>1157</v>
      </c>
      <c r="B353" s="3160" t="s">
        <v>2995</v>
      </c>
      <c r="C353" s="3160">
        <v>3190</v>
      </c>
      <c r="D353" s="3160">
        <v>3150</v>
      </c>
      <c r="E353" s="3160">
        <v>3640</v>
      </c>
      <c r="F353" s="3160">
        <v>630</v>
      </c>
      <c r="G353" s="3160">
        <v>1890</v>
      </c>
      <c r="H353" s="955"/>
    </row>
    <row r="354" spans="1:8">
      <c r="A354" s="3160" t="s">
        <v>1157</v>
      </c>
      <c r="B354" s="3160" t="s">
        <v>1129</v>
      </c>
      <c r="C354" s="3160">
        <v>3450</v>
      </c>
      <c r="D354" s="3160">
        <v>3420</v>
      </c>
      <c r="E354" s="3160">
        <v>3960</v>
      </c>
      <c r="F354" s="3160">
        <v>660</v>
      </c>
      <c r="G354" s="3160">
        <v>2050</v>
      </c>
      <c r="H354" s="955"/>
    </row>
    <row r="355" spans="1:8">
      <c r="A355" s="3160" t="s">
        <v>1157</v>
      </c>
      <c r="B355" s="3160" t="s">
        <v>2996</v>
      </c>
      <c r="C355" s="3160">
        <v>3650</v>
      </c>
      <c r="D355" s="3160">
        <v>3610</v>
      </c>
      <c r="E355" s="3160">
        <v>4200</v>
      </c>
      <c r="F355" s="3160">
        <v>640</v>
      </c>
      <c r="G355" s="3160">
        <v>2160</v>
      </c>
      <c r="H355" s="955"/>
    </row>
    <row r="356" spans="1:8">
      <c r="A356" s="3160" t="s">
        <v>1157</v>
      </c>
      <c r="B356" s="3160" t="s">
        <v>2997</v>
      </c>
      <c r="C356" s="3160">
        <v>3260</v>
      </c>
      <c r="D356" s="3160">
        <v>3230</v>
      </c>
      <c r="E356" s="3160">
        <v>3740</v>
      </c>
      <c r="F356" s="3160">
        <v>600</v>
      </c>
      <c r="G356" s="3160">
        <v>1930</v>
      </c>
      <c r="H356" s="955"/>
    </row>
    <row r="357" spans="1:8" ht="14.25" thickBot="1">
      <c r="A357" s="3175" t="s">
        <v>1157</v>
      </c>
      <c r="B357" s="3175" t="s">
        <v>2998</v>
      </c>
      <c r="C357" s="3175">
        <v>3690</v>
      </c>
      <c r="D357" s="3175">
        <v>3650</v>
      </c>
      <c r="E357" s="3175">
        <v>4020</v>
      </c>
      <c r="F357" s="3175">
        <v>700</v>
      </c>
      <c r="G357" s="3175">
        <v>2190</v>
      </c>
      <c r="H357" s="955"/>
    </row>
    <row r="358" spans="1:8">
      <c r="A358" s="3176" t="s">
        <v>2756</v>
      </c>
      <c r="B358" s="3177" t="s">
        <v>2999</v>
      </c>
      <c r="C358" s="3177">
        <v>2080</v>
      </c>
      <c r="D358" s="3177">
        <v>2040</v>
      </c>
      <c r="E358" s="3177">
        <v>2010</v>
      </c>
      <c r="F358" s="3177">
        <v>530</v>
      </c>
      <c r="G358" s="3178">
        <v>1230</v>
      </c>
      <c r="H358" s="955"/>
    </row>
    <row r="359" spans="1:8">
      <c r="A359" s="3179" t="s">
        <v>2756</v>
      </c>
      <c r="B359" s="3160" t="s">
        <v>3000</v>
      </c>
      <c r="C359" s="3160">
        <v>1850</v>
      </c>
      <c r="D359" s="3160">
        <v>1820</v>
      </c>
      <c r="E359" s="3160">
        <v>1780</v>
      </c>
      <c r="F359" s="3160">
        <v>520</v>
      </c>
      <c r="G359" s="3172">
        <v>1100</v>
      </c>
      <c r="H359" s="955"/>
    </row>
    <row r="360" spans="1:8">
      <c r="A360" s="3179" t="s">
        <v>2756</v>
      </c>
      <c r="B360" s="3160" t="s">
        <v>3001</v>
      </c>
      <c r="C360" s="3160">
        <v>2020</v>
      </c>
      <c r="D360" s="3160">
        <v>1990</v>
      </c>
      <c r="E360" s="3160">
        <v>1950</v>
      </c>
      <c r="F360" s="3160">
        <v>500</v>
      </c>
      <c r="G360" s="3172">
        <v>1200</v>
      </c>
      <c r="H360" s="955"/>
    </row>
    <row r="361" spans="1:8">
      <c r="A361" s="3179" t="s">
        <v>2756</v>
      </c>
      <c r="B361" s="3160" t="s">
        <v>999</v>
      </c>
      <c r="C361" s="3160">
        <v>2260</v>
      </c>
      <c r="D361" s="3160">
        <v>2220</v>
      </c>
      <c r="E361" s="3160">
        <v>2180</v>
      </c>
      <c r="F361" s="3160">
        <v>580</v>
      </c>
      <c r="G361" s="3172">
        <v>1340</v>
      </c>
      <c r="H361" s="955"/>
    </row>
    <row r="362" spans="1:8">
      <c r="A362" s="3179" t="s">
        <v>2756</v>
      </c>
      <c r="B362" s="3160" t="s">
        <v>3002</v>
      </c>
      <c r="C362" s="3160">
        <v>2650</v>
      </c>
      <c r="D362" s="3160">
        <v>2610</v>
      </c>
      <c r="E362" s="3160">
        <v>2570</v>
      </c>
      <c r="F362" s="3160">
        <v>630</v>
      </c>
      <c r="G362" s="3172">
        <v>1570</v>
      </c>
      <c r="H362" s="955"/>
    </row>
    <row r="363" spans="1:8">
      <c r="A363" s="3179" t="s">
        <v>2756</v>
      </c>
      <c r="B363" s="3160" t="s">
        <v>3003</v>
      </c>
      <c r="C363" s="3160">
        <v>2390</v>
      </c>
      <c r="D363" s="3160">
        <v>2360</v>
      </c>
      <c r="E363" s="3160">
        <v>2320</v>
      </c>
      <c r="F363" s="3160">
        <v>600</v>
      </c>
      <c r="G363" s="3172">
        <v>1420</v>
      </c>
      <c r="H363" s="955"/>
    </row>
    <row r="364" spans="1:8">
      <c r="A364" s="3179" t="s">
        <v>2756</v>
      </c>
      <c r="B364" s="3160" t="s">
        <v>3004</v>
      </c>
      <c r="C364" s="3160">
        <v>2050</v>
      </c>
      <c r="D364" s="3160">
        <v>2030</v>
      </c>
      <c r="E364" s="3160">
        <v>1990</v>
      </c>
      <c r="F364" s="3160">
        <v>550</v>
      </c>
      <c r="G364" s="3172">
        <v>1220</v>
      </c>
      <c r="H364" s="955"/>
    </row>
    <row r="365" spans="1:8">
      <c r="A365" s="3179" t="s">
        <v>2756</v>
      </c>
      <c r="B365" s="3160" t="s">
        <v>1047</v>
      </c>
      <c r="C365" s="3160">
        <v>2140</v>
      </c>
      <c r="D365" s="3160">
        <v>2100</v>
      </c>
      <c r="E365" s="3160">
        <v>2060</v>
      </c>
      <c r="F365" s="3160">
        <v>540</v>
      </c>
      <c r="G365" s="3172">
        <v>1270</v>
      </c>
      <c r="H365" s="955"/>
    </row>
    <row r="366" spans="1:8">
      <c r="A366" s="3179" t="s">
        <v>2756</v>
      </c>
      <c r="B366" s="3160" t="s">
        <v>3005</v>
      </c>
      <c r="C366" s="3160">
        <v>2410</v>
      </c>
      <c r="D366" s="3160">
        <v>2370</v>
      </c>
      <c r="E366" s="3160">
        <v>2330</v>
      </c>
      <c r="F366" s="3160">
        <v>570</v>
      </c>
      <c r="G366" s="3172">
        <v>1440</v>
      </c>
      <c r="H366" s="955"/>
    </row>
    <row r="367" spans="1:8">
      <c r="A367" s="3179" t="s">
        <v>2756</v>
      </c>
      <c r="B367" s="3160" t="s">
        <v>3006</v>
      </c>
      <c r="C367" s="3160">
        <v>2300</v>
      </c>
      <c r="D367" s="3160">
        <v>2260</v>
      </c>
      <c r="E367" s="3160">
        <v>2220</v>
      </c>
      <c r="F367" s="3160">
        <v>560</v>
      </c>
      <c r="G367" s="3172">
        <v>1370</v>
      </c>
      <c r="H367" s="955"/>
    </row>
    <row r="368" spans="1:8">
      <c r="A368" s="3179" t="s">
        <v>2756</v>
      </c>
      <c r="B368" s="3160" t="s">
        <v>3007</v>
      </c>
      <c r="C368" s="3160">
        <v>2430</v>
      </c>
      <c r="D368" s="3160">
        <v>2390</v>
      </c>
      <c r="E368" s="3160">
        <v>2350</v>
      </c>
      <c r="F368" s="3160">
        <v>570</v>
      </c>
      <c r="G368" s="3172">
        <v>1450</v>
      </c>
      <c r="H368" s="955"/>
    </row>
    <row r="369" spans="1:8">
      <c r="A369" s="3179" t="s">
        <v>2756</v>
      </c>
      <c r="B369" s="3160" t="s">
        <v>1061</v>
      </c>
      <c r="C369" s="3160">
        <v>2320</v>
      </c>
      <c r="D369" s="3160">
        <v>2290</v>
      </c>
      <c r="E369" s="3160">
        <v>2250</v>
      </c>
      <c r="F369" s="3160">
        <v>550</v>
      </c>
      <c r="G369" s="3172">
        <v>1380</v>
      </c>
      <c r="H369" s="955"/>
    </row>
    <row r="370" spans="1:8">
      <c r="A370" s="3179" t="s">
        <v>2756</v>
      </c>
      <c r="B370" s="3160" t="s">
        <v>1069</v>
      </c>
      <c r="C370" s="3160">
        <v>2190</v>
      </c>
      <c r="D370" s="3160">
        <v>2170</v>
      </c>
      <c r="E370" s="3160">
        <v>2130</v>
      </c>
      <c r="F370" s="3160">
        <v>530</v>
      </c>
      <c r="G370" s="3172">
        <v>1310</v>
      </c>
      <c r="H370" s="955"/>
    </row>
    <row r="371" spans="1:8">
      <c r="A371" s="3179" t="s">
        <v>2756</v>
      </c>
      <c r="B371" s="3160" t="s">
        <v>1077</v>
      </c>
      <c r="C371" s="3160">
        <v>2460</v>
      </c>
      <c r="D371" s="3160">
        <v>2420</v>
      </c>
      <c r="E371" s="3160">
        <v>2370</v>
      </c>
      <c r="F371" s="3160">
        <v>560</v>
      </c>
      <c r="G371" s="3172">
        <v>1470</v>
      </c>
      <c r="H371" s="955"/>
    </row>
    <row r="372" spans="1:8">
      <c r="A372" s="3179" t="s">
        <v>2756</v>
      </c>
      <c r="B372" s="3160" t="s">
        <v>3008</v>
      </c>
      <c r="C372" s="3160">
        <v>2250</v>
      </c>
      <c r="D372" s="3160">
        <v>2210</v>
      </c>
      <c r="E372" s="3160">
        <v>2180</v>
      </c>
      <c r="F372" s="3160">
        <v>550</v>
      </c>
      <c r="G372" s="3172">
        <v>1340</v>
      </c>
      <c r="H372" s="955"/>
    </row>
    <row r="373" spans="1:8">
      <c r="A373" s="3179" t="s">
        <v>2756</v>
      </c>
      <c r="B373" s="3160" t="s">
        <v>1106</v>
      </c>
      <c r="C373" s="3160">
        <v>2210</v>
      </c>
      <c r="D373" s="3160">
        <v>2190</v>
      </c>
      <c r="E373" s="3160">
        <v>2150</v>
      </c>
      <c r="F373" s="3160">
        <v>530</v>
      </c>
      <c r="G373" s="3172">
        <v>1320</v>
      </c>
      <c r="H373" s="955"/>
    </row>
    <row r="374" spans="1:8">
      <c r="A374" s="3179" t="s">
        <v>2756</v>
      </c>
      <c r="B374" s="3160" t="s">
        <v>1114</v>
      </c>
      <c r="C374" s="3160">
        <v>2320</v>
      </c>
      <c r="D374" s="3160">
        <v>2280</v>
      </c>
      <c r="E374" s="3160">
        <v>2230</v>
      </c>
      <c r="F374" s="3160">
        <v>580</v>
      </c>
      <c r="G374" s="3172">
        <v>1380</v>
      </c>
      <c r="H374" s="955"/>
    </row>
    <row r="375" spans="1:8">
      <c r="A375" s="3179" t="s">
        <v>2756</v>
      </c>
      <c r="B375" s="3160" t="s">
        <v>3009</v>
      </c>
      <c r="C375" s="3160">
        <v>2090</v>
      </c>
      <c r="D375" s="3160">
        <v>2050</v>
      </c>
      <c r="E375" s="3160">
        <v>2020</v>
      </c>
      <c r="F375" s="3160">
        <v>520</v>
      </c>
      <c r="G375" s="3172">
        <v>1240</v>
      </c>
      <c r="H375" s="955"/>
    </row>
    <row r="376" spans="1:8">
      <c r="A376" s="3179" t="s">
        <v>2756</v>
      </c>
      <c r="B376" s="3160" t="s">
        <v>1126</v>
      </c>
      <c r="C376" s="3160">
        <v>2010</v>
      </c>
      <c r="D376" s="3160">
        <v>1980</v>
      </c>
      <c r="E376" s="3160">
        <v>1940</v>
      </c>
      <c r="F376" s="3160">
        <v>540</v>
      </c>
      <c r="G376" s="3172">
        <v>1190</v>
      </c>
      <c r="H376" s="955"/>
    </row>
    <row r="377" spans="1:8" ht="14.25" thickBot="1">
      <c r="A377" s="3181" t="s">
        <v>2756</v>
      </c>
      <c r="B377" s="3175" t="s">
        <v>3010</v>
      </c>
      <c r="C377" s="3175">
        <v>1930</v>
      </c>
      <c r="D377" s="3175">
        <v>1890</v>
      </c>
      <c r="E377" s="3175">
        <v>1860</v>
      </c>
      <c r="F377" s="3175">
        <v>530</v>
      </c>
      <c r="G377" s="3182">
        <v>1150</v>
      </c>
      <c r="H377" s="955"/>
    </row>
    <row r="378" spans="1:8">
      <c r="A378" s="3176" t="s">
        <v>2757</v>
      </c>
      <c r="B378" s="3177" t="s">
        <v>3011</v>
      </c>
      <c r="C378" s="3177">
        <v>1520</v>
      </c>
      <c r="D378" s="3177">
        <v>1490</v>
      </c>
      <c r="E378" s="3177">
        <v>1460</v>
      </c>
      <c r="F378" s="3177">
        <v>460</v>
      </c>
      <c r="G378" s="3178">
        <v>940</v>
      </c>
      <c r="H378" s="955"/>
    </row>
    <row r="379" spans="1:8">
      <c r="A379" s="3179" t="s">
        <v>2757</v>
      </c>
      <c r="B379" s="3160" t="s">
        <v>3012</v>
      </c>
      <c r="C379" s="3160">
        <v>1500</v>
      </c>
      <c r="D379" s="3160">
        <v>1470</v>
      </c>
      <c r="E379" s="3160">
        <v>1430</v>
      </c>
      <c r="F379" s="3160">
        <v>460</v>
      </c>
      <c r="G379" s="3172">
        <v>920</v>
      </c>
      <c r="H379" s="955"/>
    </row>
    <row r="380" spans="1:8">
      <c r="A380" s="3179" t="s">
        <v>2757</v>
      </c>
      <c r="B380" s="3160" t="s">
        <v>3013</v>
      </c>
      <c r="C380" s="3160">
        <v>1620</v>
      </c>
      <c r="D380" s="3160">
        <v>1590</v>
      </c>
      <c r="E380" s="3160">
        <v>1560</v>
      </c>
      <c r="F380" s="3160">
        <v>480</v>
      </c>
      <c r="G380" s="3172">
        <v>1000</v>
      </c>
      <c r="H380" s="955"/>
    </row>
    <row r="381" spans="1:8">
      <c r="A381" s="3179" t="s">
        <v>2757</v>
      </c>
      <c r="B381" s="3160" t="s">
        <v>3014</v>
      </c>
      <c r="C381" s="3160">
        <v>1460</v>
      </c>
      <c r="D381" s="3160">
        <v>1430</v>
      </c>
      <c r="E381" s="3160">
        <v>1390</v>
      </c>
      <c r="F381" s="3160">
        <v>450</v>
      </c>
      <c r="G381" s="3172">
        <v>900</v>
      </c>
      <c r="H381" s="955"/>
    </row>
    <row r="382" spans="1:8">
      <c r="A382" s="3179" t="s">
        <v>2757</v>
      </c>
      <c r="B382" s="3160" t="s">
        <v>3015</v>
      </c>
      <c r="C382" s="3160">
        <v>1310</v>
      </c>
      <c r="D382" s="3160">
        <v>1280</v>
      </c>
      <c r="E382" s="3160">
        <v>1250</v>
      </c>
      <c r="F382" s="3160">
        <v>440</v>
      </c>
      <c r="G382" s="3172">
        <v>800</v>
      </c>
      <c r="H382" s="955"/>
    </row>
    <row r="383" spans="1:8">
      <c r="A383" s="3179" t="s">
        <v>2757</v>
      </c>
      <c r="B383" s="3160" t="s">
        <v>3016</v>
      </c>
      <c r="C383" s="3160">
        <v>1260</v>
      </c>
      <c r="D383" s="3160">
        <v>1230</v>
      </c>
      <c r="E383" s="3160">
        <v>1200</v>
      </c>
      <c r="F383" s="3160">
        <v>420</v>
      </c>
      <c r="G383" s="3172">
        <v>770</v>
      </c>
      <c r="H383" s="955"/>
    </row>
    <row r="384" spans="1:8" ht="14.25" thickBot="1">
      <c r="A384" s="3180" t="s">
        <v>2757</v>
      </c>
      <c r="B384" s="3174" t="s">
        <v>3017</v>
      </c>
      <c r="C384" s="3174">
        <v>1170</v>
      </c>
      <c r="D384" s="3174">
        <v>1140</v>
      </c>
      <c r="E384" s="3174">
        <v>1120</v>
      </c>
      <c r="F384" s="3174">
        <v>400</v>
      </c>
      <c r="G384" s="3170">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57" t="s">
        <v>3180</v>
      </c>
      <c r="B1" s="3757"/>
      <c r="C1" s="3757"/>
      <c r="D1" s="3757"/>
      <c r="E1" s="3757"/>
      <c r="F1" s="3758"/>
    </row>
    <row r="2" spans="1:6">
      <c r="A2" s="3225" t="s">
        <v>3181</v>
      </c>
      <c r="B2" s="1487"/>
      <c r="C2" s="1487"/>
      <c r="D2" s="1487"/>
      <c r="E2" s="1487"/>
      <c r="F2" s="1487"/>
    </row>
    <row r="3" spans="1:6">
      <c r="A3" s="3225" t="s">
        <v>3182</v>
      </c>
      <c r="B3" s="1487"/>
      <c r="C3" s="1487"/>
      <c r="D3" s="1487"/>
      <c r="E3" s="1487"/>
      <c r="F3" s="3226" t="s">
        <v>3183</v>
      </c>
    </row>
    <row r="4" spans="1:6">
      <c r="A4" s="3227" t="s">
        <v>3178</v>
      </c>
      <c r="B4" s="3227" t="s">
        <v>2732</v>
      </c>
      <c r="C4" s="3227" t="s">
        <v>1212</v>
      </c>
      <c r="D4" s="3227" t="s">
        <v>3179</v>
      </c>
      <c r="E4" s="3227" t="s">
        <v>905</v>
      </c>
      <c r="F4" s="3227" t="s">
        <v>3184</v>
      </c>
    </row>
    <row r="5" spans="1:6">
      <c r="A5" s="3228" t="s">
        <v>2755</v>
      </c>
      <c r="B5" s="3227"/>
      <c r="C5" s="3227"/>
      <c r="D5" s="3227"/>
      <c r="E5" s="3227"/>
      <c r="F5" s="3229"/>
    </row>
    <row r="6" spans="1:6">
      <c r="A6" s="3228" t="s">
        <v>990</v>
      </c>
      <c r="B6" s="3230">
        <v>35380</v>
      </c>
      <c r="C6" s="3230">
        <v>35180</v>
      </c>
      <c r="D6" s="3230">
        <v>35030</v>
      </c>
      <c r="E6" s="3230">
        <v>13780</v>
      </c>
      <c r="F6" s="3230">
        <v>25980</v>
      </c>
    </row>
    <row r="7" spans="1:6">
      <c r="A7" s="3228" t="s">
        <v>1031</v>
      </c>
      <c r="B7" s="3230">
        <v>29960</v>
      </c>
      <c r="C7" s="3230">
        <v>29800</v>
      </c>
      <c r="D7" s="3230">
        <v>29690</v>
      </c>
      <c r="E7" s="3230">
        <v>10100</v>
      </c>
      <c r="F7" s="3230">
        <v>21690</v>
      </c>
    </row>
    <row r="8" spans="1:6">
      <c r="A8" s="3228" t="s">
        <v>1145</v>
      </c>
      <c r="B8" s="3230">
        <v>24480</v>
      </c>
      <c r="C8" s="3230">
        <v>24380</v>
      </c>
      <c r="D8" s="3230">
        <v>25590</v>
      </c>
      <c r="E8" s="3230">
        <v>7010</v>
      </c>
      <c r="F8" s="3230">
        <v>17060</v>
      </c>
    </row>
    <row r="9" spans="1:6">
      <c r="A9" s="3228" t="s">
        <v>853</v>
      </c>
      <c r="B9" s="3230">
        <v>19370</v>
      </c>
      <c r="C9" s="3230">
        <v>19290</v>
      </c>
      <c r="D9" s="3230">
        <v>21280</v>
      </c>
      <c r="E9" s="3230">
        <v>4910</v>
      </c>
      <c r="F9" s="3230">
        <v>13090</v>
      </c>
    </row>
    <row r="10" spans="1:6">
      <c r="A10" s="3228" t="s">
        <v>1152</v>
      </c>
      <c r="B10" s="3230">
        <v>15050</v>
      </c>
      <c r="C10" s="3230">
        <v>14980</v>
      </c>
      <c r="D10" s="3230">
        <v>17300</v>
      </c>
      <c r="E10" s="3230">
        <v>3450</v>
      </c>
      <c r="F10" s="3230">
        <v>9900</v>
      </c>
    </row>
    <row r="11" spans="1:6">
      <c r="A11" s="3228" t="s">
        <v>1153</v>
      </c>
      <c r="B11" s="3230">
        <v>11550</v>
      </c>
      <c r="C11" s="3230">
        <v>11490</v>
      </c>
      <c r="D11" s="3230">
        <v>13850</v>
      </c>
      <c r="E11" s="3230">
        <v>2400</v>
      </c>
      <c r="F11" s="3230">
        <v>7390</v>
      </c>
    </row>
    <row r="12" spans="1:6">
      <c r="A12" s="3228" t="s">
        <v>1154</v>
      </c>
      <c r="B12" s="3230">
        <v>8630</v>
      </c>
      <c r="C12" s="3230">
        <v>8580</v>
      </c>
      <c r="D12" s="3230">
        <v>10740</v>
      </c>
      <c r="E12" s="3230">
        <v>1720</v>
      </c>
      <c r="F12" s="3230">
        <v>5420</v>
      </c>
    </row>
    <row r="13" spans="1:6">
      <c r="A13" s="3228" t="s">
        <v>1155</v>
      </c>
      <c r="B13" s="3230">
        <v>6620</v>
      </c>
      <c r="C13" s="3230">
        <v>6580</v>
      </c>
      <c r="D13" s="3230">
        <v>7830</v>
      </c>
      <c r="E13" s="3230">
        <v>1260</v>
      </c>
      <c r="F13" s="3230">
        <v>4040</v>
      </c>
    </row>
    <row r="14" spans="1:6">
      <c r="A14" s="3228" t="s">
        <v>1156</v>
      </c>
      <c r="B14" s="3230">
        <v>4900</v>
      </c>
      <c r="C14" s="3230">
        <v>4860</v>
      </c>
      <c r="D14" s="3230">
        <v>5540</v>
      </c>
      <c r="E14" s="3230">
        <v>950</v>
      </c>
      <c r="F14" s="3230">
        <v>2930</v>
      </c>
    </row>
    <row r="15" spans="1:6">
      <c r="A15" s="3228" t="s">
        <v>1157</v>
      </c>
      <c r="B15" s="3230">
        <v>3380</v>
      </c>
      <c r="C15" s="3230">
        <v>3340</v>
      </c>
      <c r="D15" s="3230">
        <v>3630</v>
      </c>
      <c r="E15" s="3230">
        <v>730</v>
      </c>
      <c r="F15" s="3230">
        <v>1990</v>
      </c>
    </row>
    <row r="16" spans="1:6">
      <c r="A16" s="3228" t="s">
        <v>2756</v>
      </c>
      <c r="B16" s="3230">
        <v>2230</v>
      </c>
      <c r="C16" s="3230">
        <v>2200</v>
      </c>
      <c r="D16" s="3230">
        <v>2180</v>
      </c>
      <c r="E16" s="3230">
        <v>570</v>
      </c>
      <c r="F16" s="3230">
        <v>1330</v>
      </c>
    </row>
    <row r="17" spans="1:6">
      <c r="A17" s="3228" t="s">
        <v>2757</v>
      </c>
      <c r="B17" s="3230">
        <v>1390</v>
      </c>
      <c r="C17" s="3230">
        <v>1360</v>
      </c>
      <c r="D17" s="3230">
        <v>1340</v>
      </c>
      <c r="E17" s="3230">
        <v>450</v>
      </c>
      <c r="F17" s="3230">
        <v>860</v>
      </c>
    </row>
  </sheetData>
  <sheetProtection password="CEE9" sheet="1" objects="1" scenarios="1"/>
  <mergeCells count="1">
    <mergeCell ref="A1:F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华夏：</v>
      </c>
    </row>
    <row r="4" spans="1:4" ht="56.25">
      <c r="A4" s="1485"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88" t="s">
        <v>1429</v>
      </c>
    </row>
    <row r="6" spans="1:4" ht="112.5">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5" t="s">
        <v>2028</v>
      </c>
    </row>
    <row r="8" spans="1:4" ht="18.75">
      <c r="A8" s="1488" t="s">
        <v>1430</v>
      </c>
    </row>
    <row r="9" spans="1:4" ht="112.5">
      <c r="A9" s="1485"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0" t="s">
        <v>1542</v>
      </c>
    </row>
    <row r="11" spans="1:4" ht="18.75">
      <c r="A11" s="1474" t="str">
        <f>TEXT(项目基本情况!D3,"yyyy年m月d日;;")&amp;IF(项目基本情况!B3=项目基本情况!D3,"（评估专业人员勘察现场之日）","")</f>
        <v>2024年11月21日（评估专业人员勘察现场之日）</v>
      </c>
    </row>
    <row r="12" spans="1:4" ht="18.75">
      <c r="A12" s="1490" t="s">
        <v>1541</v>
      </c>
    </row>
    <row r="13" spans="1:4" ht="18.75">
      <c r="A13" s="1485" t="s">
        <v>1587</v>
      </c>
    </row>
    <row r="14" spans="1:4" ht="18.75">
      <c r="A14" s="1485" t="str">
        <f>"根据"&amp;项目基本情况!F12&amp;"，本次评估估价对象证载（地类）用途为"&amp;项目基本情况!B12&amp;"。"</f>
        <v>根据《国有土地使用证》[]，本次评估估价对象证载（地类）用途为F1。</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1588</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5" t="s">
        <v>1589</v>
      </c>
    </row>
    <row r="20" spans="1:1" ht="56.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5" t="s">
        <v>1590</v>
      </c>
    </row>
    <row r="23" spans="1:1" ht="18.75">
      <c r="A23" s="2177" t="s">
        <v>2029</v>
      </c>
    </row>
    <row r="24" spans="1:1" ht="18.75">
      <c r="A24" s="1485" t="s">
        <v>1591</v>
      </c>
    </row>
    <row r="25" spans="1:1" ht="93.75">
      <c r="A25" s="1485"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0" t="s">
        <v>1543</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78" t="s">
        <v>2769</v>
      </c>
      <c r="B1" s="918"/>
      <c r="C1" s="918"/>
      <c r="D1" s="918"/>
      <c r="E1" s="918"/>
      <c r="F1" s="918"/>
      <c r="G1" s="918"/>
      <c r="H1" s="918"/>
      <c r="I1" s="918"/>
      <c r="J1" s="918"/>
      <c r="K1" s="918"/>
      <c r="L1" s="918"/>
      <c r="M1" s="918"/>
      <c r="N1" s="918"/>
    </row>
    <row r="2" spans="1:14">
      <c r="A2" s="920" t="s">
        <v>1548</v>
      </c>
      <c r="B2" s="921" t="s">
        <v>990</v>
      </c>
      <c r="C2" s="921" t="s">
        <v>1031</v>
      </c>
      <c r="D2" s="921" t="s">
        <v>1145</v>
      </c>
      <c r="E2" s="921" t="s">
        <v>853</v>
      </c>
      <c r="F2" s="921" t="s">
        <v>1152</v>
      </c>
      <c r="G2" s="921" t="s">
        <v>1153</v>
      </c>
      <c r="H2" s="922" t="s">
        <v>1154</v>
      </c>
      <c r="I2" s="922" t="s">
        <v>1155</v>
      </c>
      <c r="J2" s="923" t="s">
        <v>1156</v>
      </c>
      <c r="K2" s="923" t="s">
        <v>1157</v>
      </c>
      <c r="L2" s="923" t="s">
        <v>2756</v>
      </c>
      <c r="M2" s="923" t="s">
        <v>2757</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78" t="s">
        <v>2770</v>
      </c>
      <c r="B93" s="929"/>
      <c r="C93" s="929"/>
      <c r="D93" s="929"/>
      <c r="E93" s="929"/>
      <c r="F93" s="929"/>
      <c r="G93" s="929"/>
      <c r="H93" s="929"/>
      <c r="I93" s="929"/>
      <c r="J93" s="929"/>
      <c r="K93" s="929"/>
      <c r="L93" s="929"/>
      <c r="M93" s="929"/>
    </row>
    <row r="94" spans="1:14">
      <c r="A94" s="936" t="s">
        <v>1548</v>
      </c>
      <c r="B94" s="929" t="s">
        <v>990</v>
      </c>
      <c r="C94" s="929" t="s">
        <v>1031</v>
      </c>
      <c r="D94" s="929" t="s">
        <v>1145</v>
      </c>
      <c r="E94" s="929" t="s">
        <v>853</v>
      </c>
      <c r="F94" s="929" t="s">
        <v>1152</v>
      </c>
      <c r="G94" s="929" t="s">
        <v>1153</v>
      </c>
      <c r="H94" s="929" t="s">
        <v>1154</v>
      </c>
      <c r="I94" s="929" t="s">
        <v>1155</v>
      </c>
      <c r="J94" s="929" t="s">
        <v>1156</v>
      </c>
      <c r="K94" s="929" t="s">
        <v>1157</v>
      </c>
      <c r="L94" s="929" t="s">
        <v>2756</v>
      </c>
      <c r="M94" s="929" t="s">
        <v>2757</v>
      </c>
      <c r="N94" s="919" t="e">
        <f>SUMPRODUCT((A95:A184=ROUNDDOWN([2]基准地价修正!G3,1))*(B94:M94=[2]基准地价修正!G2)*(B95:M184))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78" t="s">
        <v>2771</v>
      </c>
      <c r="B185" s="929"/>
      <c r="C185" s="929"/>
      <c r="D185" s="929"/>
      <c r="E185" s="929"/>
      <c r="F185" s="929"/>
      <c r="G185" s="929"/>
      <c r="H185" s="929"/>
      <c r="I185" s="929"/>
      <c r="J185" s="929"/>
      <c r="K185" s="929"/>
      <c r="L185" s="929"/>
      <c r="M185" s="929"/>
    </row>
    <row r="186" spans="1:13">
      <c r="A186" s="920" t="s">
        <v>1548</v>
      </c>
      <c r="B186" s="929" t="s">
        <v>990</v>
      </c>
      <c r="C186" s="929" t="s">
        <v>1031</v>
      </c>
      <c r="D186" s="929" t="s">
        <v>1145</v>
      </c>
      <c r="E186" s="929" t="s">
        <v>853</v>
      </c>
      <c r="F186" s="929" t="s">
        <v>1152</v>
      </c>
      <c r="G186" s="929" t="s">
        <v>1153</v>
      </c>
      <c r="H186" s="929" t="s">
        <v>1154</v>
      </c>
      <c r="I186" s="929" t="s">
        <v>1155</v>
      </c>
      <c r="J186" s="929" t="s">
        <v>1156</v>
      </c>
      <c r="K186" s="929" t="s">
        <v>1157</v>
      </c>
      <c r="L186" s="929" t="s">
        <v>2756</v>
      </c>
      <c r="M186" s="929" t="s">
        <v>2757</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78" t="s">
        <v>2772</v>
      </c>
      <c r="B277" s="929"/>
      <c r="C277" s="929"/>
      <c r="D277" s="929"/>
      <c r="E277" s="929"/>
      <c r="F277" s="929"/>
      <c r="G277" s="929"/>
      <c r="H277" s="929"/>
      <c r="I277" s="929"/>
      <c r="J277" s="929"/>
      <c r="K277" s="929"/>
      <c r="L277" s="929"/>
      <c r="M277" s="929"/>
    </row>
    <row r="278" spans="1:13">
      <c r="A278" s="920" t="s">
        <v>1548</v>
      </c>
      <c r="B278" s="929" t="s">
        <v>990</v>
      </c>
      <c r="C278" s="929" t="s">
        <v>1031</v>
      </c>
      <c r="D278" s="929" t="s">
        <v>1145</v>
      </c>
      <c r="E278" s="929" t="s">
        <v>853</v>
      </c>
      <c r="F278" s="929" t="s">
        <v>1152</v>
      </c>
      <c r="G278" s="929" t="s">
        <v>1153</v>
      </c>
      <c r="H278" s="929" t="s">
        <v>1154</v>
      </c>
      <c r="I278" s="929" t="s">
        <v>1155</v>
      </c>
      <c r="J278" s="929" t="s">
        <v>1156</v>
      </c>
      <c r="K278" s="929" t="s">
        <v>1157</v>
      </c>
      <c r="L278" s="929" t="s">
        <v>2756</v>
      </c>
      <c r="M278" s="929" t="s">
        <v>2757</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78" t="s">
        <v>2773</v>
      </c>
      <c r="B369" s="929"/>
      <c r="C369" s="929"/>
      <c r="D369" s="929"/>
      <c r="E369" s="929"/>
      <c r="F369" s="929"/>
      <c r="G369" s="929"/>
      <c r="H369" s="929"/>
      <c r="I369" s="929"/>
      <c r="J369" s="929"/>
      <c r="K369" s="929"/>
      <c r="L369" s="929"/>
      <c r="M369" s="929"/>
    </row>
    <row r="370" spans="1:14">
      <c r="A370" s="920" t="s">
        <v>1548</v>
      </c>
      <c r="B370" s="929" t="s">
        <v>990</v>
      </c>
      <c r="C370" s="929" t="s">
        <v>1031</v>
      </c>
      <c r="D370" s="929" t="s">
        <v>1145</v>
      </c>
      <c r="E370" s="929" t="s">
        <v>853</v>
      </c>
      <c r="F370" s="929" t="s">
        <v>1152</v>
      </c>
      <c r="G370" s="929" t="s">
        <v>1153</v>
      </c>
      <c r="H370" s="929" t="s">
        <v>1154</v>
      </c>
      <c r="I370" s="929" t="s">
        <v>1155</v>
      </c>
      <c r="J370" s="929" t="s">
        <v>1156</v>
      </c>
      <c r="K370" s="929" t="s">
        <v>1157</v>
      </c>
      <c r="L370" s="929" t="s">
        <v>2756</v>
      </c>
      <c r="M370" s="929" t="s">
        <v>2757</v>
      </c>
      <c r="N370" s="919" t="e">
        <f>SUMPRODUCT((A371:A460=ROUNDDOWN([2]基准地价修正!G3,1))*(B370:M370=[2]基准地价修正!G2)*(B371:M460))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0" customWidth="1"/>
    <col min="2" max="2" width="13.875" style="3190" customWidth="1"/>
    <col min="3" max="7" width="8.875" style="3190"/>
    <col min="8" max="16384" width="8.875" style="1487"/>
  </cols>
  <sheetData>
    <row r="1" spans="1:7">
      <c r="A1" s="3759" t="s">
        <v>3018</v>
      </c>
      <c r="B1" s="3759"/>
    </row>
    <row r="2" spans="1:7" ht="14.25" thickBot="1">
      <c r="A2" s="3191"/>
      <c r="B2" s="3191"/>
    </row>
    <row r="3" spans="1:7" ht="14.25" thickBot="1">
      <c r="A3" s="3191"/>
      <c r="B3" s="3191"/>
      <c r="C3" s="3192" t="s">
        <v>3019</v>
      </c>
      <c r="D3" s="3192" t="s">
        <v>3020</v>
      </c>
      <c r="E3" s="3192" t="s">
        <v>3021</v>
      </c>
      <c r="F3" s="3192" t="s">
        <v>3022</v>
      </c>
      <c r="G3" s="3192" t="s">
        <v>3023</v>
      </c>
    </row>
    <row r="4" spans="1:7" ht="14.25" thickBot="1">
      <c r="A4" s="3193" t="s">
        <v>3024</v>
      </c>
      <c r="B4" s="3194" t="s">
        <v>3025</v>
      </c>
      <c r="C4" s="3192"/>
      <c r="D4" s="3192"/>
      <c r="E4" s="3192"/>
      <c r="F4" s="3192"/>
      <c r="G4" s="3192"/>
    </row>
    <row r="5" spans="1:7">
      <c r="A5" s="3195" t="s">
        <v>3026</v>
      </c>
      <c r="B5" s="3196" t="s">
        <v>3027</v>
      </c>
      <c r="C5" s="3197">
        <v>9.8000000000000004E-2</v>
      </c>
      <c r="D5" s="3197">
        <v>8.6999999999999994E-2</v>
      </c>
      <c r="E5" s="3197">
        <v>8.6999999999999994E-2</v>
      </c>
      <c r="F5" s="3197">
        <v>9.8000000000000004E-2</v>
      </c>
      <c r="G5" s="3198">
        <v>9.5000000000000001E-2</v>
      </c>
    </row>
    <row r="6" spans="1:7">
      <c r="A6" s="3199" t="s">
        <v>990</v>
      </c>
      <c r="B6" s="3200" t="s">
        <v>3028</v>
      </c>
      <c r="C6" s="3201">
        <v>9.8000000000000004E-2</v>
      </c>
      <c r="D6" s="3201">
        <v>9.8000000000000004E-2</v>
      </c>
      <c r="E6" s="3201">
        <v>9.8000000000000004E-2</v>
      </c>
      <c r="F6" s="3201">
        <v>0.1</v>
      </c>
      <c r="G6" s="3202">
        <v>9.9000000000000005E-2</v>
      </c>
    </row>
    <row r="7" spans="1:7">
      <c r="A7" s="3199" t="s">
        <v>990</v>
      </c>
      <c r="B7" s="3200" t="s">
        <v>982</v>
      </c>
      <c r="C7" s="3201">
        <v>9.7000000000000003E-2</v>
      </c>
      <c r="D7" s="3201">
        <v>9.7000000000000003E-2</v>
      </c>
      <c r="E7" s="3201">
        <v>9.6000000000000002E-2</v>
      </c>
      <c r="F7" s="3201">
        <v>0.1</v>
      </c>
      <c r="G7" s="3202">
        <v>9.8000000000000004E-2</v>
      </c>
    </row>
    <row r="8" spans="1:7">
      <c r="A8" s="3199" t="s">
        <v>990</v>
      </c>
      <c r="B8" s="3200" t="s">
        <v>991</v>
      </c>
      <c r="C8" s="3201">
        <v>8.1000000000000003E-2</v>
      </c>
      <c r="D8" s="3201">
        <v>8.2000000000000003E-2</v>
      </c>
      <c r="E8" s="3201">
        <v>7.0000000000000007E-2</v>
      </c>
      <c r="F8" s="3201">
        <v>9.6000000000000002E-2</v>
      </c>
      <c r="G8" s="3202">
        <v>8.8999999999999996E-2</v>
      </c>
    </row>
    <row r="9" spans="1:7" ht="14.25" thickBot="1">
      <c r="A9" s="3203" t="s">
        <v>990</v>
      </c>
      <c r="B9" s="3204" t="s">
        <v>1001</v>
      </c>
      <c r="C9" s="3205">
        <v>0.1</v>
      </c>
      <c r="D9" s="3205">
        <v>0.1</v>
      </c>
      <c r="E9" s="3205">
        <v>0.1</v>
      </c>
      <c r="F9" s="3206"/>
      <c r="G9" s="3207">
        <v>0.1</v>
      </c>
    </row>
    <row r="10" spans="1:7">
      <c r="A10" s="3195" t="s">
        <v>1031</v>
      </c>
      <c r="B10" s="3196" t="s">
        <v>3029</v>
      </c>
      <c r="C10" s="3197">
        <v>6.7000000000000004E-2</v>
      </c>
      <c r="D10" s="3197">
        <v>7.9000000000000001E-2</v>
      </c>
      <c r="E10" s="3197">
        <v>7.9000000000000001E-2</v>
      </c>
      <c r="F10" s="3197">
        <v>0.1</v>
      </c>
      <c r="G10" s="3198">
        <v>9.0999999999999998E-2</v>
      </c>
    </row>
    <row r="11" spans="1:7">
      <c r="A11" s="3199" t="s">
        <v>1031</v>
      </c>
      <c r="B11" s="3200" t="s">
        <v>973</v>
      </c>
      <c r="C11" s="3201">
        <v>0.05</v>
      </c>
      <c r="D11" s="3201">
        <v>5.2999999999999999E-2</v>
      </c>
      <c r="E11" s="3201">
        <v>6.3E-2</v>
      </c>
      <c r="F11" s="3201">
        <v>0.1</v>
      </c>
      <c r="G11" s="3202">
        <v>7.1999999999999995E-2</v>
      </c>
    </row>
    <row r="12" spans="1:7">
      <c r="A12" s="3199" t="s">
        <v>1031</v>
      </c>
      <c r="B12" s="3200" t="s">
        <v>983</v>
      </c>
      <c r="C12" s="3201">
        <v>5.2999999999999999E-2</v>
      </c>
      <c r="D12" s="3201">
        <v>0.09</v>
      </c>
      <c r="E12" s="3201">
        <v>7.1999999999999995E-2</v>
      </c>
      <c r="F12" s="3201">
        <v>0.1</v>
      </c>
      <c r="G12" s="3202">
        <v>9.7000000000000003E-2</v>
      </c>
    </row>
    <row r="13" spans="1:7">
      <c r="A13" s="3199" t="s">
        <v>1031</v>
      </c>
      <c r="B13" s="3200" t="s">
        <v>992</v>
      </c>
      <c r="C13" s="3201">
        <v>9.7000000000000003E-2</v>
      </c>
      <c r="D13" s="3201">
        <v>9.1999999999999998E-2</v>
      </c>
      <c r="E13" s="3201">
        <v>9.5000000000000001E-2</v>
      </c>
      <c r="F13" s="3201">
        <v>0.1</v>
      </c>
      <c r="G13" s="3202">
        <v>9.7000000000000003E-2</v>
      </c>
    </row>
    <row r="14" spans="1:7">
      <c r="A14" s="3199" t="s">
        <v>1031</v>
      </c>
      <c r="B14" s="3200" t="s">
        <v>1002</v>
      </c>
      <c r="C14" s="3201">
        <v>9.7000000000000003E-2</v>
      </c>
      <c r="D14" s="3201">
        <v>9.7000000000000003E-2</v>
      </c>
      <c r="E14" s="3201">
        <v>9.7000000000000003E-2</v>
      </c>
      <c r="F14" s="3201">
        <v>0.1</v>
      </c>
      <c r="G14" s="3202">
        <v>9.8000000000000004E-2</v>
      </c>
    </row>
    <row r="15" spans="1:7">
      <c r="A15" s="3199" t="s">
        <v>1031</v>
      </c>
      <c r="B15" s="3200" t="s">
        <v>1009</v>
      </c>
      <c r="C15" s="3201">
        <v>9.8000000000000004E-2</v>
      </c>
      <c r="D15" s="3201">
        <v>9.0999999999999998E-2</v>
      </c>
      <c r="E15" s="3201">
        <v>0.06</v>
      </c>
      <c r="F15" s="3201">
        <v>0.1</v>
      </c>
      <c r="G15" s="3202">
        <v>9.7000000000000003E-2</v>
      </c>
    </row>
    <row r="16" spans="1:7">
      <c r="A16" s="3199" t="s">
        <v>1031</v>
      </c>
      <c r="B16" s="3200" t="s">
        <v>1015</v>
      </c>
      <c r="C16" s="3201">
        <v>9.8000000000000004E-2</v>
      </c>
      <c r="D16" s="3201">
        <v>9.7000000000000003E-2</v>
      </c>
      <c r="E16" s="3201">
        <v>9.5000000000000001E-2</v>
      </c>
      <c r="F16" s="3201">
        <v>0.1</v>
      </c>
      <c r="G16" s="3202">
        <v>9.9000000000000005E-2</v>
      </c>
    </row>
    <row r="17" spans="1:7">
      <c r="A17" s="3199" t="s">
        <v>1031</v>
      </c>
      <c r="B17" s="3200" t="s">
        <v>1022</v>
      </c>
      <c r="C17" s="3201">
        <v>8.8999999999999996E-2</v>
      </c>
      <c r="D17" s="3201">
        <v>9.1999999999999998E-2</v>
      </c>
      <c r="E17" s="3201">
        <v>6.0999999999999999E-2</v>
      </c>
      <c r="F17" s="3201">
        <v>0.1</v>
      </c>
      <c r="G17" s="3202">
        <v>9.7000000000000003E-2</v>
      </c>
    </row>
    <row r="18" spans="1:7">
      <c r="A18" s="3199" t="s">
        <v>1031</v>
      </c>
      <c r="B18" s="3200" t="s">
        <v>1032</v>
      </c>
      <c r="C18" s="3201">
        <v>9.8000000000000004E-2</v>
      </c>
      <c r="D18" s="3201">
        <v>9.8000000000000004E-2</v>
      </c>
      <c r="E18" s="3201">
        <v>9.8000000000000004E-2</v>
      </c>
      <c r="F18" s="3208"/>
      <c r="G18" s="3202">
        <v>9.9000000000000005E-2</v>
      </c>
    </row>
    <row r="19" spans="1:7">
      <c r="A19" s="3199" t="s">
        <v>1031</v>
      </c>
      <c r="B19" s="3200" t="s">
        <v>1041</v>
      </c>
      <c r="C19" s="3201">
        <v>9.9000000000000005E-2</v>
      </c>
      <c r="D19" s="3201">
        <v>7.3999999999999996E-2</v>
      </c>
      <c r="E19" s="3201">
        <v>8.1000000000000003E-2</v>
      </c>
      <c r="F19" s="3208"/>
      <c r="G19" s="3202">
        <v>9.2999999999999999E-2</v>
      </c>
    </row>
    <row r="20" spans="1:7">
      <c r="A20" s="3199" t="s">
        <v>1031</v>
      </c>
      <c r="B20" s="3200" t="s">
        <v>1048</v>
      </c>
      <c r="C20" s="3201">
        <v>0.1</v>
      </c>
      <c r="D20" s="3201">
        <v>8.8999999999999996E-2</v>
      </c>
      <c r="E20" s="3201">
        <v>8.8999999999999996E-2</v>
      </c>
      <c r="F20" s="3208"/>
      <c r="G20" s="3202">
        <v>9.5000000000000001E-2</v>
      </c>
    </row>
    <row r="21" spans="1:7">
      <c r="A21" s="3199" t="s">
        <v>1031</v>
      </c>
      <c r="B21" s="3200" t="s">
        <v>1055</v>
      </c>
      <c r="C21" s="3201">
        <v>0.1</v>
      </c>
      <c r="D21" s="3201">
        <v>9.0999999999999998E-2</v>
      </c>
      <c r="E21" s="3201">
        <v>8.2000000000000003E-2</v>
      </c>
      <c r="F21" s="3208"/>
      <c r="G21" s="3202">
        <v>9.7000000000000003E-2</v>
      </c>
    </row>
    <row r="22" spans="1:7">
      <c r="A22" s="3199" t="s">
        <v>1031</v>
      </c>
      <c r="B22" s="3200" t="s">
        <v>3030</v>
      </c>
      <c r="C22" s="3201">
        <v>9.5000000000000001E-2</v>
      </c>
      <c r="D22" s="3201">
        <v>9.9000000000000005E-2</v>
      </c>
      <c r="E22" s="3201">
        <v>9.8000000000000004E-2</v>
      </c>
      <c r="F22" s="3208"/>
      <c r="G22" s="3202">
        <v>0.1</v>
      </c>
    </row>
    <row r="23" spans="1:7">
      <c r="A23" s="3199" t="s">
        <v>1031</v>
      </c>
      <c r="B23" s="3200" t="s">
        <v>1070</v>
      </c>
      <c r="C23" s="3201">
        <v>9.9000000000000005E-2</v>
      </c>
      <c r="D23" s="3201">
        <v>0.1</v>
      </c>
      <c r="E23" s="3201">
        <v>0.1</v>
      </c>
      <c r="F23" s="3208"/>
      <c r="G23" s="3202">
        <v>0.1</v>
      </c>
    </row>
    <row r="24" spans="1:7">
      <c r="A24" s="3199" t="s">
        <v>1031</v>
      </c>
      <c r="B24" s="3200" t="s">
        <v>1078</v>
      </c>
      <c r="C24" s="3201">
        <v>9.5000000000000001E-2</v>
      </c>
      <c r="D24" s="3201">
        <v>0.1</v>
      </c>
      <c r="E24" s="3201">
        <v>9.8000000000000004E-2</v>
      </c>
      <c r="F24" s="3208"/>
      <c r="G24" s="3202">
        <v>0.1</v>
      </c>
    </row>
    <row r="25" spans="1:7">
      <c r="A25" s="3199" t="s">
        <v>1031</v>
      </c>
      <c r="B25" s="3200" t="s">
        <v>1083</v>
      </c>
      <c r="C25" s="3201">
        <v>0.05</v>
      </c>
      <c r="D25" s="3201">
        <v>9.6000000000000002E-2</v>
      </c>
      <c r="E25" s="3201">
        <v>9.6000000000000002E-2</v>
      </c>
      <c r="F25" s="3208"/>
      <c r="G25" s="3202">
        <v>9.6000000000000002E-2</v>
      </c>
    </row>
    <row r="26" spans="1:7">
      <c r="A26" s="3199" t="s">
        <v>1031</v>
      </c>
      <c r="B26" s="3200" t="s">
        <v>1092</v>
      </c>
      <c r="C26" s="3201">
        <v>6.3E-2</v>
      </c>
      <c r="D26" s="3201">
        <v>9.9000000000000005E-2</v>
      </c>
      <c r="E26" s="3201">
        <v>9.8000000000000004E-2</v>
      </c>
      <c r="F26" s="3208"/>
      <c r="G26" s="3202">
        <v>0.1</v>
      </c>
    </row>
    <row r="27" spans="1:7">
      <c r="A27" s="3199" t="s">
        <v>1031</v>
      </c>
      <c r="B27" s="3200" t="s">
        <v>1099</v>
      </c>
      <c r="C27" s="3201">
        <v>5.1999999999999998E-2</v>
      </c>
      <c r="D27" s="3201">
        <v>9.5000000000000001E-2</v>
      </c>
      <c r="E27" s="3201">
        <v>6.4000000000000001E-2</v>
      </c>
      <c r="F27" s="3208"/>
      <c r="G27" s="3202">
        <v>9.7000000000000003E-2</v>
      </c>
    </row>
    <row r="28" spans="1:7">
      <c r="A28" s="3199" t="s">
        <v>1031</v>
      </c>
      <c r="B28" s="3200" t="s">
        <v>1107</v>
      </c>
      <c r="C28" s="3208"/>
      <c r="D28" s="3201">
        <v>6.3E-2</v>
      </c>
      <c r="E28" s="3201">
        <v>5.1999999999999998E-2</v>
      </c>
      <c r="F28" s="3208"/>
      <c r="G28" s="3202">
        <v>6.3E-2</v>
      </c>
    </row>
    <row r="29" spans="1:7" ht="14.25" thickBot="1">
      <c r="A29" s="3203" t="s">
        <v>1031</v>
      </c>
      <c r="B29" s="3204" t="s">
        <v>2816</v>
      </c>
      <c r="C29" s="3209"/>
      <c r="D29" s="3205">
        <v>5.1999999999999998E-2</v>
      </c>
      <c r="E29" s="3205">
        <v>7.0000000000000007E-2</v>
      </c>
      <c r="F29" s="3209"/>
      <c r="G29" s="3207">
        <v>7.0999999999999994E-2</v>
      </c>
    </row>
    <row r="30" spans="1:7">
      <c r="A30" s="3210" t="s">
        <v>1145</v>
      </c>
      <c r="B30" s="3196" t="s">
        <v>3031</v>
      </c>
      <c r="C30" s="3197">
        <v>6.6000000000000003E-2</v>
      </c>
      <c r="D30" s="3197">
        <v>6.6000000000000003E-2</v>
      </c>
      <c r="E30" s="3197">
        <v>5.7000000000000002E-2</v>
      </c>
      <c r="F30" s="3197">
        <v>0.1</v>
      </c>
      <c r="G30" s="3198">
        <v>6.8000000000000005E-2</v>
      </c>
    </row>
    <row r="31" spans="1:7">
      <c r="A31" s="3211" t="s">
        <v>1145</v>
      </c>
      <c r="B31" s="3200" t="s">
        <v>974</v>
      </c>
      <c r="C31" s="3201">
        <v>5.5E-2</v>
      </c>
      <c r="D31" s="3201">
        <v>8.2000000000000003E-2</v>
      </c>
      <c r="E31" s="3201">
        <v>6.4000000000000001E-2</v>
      </c>
      <c r="F31" s="3201">
        <v>0.1</v>
      </c>
      <c r="G31" s="3202">
        <v>9.5000000000000001E-2</v>
      </c>
    </row>
    <row r="32" spans="1:7">
      <c r="A32" s="3211" t="s">
        <v>1145</v>
      </c>
      <c r="B32" s="3200" t="s">
        <v>984</v>
      </c>
      <c r="C32" s="3201">
        <v>8.2000000000000003E-2</v>
      </c>
      <c r="D32" s="3201">
        <v>8.6999999999999994E-2</v>
      </c>
      <c r="E32" s="3201">
        <v>9.5000000000000001E-2</v>
      </c>
      <c r="F32" s="3201">
        <v>0.1</v>
      </c>
      <c r="G32" s="3202">
        <v>9.6000000000000002E-2</v>
      </c>
    </row>
    <row r="33" spans="1:7">
      <c r="A33" s="3211" t="s">
        <v>1145</v>
      </c>
      <c r="B33" s="3200" t="s">
        <v>993</v>
      </c>
      <c r="C33" s="3201">
        <v>9.9000000000000005E-2</v>
      </c>
      <c r="D33" s="3201">
        <v>9.1999999999999998E-2</v>
      </c>
      <c r="E33" s="3201">
        <v>8.6999999999999994E-2</v>
      </c>
      <c r="F33" s="3201">
        <v>0.1</v>
      </c>
      <c r="G33" s="3202">
        <v>9.7000000000000003E-2</v>
      </c>
    </row>
    <row r="34" spans="1:7">
      <c r="A34" s="3211" t="s">
        <v>1145</v>
      </c>
      <c r="B34" s="3200" t="s">
        <v>1003</v>
      </c>
      <c r="C34" s="3201">
        <v>8.4000000000000005E-2</v>
      </c>
      <c r="D34" s="3201">
        <v>9.7000000000000003E-2</v>
      </c>
      <c r="E34" s="3201">
        <v>7.0999999999999994E-2</v>
      </c>
      <c r="F34" s="3201">
        <v>0.1</v>
      </c>
      <c r="G34" s="3202">
        <v>9.8000000000000004E-2</v>
      </c>
    </row>
    <row r="35" spans="1:7">
      <c r="A35" s="3211" t="s">
        <v>1145</v>
      </c>
      <c r="B35" s="3200" t="s">
        <v>1010</v>
      </c>
      <c r="C35" s="3201">
        <v>8.3000000000000004E-2</v>
      </c>
      <c r="D35" s="3201">
        <v>9.7000000000000003E-2</v>
      </c>
      <c r="E35" s="3201">
        <v>6.0999999999999999E-2</v>
      </c>
      <c r="F35" s="3201">
        <v>0.1</v>
      </c>
      <c r="G35" s="3202">
        <v>9.9000000000000005E-2</v>
      </c>
    </row>
    <row r="36" spans="1:7">
      <c r="A36" s="3211" t="s">
        <v>1145</v>
      </c>
      <c r="B36" s="3200" t="s">
        <v>1016</v>
      </c>
      <c r="C36" s="3201">
        <v>9.7000000000000003E-2</v>
      </c>
      <c r="D36" s="3201">
        <v>9.7000000000000003E-2</v>
      </c>
      <c r="E36" s="3201">
        <v>7.8E-2</v>
      </c>
      <c r="F36" s="3201">
        <v>0.1</v>
      </c>
      <c r="G36" s="3202">
        <v>9.9000000000000005E-2</v>
      </c>
    </row>
    <row r="37" spans="1:7">
      <c r="A37" s="3211" t="s">
        <v>1145</v>
      </c>
      <c r="B37" s="3200" t="s">
        <v>1023</v>
      </c>
      <c r="C37" s="3201">
        <v>9.7000000000000003E-2</v>
      </c>
      <c r="D37" s="3201">
        <v>9.5000000000000001E-2</v>
      </c>
      <c r="E37" s="3201">
        <v>7.8E-2</v>
      </c>
      <c r="F37" s="3201">
        <v>0.1</v>
      </c>
      <c r="G37" s="3202">
        <v>9.7000000000000003E-2</v>
      </c>
    </row>
    <row r="38" spans="1:7">
      <c r="A38" s="3211" t="s">
        <v>1145</v>
      </c>
      <c r="B38" s="3200" t="s">
        <v>1033</v>
      </c>
      <c r="C38" s="3201">
        <v>9.7000000000000003E-2</v>
      </c>
      <c r="D38" s="3201">
        <v>7.6999999999999999E-2</v>
      </c>
      <c r="E38" s="3201">
        <v>7.0000000000000007E-2</v>
      </c>
      <c r="F38" s="3201">
        <v>0.1</v>
      </c>
      <c r="G38" s="3202">
        <v>7.6999999999999999E-2</v>
      </c>
    </row>
    <row r="39" spans="1:7">
      <c r="A39" s="3211" t="s">
        <v>1145</v>
      </c>
      <c r="B39" s="3200" t="s">
        <v>1042</v>
      </c>
      <c r="C39" s="3201">
        <v>9.5000000000000001E-2</v>
      </c>
      <c r="D39" s="3201">
        <v>7.6999999999999999E-2</v>
      </c>
      <c r="E39" s="3201">
        <v>6.6000000000000003E-2</v>
      </c>
      <c r="F39" s="3201">
        <v>0.1</v>
      </c>
      <c r="G39" s="3202">
        <v>8.5999999999999993E-2</v>
      </c>
    </row>
    <row r="40" spans="1:7">
      <c r="A40" s="3211" t="s">
        <v>1145</v>
      </c>
      <c r="B40" s="3200" t="s">
        <v>1049</v>
      </c>
      <c r="C40" s="3201">
        <v>7.6999999999999999E-2</v>
      </c>
      <c r="D40" s="3201">
        <v>7.8E-2</v>
      </c>
      <c r="E40" s="3201">
        <v>8.2000000000000003E-2</v>
      </c>
      <c r="F40" s="3212"/>
      <c r="G40" s="3202">
        <v>7.8E-2</v>
      </c>
    </row>
    <row r="41" spans="1:7">
      <c r="A41" s="3211" t="s">
        <v>1145</v>
      </c>
      <c r="B41" s="3200" t="s">
        <v>1056</v>
      </c>
      <c r="C41" s="3201">
        <v>7.8E-2</v>
      </c>
      <c r="D41" s="3201">
        <v>7.8E-2</v>
      </c>
      <c r="E41" s="3201">
        <v>8.2000000000000003E-2</v>
      </c>
      <c r="F41" s="3212"/>
      <c r="G41" s="3202">
        <v>8.5999999999999993E-2</v>
      </c>
    </row>
    <row r="42" spans="1:7">
      <c r="A42" s="3211" t="s">
        <v>1145</v>
      </c>
      <c r="B42" s="3200" t="s">
        <v>1063</v>
      </c>
      <c r="C42" s="3201">
        <v>7.8E-2</v>
      </c>
      <c r="D42" s="3201">
        <v>9.6000000000000002E-2</v>
      </c>
      <c r="E42" s="3201">
        <v>7.1999999999999995E-2</v>
      </c>
      <c r="F42" s="3212"/>
      <c r="G42" s="3202">
        <v>9.8000000000000004E-2</v>
      </c>
    </row>
    <row r="43" spans="1:7">
      <c r="A43" s="3211" t="s">
        <v>3032</v>
      </c>
      <c r="B43" s="3200" t="s">
        <v>1071</v>
      </c>
      <c r="C43" s="3201">
        <v>7.8E-2</v>
      </c>
      <c r="D43" s="3201">
        <v>9.9000000000000005E-2</v>
      </c>
      <c r="E43" s="3201">
        <v>9.6000000000000002E-2</v>
      </c>
      <c r="F43" s="3212"/>
      <c r="G43" s="3202">
        <v>0.1</v>
      </c>
    </row>
    <row r="44" spans="1:7">
      <c r="A44" s="3211" t="s">
        <v>1145</v>
      </c>
      <c r="B44" s="3200" t="s">
        <v>1079</v>
      </c>
      <c r="C44" s="3201">
        <v>9.6000000000000002E-2</v>
      </c>
      <c r="D44" s="3201">
        <v>0.1</v>
      </c>
      <c r="E44" s="3201">
        <v>9.8000000000000004E-2</v>
      </c>
      <c r="F44" s="3212"/>
      <c r="G44" s="3202">
        <v>0.1</v>
      </c>
    </row>
    <row r="45" spans="1:7">
      <c r="A45" s="3211" t="s">
        <v>1145</v>
      </c>
      <c r="B45" s="3200" t="s">
        <v>1084</v>
      </c>
      <c r="C45" s="3201">
        <v>9.9000000000000005E-2</v>
      </c>
      <c r="D45" s="3201">
        <v>9.8000000000000004E-2</v>
      </c>
      <c r="E45" s="3201">
        <v>9.5000000000000001E-2</v>
      </c>
      <c r="F45" s="3212"/>
      <c r="G45" s="3202">
        <v>9.8000000000000004E-2</v>
      </c>
    </row>
    <row r="46" spans="1:7">
      <c r="A46" s="3211" t="s">
        <v>1145</v>
      </c>
      <c r="B46" s="3200" t="s">
        <v>1093</v>
      </c>
      <c r="C46" s="3201">
        <v>0.1</v>
      </c>
      <c r="D46" s="3201">
        <v>9.9000000000000005E-2</v>
      </c>
      <c r="E46" s="3201">
        <v>9.6000000000000002E-2</v>
      </c>
      <c r="F46" s="3212"/>
      <c r="G46" s="3202">
        <v>0.1</v>
      </c>
    </row>
    <row r="47" spans="1:7">
      <c r="A47" s="3211" t="s">
        <v>1145</v>
      </c>
      <c r="B47" s="3200" t="s">
        <v>1100</v>
      </c>
      <c r="C47" s="3201">
        <v>9.8000000000000004E-2</v>
      </c>
      <c r="D47" s="3201">
        <v>8.6999999999999994E-2</v>
      </c>
      <c r="E47" s="3201">
        <v>5.8999999999999997E-2</v>
      </c>
      <c r="F47" s="3212"/>
      <c r="G47" s="3202">
        <v>9.6000000000000002E-2</v>
      </c>
    </row>
    <row r="48" spans="1:7">
      <c r="A48" s="3211" t="s">
        <v>1145</v>
      </c>
      <c r="B48" s="3200" t="s">
        <v>1108</v>
      </c>
      <c r="C48" s="3201">
        <v>9.9000000000000005E-2</v>
      </c>
      <c r="D48" s="3201">
        <v>9.8000000000000004E-2</v>
      </c>
      <c r="E48" s="3201">
        <v>9.5000000000000001E-2</v>
      </c>
      <c r="F48" s="3212"/>
      <c r="G48" s="3202">
        <v>9.8000000000000004E-2</v>
      </c>
    </row>
    <row r="49" spans="1:7">
      <c r="A49" s="3211" t="s">
        <v>1145</v>
      </c>
      <c r="B49" s="3200" t="s">
        <v>1115</v>
      </c>
      <c r="C49" s="3201">
        <v>8.7999999999999995E-2</v>
      </c>
      <c r="D49" s="3201">
        <v>9.9000000000000005E-2</v>
      </c>
      <c r="E49" s="3201">
        <v>7.0000000000000007E-2</v>
      </c>
      <c r="F49" s="3212"/>
      <c r="G49" s="3202">
        <v>0.1</v>
      </c>
    </row>
    <row r="50" spans="1:7">
      <c r="A50" s="3211" t="s">
        <v>1145</v>
      </c>
      <c r="B50" s="3200" t="s">
        <v>2818</v>
      </c>
      <c r="C50" s="3201">
        <v>9.8000000000000004E-2</v>
      </c>
      <c r="D50" s="3201">
        <v>7.2999999999999995E-2</v>
      </c>
      <c r="E50" s="3201">
        <v>7.0999999999999994E-2</v>
      </c>
      <c r="F50" s="3212"/>
      <c r="G50" s="3202">
        <v>7.2999999999999995E-2</v>
      </c>
    </row>
    <row r="51" spans="1:7">
      <c r="A51" s="3211" t="s">
        <v>1145</v>
      </c>
      <c r="B51" s="3200" t="s">
        <v>2819</v>
      </c>
      <c r="C51" s="3201">
        <v>9.9000000000000005E-2</v>
      </c>
      <c r="D51" s="3201">
        <v>8.5000000000000006E-2</v>
      </c>
      <c r="E51" s="3201">
        <v>6.3E-2</v>
      </c>
      <c r="F51" s="3212"/>
      <c r="G51" s="3202">
        <v>9.6000000000000002E-2</v>
      </c>
    </row>
    <row r="52" spans="1:7">
      <c r="A52" s="3211" t="s">
        <v>1145</v>
      </c>
      <c r="B52" s="3200" t="s">
        <v>2820</v>
      </c>
      <c r="C52" s="3201">
        <v>7.3999999999999996E-2</v>
      </c>
      <c r="D52" s="3201">
        <v>9.6000000000000002E-2</v>
      </c>
      <c r="E52" s="3201">
        <v>0.05</v>
      </c>
      <c r="F52" s="3212"/>
      <c r="G52" s="3202">
        <v>9.8000000000000004E-2</v>
      </c>
    </row>
    <row r="53" spans="1:7">
      <c r="A53" s="3211" t="s">
        <v>1145</v>
      </c>
      <c r="B53" s="3200" t="s">
        <v>2821</v>
      </c>
      <c r="C53" s="3201">
        <v>8.5999999999999993E-2</v>
      </c>
      <c r="D53" s="3212"/>
      <c r="E53" s="3201">
        <v>9.1999999999999998E-2</v>
      </c>
      <c r="F53" s="3212"/>
      <c r="G53" s="3213"/>
    </row>
    <row r="54" spans="1:7" ht="14.25" thickBot="1">
      <c r="A54" s="3214" t="s">
        <v>1145</v>
      </c>
      <c r="B54" s="3204" t="s">
        <v>2822</v>
      </c>
      <c r="C54" s="3205">
        <v>9.6000000000000002E-2</v>
      </c>
      <c r="D54" s="3206"/>
      <c r="E54" s="3215"/>
      <c r="F54" s="3206"/>
      <c r="G54" s="3216"/>
    </row>
    <row r="55" spans="1:7">
      <c r="A55" s="3210" t="s">
        <v>853</v>
      </c>
      <c r="B55" s="3196" t="s">
        <v>3033</v>
      </c>
      <c r="C55" s="3197">
        <v>9.6000000000000002E-2</v>
      </c>
      <c r="D55" s="3197">
        <v>8.4000000000000005E-2</v>
      </c>
      <c r="E55" s="3197">
        <v>9.1999999999999998E-2</v>
      </c>
      <c r="F55" s="3197">
        <v>0.1</v>
      </c>
      <c r="G55" s="3198">
        <v>9.5000000000000001E-2</v>
      </c>
    </row>
    <row r="56" spans="1:7">
      <c r="A56" s="3211" t="s">
        <v>853</v>
      </c>
      <c r="B56" s="3200" t="s">
        <v>975</v>
      </c>
      <c r="C56" s="3201">
        <v>8.4000000000000005E-2</v>
      </c>
      <c r="D56" s="3201">
        <v>9.1999999999999998E-2</v>
      </c>
      <c r="E56" s="3201">
        <v>9.5000000000000001E-2</v>
      </c>
      <c r="F56" s="3201">
        <v>9.1999999999999998E-2</v>
      </c>
      <c r="G56" s="3202">
        <v>9.6000000000000002E-2</v>
      </c>
    </row>
    <row r="57" spans="1:7">
      <c r="A57" s="3211" t="s">
        <v>853</v>
      </c>
      <c r="B57" s="3200" t="s">
        <v>985</v>
      </c>
      <c r="C57" s="3201">
        <v>9.9000000000000005E-2</v>
      </c>
      <c r="D57" s="3201">
        <v>9.6000000000000002E-2</v>
      </c>
      <c r="E57" s="3201">
        <v>9.1999999999999998E-2</v>
      </c>
      <c r="F57" s="3201">
        <v>0.1</v>
      </c>
      <c r="G57" s="3202">
        <v>9.8000000000000004E-2</v>
      </c>
    </row>
    <row r="58" spans="1:7">
      <c r="A58" s="3211" t="s">
        <v>853</v>
      </c>
      <c r="B58" s="3200" t="s">
        <v>994</v>
      </c>
      <c r="C58" s="3201">
        <v>9.8000000000000004E-2</v>
      </c>
      <c r="D58" s="3201">
        <v>9.5000000000000001E-2</v>
      </c>
      <c r="E58" s="3201">
        <v>5.7000000000000002E-2</v>
      </c>
      <c r="F58" s="3201">
        <v>0.1</v>
      </c>
      <c r="G58" s="3202">
        <v>9.6000000000000002E-2</v>
      </c>
    </row>
    <row r="59" spans="1:7">
      <c r="A59" s="3211" t="s">
        <v>853</v>
      </c>
      <c r="B59" s="3200" t="s">
        <v>1004</v>
      </c>
      <c r="C59" s="3201">
        <v>9.5000000000000001E-2</v>
      </c>
      <c r="D59" s="3201">
        <v>0.1</v>
      </c>
      <c r="E59" s="3201">
        <v>7.4999999999999997E-2</v>
      </c>
      <c r="F59" s="3201">
        <v>0.1</v>
      </c>
      <c r="G59" s="3202">
        <v>0.1</v>
      </c>
    </row>
    <row r="60" spans="1:7">
      <c r="A60" s="3211" t="s">
        <v>853</v>
      </c>
      <c r="B60" s="3200" t="s">
        <v>1011</v>
      </c>
      <c r="C60" s="3201">
        <v>0.1</v>
      </c>
      <c r="D60" s="3201">
        <v>9.7000000000000003E-2</v>
      </c>
      <c r="E60" s="3201">
        <v>0.1</v>
      </c>
      <c r="F60" s="3201">
        <v>0.1</v>
      </c>
      <c r="G60" s="3202">
        <v>9.7000000000000003E-2</v>
      </c>
    </row>
    <row r="61" spans="1:7">
      <c r="A61" s="3211" t="s">
        <v>853</v>
      </c>
      <c r="B61" s="3200" t="s">
        <v>1017</v>
      </c>
      <c r="C61" s="3201">
        <v>9.7000000000000003E-2</v>
      </c>
      <c r="D61" s="3201">
        <v>0.1</v>
      </c>
      <c r="E61" s="3201">
        <v>9.2999999999999999E-2</v>
      </c>
      <c r="F61" s="3201">
        <v>0.1</v>
      </c>
      <c r="G61" s="3202">
        <v>0.1</v>
      </c>
    </row>
    <row r="62" spans="1:7">
      <c r="A62" s="3211" t="s">
        <v>853</v>
      </c>
      <c r="B62" s="3200" t="s">
        <v>1024</v>
      </c>
      <c r="C62" s="3201">
        <v>0.1</v>
      </c>
      <c r="D62" s="3201">
        <v>9.7000000000000003E-2</v>
      </c>
      <c r="E62" s="3201">
        <v>8.8999999999999996E-2</v>
      </c>
      <c r="F62" s="3201">
        <v>0.1</v>
      </c>
      <c r="G62" s="3202">
        <v>9.8000000000000004E-2</v>
      </c>
    </row>
    <row r="63" spans="1:7">
      <c r="A63" s="3211" t="s">
        <v>853</v>
      </c>
      <c r="B63" s="3200" t="s">
        <v>1034</v>
      </c>
      <c r="C63" s="3201">
        <v>9.7000000000000003E-2</v>
      </c>
      <c r="D63" s="3201">
        <v>9.7000000000000003E-2</v>
      </c>
      <c r="E63" s="3201">
        <v>9.9000000000000005E-2</v>
      </c>
      <c r="F63" s="3201">
        <v>0.1</v>
      </c>
      <c r="G63" s="3202">
        <v>9.7000000000000003E-2</v>
      </c>
    </row>
    <row r="64" spans="1:7">
      <c r="A64" s="3211" t="s">
        <v>853</v>
      </c>
      <c r="B64" s="3200" t="s">
        <v>1043</v>
      </c>
      <c r="C64" s="3201">
        <v>9.7000000000000003E-2</v>
      </c>
      <c r="D64" s="3201">
        <v>7.3999999999999996E-2</v>
      </c>
      <c r="E64" s="3201">
        <v>7.8E-2</v>
      </c>
      <c r="F64" s="3201">
        <v>0.1</v>
      </c>
      <c r="G64" s="3202">
        <v>8.8999999999999996E-2</v>
      </c>
    </row>
    <row r="65" spans="1:7">
      <c r="A65" s="3211" t="s">
        <v>853</v>
      </c>
      <c r="B65" s="3200" t="s">
        <v>1050</v>
      </c>
      <c r="C65" s="3201">
        <v>7.2999999999999995E-2</v>
      </c>
      <c r="D65" s="3201">
        <v>9.8000000000000004E-2</v>
      </c>
      <c r="E65" s="3201">
        <v>9.5000000000000001E-2</v>
      </c>
      <c r="F65" s="3201">
        <v>0.1</v>
      </c>
      <c r="G65" s="3202">
        <v>9.9000000000000005E-2</v>
      </c>
    </row>
    <row r="66" spans="1:7">
      <c r="A66" s="3211" t="s">
        <v>853</v>
      </c>
      <c r="B66" s="3200" t="s">
        <v>1057</v>
      </c>
      <c r="C66" s="3201">
        <v>9.8000000000000004E-2</v>
      </c>
      <c r="D66" s="3201">
        <v>9.5000000000000001E-2</v>
      </c>
      <c r="E66" s="3201">
        <v>0.05</v>
      </c>
      <c r="F66" s="3201">
        <v>0.1</v>
      </c>
      <c r="G66" s="3202">
        <v>9.7000000000000003E-2</v>
      </c>
    </row>
    <row r="67" spans="1:7">
      <c r="A67" s="3211" t="s">
        <v>853</v>
      </c>
      <c r="B67" s="3200" t="s">
        <v>1064</v>
      </c>
      <c r="C67" s="3201">
        <v>9.5000000000000001E-2</v>
      </c>
      <c r="D67" s="3201">
        <v>9.7000000000000003E-2</v>
      </c>
      <c r="E67" s="3201">
        <v>9.7000000000000003E-2</v>
      </c>
      <c r="F67" s="3201">
        <v>0.1</v>
      </c>
      <c r="G67" s="3202">
        <v>9.9000000000000005E-2</v>
      </c>
    </row>
    <row r="68" spans="1:7">
      <c r="A68" s="3211" t="s">
        <v>853</v>
      </c>
      <c r="B68" s="3200" t="s">
        <v>1072</v>
      </c>
      <c r="C68" s="3201">
        <v>9.7000000000000003E-2</v>
      </c>
      <c r="D68" s="3201">
        <v>6.8000000000000005E-2</v>
      </c>
      <c r="E68" s="3201">
        <v>6.6000000000000003E-2</v>
      </c>
      <c r="F68" s="3201">
        <v>0.1</v>
      </c>
      <c r="G68" s="3202">
        <v>8.4000000000000005E-2</v>
      </c>
    </row>
    <row r="69" spans="1:7">
      <c r="A69" s="3211" t="s">
        <v>853</v>
      </c>
      <c r="B69" s="3200" t="s">
        <v>1080</v>
      </c>
      <c r="C69" s="3201">
        <v>6.8000000000000005E-2</v>
      </c>
      <c r="D69" s="3201">
        <v>9.8000000000000004E-2</v>
      </c>
      <c r="E69" s="3201">
        <v>9.5000000000000001E-2</v>
      </c>
      <c r="F69" s="3201">
        <v>0.1</v>
      </c>
      <c r="G69" s="3202">
        <v>0.1</v>
      </c>
    </row>
    <row r="70" spans="1:7">
      <c r="A70" s="3211" t="s">
        <v>853</v>
      </c>
      <c r="B70" s="3200" t="s">
        <v>1085</v>
      </c>
      <c r="C70" s="3201">
        <v>9.8000000000000004E-2</v>
      </c>
      <c r="D70" s="3201">
        <v>8.8999999999999996E-2</v>
      </c>
      <c r="E70" s="3201">
        <v>5.8999999999999997E-2</v>
      </c>
      <c r="F70" s="3201">
        <v>0.1</v>
      </c>
      <c r="G70" s="3202">
        <v>9.6000000000000002E-2</v>
      </c>
    </row>
    <row r="71" spans="1:7">
      <c r="A71" s="3211" t="s">
        <v>853</v>
      </c>
      <c r="B71" s="3200" t="s">
        <v>1094</v>
      </c>
      <c r="C71" s="3201">
        <v>8.8999999999999996E-2</v>
      </c>
      <c r="D71" s="3201">
        <v>9.9000000000000005E-2</v>
      </c>
      <c r="E71" s="3201">
        <v>9.6000000000000002E-2</v>
      </c>
      <c r="F71" s="3201">
        <v>0.1</v>
      </c>
      <c r="G71" s="3202">
        <v>0.1</v>
      </c>
    </row>
    <row r="72" spans="1:7">
      <c r="A72" s="3211" t="s">
        <v>853</v>
      </c>
      <c r="B72" s="3200" t="s">
        <v>1101</v>
      </c>
      <c r="C72" s="3201">
        <v>9.9000000000000005E-2</v>
      </c>
      <c r="D72" s="3201">
        <v>0.1</v>
      </c>
      <c r="E72" s="3201">
        <v>7.0000000000000007E-2</v>
      </c>
      <c r="F72" s="3212"/>
      <c r="G72" s="3202">
        <v>0.1</v>
      </c>
    </row>
    <row r="73" spans="1:7">
      <c r="A73" s="3211" t="s">
        <v>853</v>
      </c>
      <c r="B73" s="3200" t="s">
        <v>1109</v>
      </c>
      <c r="C73" s="3201">
        <v>0.1</v>
      </c>
      <c r="D73" s="3201">
        <v>0.1</v>
      </c>
      <c r="E73" s="3201">
        <v>9.6000000000000002E-2</v>
      </c>
      <c r="F73" s="3212"/>
      <c r="G73" s="3202">
        <v>0.1</v>
      </c>
    </row>
    <row r="74" spans="1:7">
      <c r="A74" s="3211" t="s">
        <v>853</v>
      </c>
      <c r="B74" s="3200" t="s">
        <v>1116</v>
      </c>
      <c r="C74" s="3201">
        <v>0.1</v>
      </c>
      <c r="D74" s="3201">
        <v>0.1</v>
      </c>
      <c r="E74" s="3201">
        <v>9.8000000000000004E-2</v>
      </c>
      <c r="F74" s="3212"/>
      <c r="G74" s="3202">
        <v>0.1</v>
      </c>
    </row>
    <row r="75" spans="1:7">
      <c r="A75" s="3211" t="s">
        <v>853</v>
      </c>
      <c r="B75" s="3200" t="s">
        <v>1120</v>
      </c>
      <c r="C75" s="3201">
        <v>0.1</v>
      </c>
      <c r="D75" s="3201">
        <v>9.9000000000000005E-2</v>
      </c>
      <c r="E75" s="3201">
        <v>9.8000000000000004E-2</v>
      </c>
      <c r="F75" s="3212"/>
      <c r="G75" s="3202">
        <v>0.1</v>
      </c>
    </row>
    <row r="76" spans="1:7">
      <c r="A76" s="3211" t="s">
        <v>853</v>
      </c>
      <c r="B76" s="3200" t="s">
        <v>1127</v>
      </c>
      <c r="C76" s="3201">
        <v>9.9000000000000005E-2</v>
      </c>
      <c r="D76" s="3201">
        <v>0.1</v>
      </c>
      <c r="E76" s="3201">
        <v>9.7000000000000003E-2</v>
      </c>
      <c r="F76" s="3212"/>
      <c r="G76" s="3202">
        <v>0.1</v>
      </c>
    </row>
    <row r="77" spans="1:7">
      <c r="A77" s="3211" t="s">
        <v>853</v>
      </c>
      <c r="B77" s="3200" t="s">
        <v>1130</v>
      </c>
      <c r="C77" s="3201">
        <v>0.1</v>
      </c>
      <c r="D77" s="3201">
        <v>0.1</v>
      </c>
      <c r="E77" s="3201">
        <v>9.6000000000000002E-2</v>
      </c>
      <c r="F77" s="3212"/>
      <c r="G77" s="3202">
        <v>0.1</v>
      </c>
    </row>
    <row r="78" spans="1:7">
      <c r="A78" s="3211" t="s">
        <v>853</v>
      </c>
      <c r="B78" s="3200" t="s">
        <v>2824</v>
      </c>
      <c r="C78" s="3201">
        <v>0.1</v>
      </c>
      <c r="D78" s="3201">
        <v>8.5000000000000006E-2</v>
      </c>
      <c r="E78" s="3201">
        <v>9.6000000000000002E-2</v>
      </c>
      <c r="F78" s="3212"/>
      <c r="G78" s="3202">
        <v>9.6000000000000002E-2</v>
      </c>
    </row>
    <row r="79" spans="1:7">
      <c r="A79" s="3211" t="s">
        <v>853</v>
      </c>
      <c r="B79" s="3200" t="s">
        <v>2825</v>
      </c>
      <c r="C79" s="3201">
        <v>0.05</v>
      </c>
      <c r="D79" s="3201">
        <v>9.6000000000000002E-2</v>
      </c>
      <c r="E79" s="3201">
        <v>9.5000000000000001E-2</v>
      </c>
      <c r="F79" s="3212"/>
      <c r="G79" s="3202">
        <v>9.8000000000000004E-2</v>
      </c>
    </row>
    <row r="80" spans="1:7">
      <c r="A80" s="3211" t="s">
        <v>853</v>
      </c>
      <c r="B80" s="3200" t="s">
        <v>2826</v>
      </c>
      <c r="C80" s="3201">
        <v>8.5999999999999993E-2</v>
      </c>
      <c r="D80" s="3217"/>
      <c r="E80" s="3201">
        <v>0.1</v>
      </c>
      <c r="F80" s="3212"/>
      <c r="G80" s="3213"/>
    </row>
    <row r="81" spans="1:7">
      <c r="A81" s="3211" t="s">
        <v>853</v>
      </c>
      <c r="B81" s="3200" t="s">
        <v>2827</v>
      </c>
      <c r="C81" s="3201">
        <v>9.6000000000000002E-2</v>
      </c>
      <c r="D81" s="3212"/>
      <c r="E81" s="3201">
        <v>9.8000000000000004E-2</v>
      </c>
      <c r="F81" s="3212"/>
      <c r="G81" s="3213"/>
    </row>
    <row r="82" spans="1:7">
      <c r="A82" s="3211" t="s">
        <v>853</v>
      </c>
      <c r="B82" s="3200" t="s">
        <v>2828</v>
      </c>
      <c r="C82" s="3217"/>
      <c r="D82" s="3212"/>
      <c r="E82" s="3201">
        <v>7.6999999999999999E-2</v>
      </c>
      <c r="F82" s="3212"/>
      <c r="G82" s="3213"/>
    </row>
    <row r="83" spans="1:7">
      <c r="A83" s="3211" t="s">
        <v>853</v>
      </c>
      <c r="B83" s="3200" t="s">
        <v>3034</v>
      </c>
      <c r="C83" s="3212"/>
      <c r="D83" s="3212"/>
      <c r="E83" s="3212"/>
      <c r="F83" s="3201">
        <v>0.1</v>
      </c>
      <c r="G83" s="3218"/>
    </row>
    <row r="84" spans="1:7">
      <c r="A84" s="3211" t="s">
        <v>853</v>
      </c>
      <c r="B84" s="3200" t="s">
        <v>3035</v>
      </c>
      <c r="C84" s="3212"/>
      <c r="D84" s="3212"/>
      <c r="E84" s="3212"/>
      <c r="F84" s="3201">
        <v>0.1</v>
      </c>
      <c r="G84" s="3218"/>
    </row>
    <row r="85" spans="1:7">
      <c r="A85" s="3211" t="s">
        <v>853</v>
      </c>
      <c r="B85" s="3200" t="s">
        <v>3036</v>
      </c>
      <c r="C85" s="3212"/>
      <c r="D85" s="3212"/>
      <c r="E85" s="3212"/>
      <c r="F85" s="3201">
        <v>0.1</v>
      </c>
      <c r="G85" s="3218"/>
    </row>
    <row r="86" spans="1:7" ht="14.25" thickBot="1">
      <c r="A86" s="3214" t="s">
        <v>853</v>
      </c>
      <c r="B86" s="3204" t="s">
        <v>3037</v>
      </c>
      <c r="C86" s="3205">
        <v>9.8000000000000004E-2</v>
      </c>
      <c r="D86" s="3205">
        <v>9.8000000000000004E-2</v>
      </c>
      <c r="E86" s="3205">
        <v>9.6000000000000002E-2</v>
      </c>
      <c r="F86" s="3215"/>
      <c r="G86" s="3207">
        <v>0.1</v>
      </c>
    </row>
    <row r="87" spans="1:7">
      <c r="A87" s="3210" t="s">
        <v>1152</v>
      </c>
      <c r="B87" s="3196" t="s">
        <v>3038</v>
      </c>
      <c r="C87" s="3197">
        <v>0.1</v>
      </c>
      <c r="D87" s="3197">
        <v>0.1</v>
      </c>
      <c r="E87" s="3197">
        <v>9.8000000000000004E-2</v>
      </c>
      <c r="F87" s="3197">
        <v>0.1</v>
      </c>
      <c r="G87" s="3198">
        <v>0.1</v>
      </c>
    </row>
    <row r="88" spans="1:7">
      <c r="A88" s="3211" t="s">
        <v>1152</v>
      </c>
      <c r="B88" s="3200" t="s">
        <v>976</v>
      </c>
      <c r="C88" s="3201">
        <v>9.0999999999999998E-2</v>
      </c>
      <c r="D88" s="3201">
        <v>9.1999999999999998E-2</v>
      </c>
      <c r="E88" s="3201">
        <v>0.1</v>
      </c>
      <c r="F88" s="3201">
        <v>0.1</v>
      </c>
      <c r="G88" s="3202">
        <v>9.6000000000000002E-2</v>
      </c>
    </row>
    <row r="89" spans="1:7">
      <c r="A89" s="3211" t="s">
        <v>1152</v>
      </c>
      <c r="B89" s="3200" t="s">
        <v>986</v>
      </c>
      <c r="C89" s="3201">
        <v>0.1</v>
      </c>
      <c r="D89" s="3201">
        <v>0.1</v>
      </c>
      <c r="E89" s="3201">
        <v>6.7000000000000004E-2</v>
      </c>
      <c r="F89" s="3201">
        <v>9.2999999999999999E-2</v>
      </c>
      <c r="G89" s="3202">
        <v>0.1</v>
      </c>
    </row>
    <row r="90" spans="1:7">
      <c r="A90" s="3211" t="s">
        <v>1152</v>
      </c>
      <c r="B90" s="3200" t="s">
        <v>995</v>
      </c>
      <c r="C90" s="3201">
        <v>9.6000000000000002E-2</v>
      </c>
      <c r="D90" s="3201">
        <v>9.6000000000000002E-2</v>
      </c>
      <c r="E90" s="3201">
        <v>0.1</v>
      </c>
      <c r="F90" s="3201">
        <v>0.1</v>
      </c>
      <c r="G90" s="3202">
        <v>9.8000000000000004E-2</v>
      </c>
    </row>
    <row r="91" spans="1:7">
      <c r="A91" s="3211" t="s">
        <v>1152</v>
      </c>
      <c r="B91" s="3200" t="s">
        <v>1005</v>
      </c>
      <c r="C91" s="3201">
        <v>7.6999999999999999E-2</v>
      </c>
      <c r="D91" s="3201">
        <v>7.6999999999999999E-2</v>
      </c>
      <c r="E91" s="3201">
        <v>9.6000000000000002E-2</v>
      </c>
      <c r="F91" s="3201">
        <v>0.1</v>
      </c>
      <c r="G91" s="3202">
        <v>7.6999999999999999E-2</v>
      </c>
    </row>
    <row r="92" spans="1:7">
      <c r="A92" s="3211" t="s">
        <v>1152</v>
      </c>
      <c r="B92" s="3200" t="s">
        <v>1012</v>
      </c>
      <c r="C92" s="3201">
        <v>0.1</v>
      </c>
      <c r="D92" s="3201">
        <v>0.1</v>
      </c>
      <c r="E92" s="3201">
        <v>9.1999999999999998E-2</v>
      </c>
      <c r="F92" s="3201">
        <v>0.1</v>
      </c>
      <c r="G92" s="3202">
        <v>0.1</v>
      </c>
    </row>
    <row r="93" spans="1:7">
      <c r="A93" s="3211" t="s">
        <v>1152</v>
      </c>
      <c r="B93" s="3200" t="s">
        <v>1018</v>
      </c>
      <c r="C93" s="3201">
        <v>9.8000000000000004E-2</v>
      </c>
      <c r="D93" s="3201">
        <v>9.8000000000000004E-2</v>
      </c>
      <c r="E93" s="3201">
        <v>9.6000000000000002E-2</v>
      </c>
      <c r="F93" s="3201">
        <v>0.1</v>
      </c>
      <c r="G93" s="3202">
        <v>9.9000000000000005E-2</v>
      </c>
    </row>
    <row r="94" spans="1:7">
      <c r="A94" s="3211" t="s">
        <v>1152</v>
      </c>
      <c r="B94" s="3200" t="s">
        <v>1025</v>
      </c>
      <c r="C94" s="3201">
        <v>8.7999999999999995E-2</v>
      </c>
      <c r="D94" s="3201">
        <v>8.7999999999999995E-2</v>
      </c>
      <c r="E94" s="3201">
        <v>9.6000000000000002E-2</v>
      </c>
      <c r="F94" s="3201">
        <v>0.1</v>
      </c>
      <c r="G94" s="3202">
        <v>8.7999999999999995E-2</v>
      </c>
    </row>
    <row r="95" spans="1:7">
      <c r="A95" s="3211" t="s">
        <v>1152</v>
      </c>
      <c r="B95" s="3200" t="s">
        <v>1035</v>
      </c>
      <c r="C95" s="3201">
        <v>9.6000000000000002E-2</v>
      </c>
      <c r="D95" s="3201">
        <v>9.6000000000000002E-2</v>
      </c>
      <c r="E95" s="3201">
        <v>0.1</v>
      </c>
      <c r="F95" s="3201">
        <v>0.1</v>
      </c>
      <c r="G95" s="3202">
        <v>9.8000000000000004E-2</v>
      </c>
    </row>
    <row r="96" spans="1:7">
      <c r="A96" s="3211" t="s">
        <v>1152</v>
      </c>
      <c r="B96" s="3200" t="s">
        <v>1044</v>
      </c>
      <c r="C96" s="3201">
        <v>9.7000000000000003E-2</v>
      </c>
      <c r="D96" s="3201">
        <v>9.7000000000000003E-2</v>
      </c>
      <c r="E96" s="3201">
        <v>0.1</v>
      </c>
      <c r="F96" s="3201">
        <v>0.1</v>
      </c>
      <c r="G96" s="3202">
        <v>9.8000000000000004E-2</v>
      </c>
    </row>
    <row r="97" spans="1:7">
      <c r="A97" s="3211" t="s">
        <v>1152</v>
      </c>
      <c r="B97" s="3200" t="s">
        <v>1051</v>
      </c>
      <c r="C97" s="3201">
        <v>9.6000000000000002E-2</v>
      </c>
      <c r="D97" s="3201">
        <v>9.6000000000000002E-2</v>
      </c>
      <c r="E97" s="3201">
        <v>9.9000000000000005E-2</v>
      </c>
      <c r="F97" s="3201">
        <v>0.1</v>
      </c>
      <c r="G97" s="3202">
        <v>9.8000000000000004E-2</v>
      </c>
    </row>
    <row r="98" spans="1:7">
      <c r="A98" s="3211" t="s">
        <v>1152</v>
      </c>
      <c r="B98" s="3200" t="s">
        <v>1058</v>
      </c>
      <c r="C98" s="3201">
        <v>9.8000000000000004E-2</v>
      </c>
      <c r="D98" s="3201">
        <v>9.8000000000000004E-2</v>
      </c>
      <c r="E98" s="3201">
        <v>0.1</v>
      </c>
      <c r="F98" s="3201">
        <v>0.1</v>
      </c>
      <c r="G98" s="3202">
        <v>9.9000000000000005E-2</v>
      </c>
    </row>
    <row r="99" spans="1:7">
      <c r="A99" s="3211" t="s">
        <v>1152</v>
      </c>
      <c r="B99" s="3200" t="s">
        <v>1065</v>
      </c>
      <c r="C99" s="3201">
        <v>9.6000000000000002E-2</v>
      </c>
      <c r="D99" s="3201">
        <v>9.6000000000000002E-2</v>
      </c>
      <c r="E99" s="3201">
        <v>0.1</v>
      </c>
      <c r="F99" s="3201">
        <v>0.1</v>
      </c>
      <c r="G99" s="3202">
        <v>9.7000000000000003E-2</v>
      </c>
    </row>
    <row r="100" spans="1:7">
      <c r="A100" s="3211" t="s">
        <v>1152</v>
      </c>
      <c r="B100" s="3200" t="s">
        <v>1073</v>
      </c>
      <c r="C100" s="3201">
        <v>0.1</v>
      </c>
      <c r="D100" s="3201">
        <v>0.1</v>
      </c>
      <c r="E100" s="3201">
        <v>9.7000000000000003E-2</v>
      </c>
      <c r="F100" s="3201">
        <v>9.8000000000000004E-2</v>
      </c>
      <c r="G100" s="3202">
        <v>0.1</v>
      </c>
    </row>
    <row r="101" spans="1:7">
      <c r="A101" s="3211" t="s">
        <v>1152</v>
      </c>
      <c r="B101" s="3200" t="s">
        <v>1081</v>
      </c>
      <c r="C101" s="3201">
        <v>0.1</v>
      </c>
      <c r="D101" s="3201">
        <v>0.1</v>
      </c>
      <c r="E101" s="3201">
        <v>9.5000000000000001E-2</v>
      </c>
      <c r="F101" s="3201">
        <v>0.1</v>
      </c>
      <c r="G101" s="3202">
        <v>0.1</v>
      </c>
    </row>
    <row r="102" spans="1:7">
      <c r="A102" s="3211" t="s">
        <v>1152</v>
      </c>
      <c r="B102" s="3200" t="s">
        <v>1086</v>
      </c>
      <c r="C102" s="3201">
        <v>0.1</v>
      </c>
      <c r="D102" s="3201">
        <v>0.1</v>
      </c>
      <c r="E102" s="3201">
        <v>9.9000000000000005E-2</v>
      </c>
      <c r="F102" s="3201">
        <v>9.7000000000000003E-2</v>
      </c>
      <c r="G102" s="3202">
        <v>0.1</v>
      </c>
    </row>
    <row r="103" spans="1:7">
      <c r="A103" s="3211" t="s">
        <v>1152</v>
      </c>
      <c r="B103" s="3200" t="s">
        <v>1095</v>
      </c>
      <c r="C103" s="3201">
        <v>0.1</v>
      </c>
      <c r="D103" s="3201">
        <v>0.1</v>
      </c>
      <c r="E103" s="3201">
        <v>9.8000000000000004E-2</v>
      </c>
      <c r="F103" s="3201">
        <v>0.1</v>
      </c>
      <c r="G103" s="3202">
        <v>0.1</v>
      </c>
    </row>
    <row r="104" spans="1:7">
      <c r="A104" s="3211" t="s">
        <v>1152</v>
      </c>
      <c r="B104" s="3200" t="s">
        <v>1102</v>
      </c>
      <c r="C104" s="3201">
        <v>0.1</v>
      </c>
      <c r="D104" s="3201">
        <v>0.1</v>
      </c>
      <c r="E104" s="3201">
        <v>9.8000000000000004E-2</v>
      </c>
      <c r="F104" s="3201">
        <v>0.1</v>
      </c>
      <c r="G104" s="3202">
        <v>0.1</v>
      </c>
    </row>
    <row r="105" spans="1:7">
      <c r="A105" s="3211" t="s">
        <v>1152</v>
      </c>
      <c r="B105" s="3200" t="s">
        <v>1110</v>
      </c>
      <c r="C105" s="3201">
        <v>9.8000000000000004E-2</v>
      </c>
      <c r="D105" s="3201">
        <v>9.8000000000000004E-2</v>
      </c>
      <c r="E105" s="3201">
        <v>9.8000000000000004E-2</v>
      </c>
      <c r="F105" s="3201">
        <v>0.1</v>
      </c>
      <c r="G105" s="3202">
        <v>9.9000000000000005E-2</v>
      </c>
    </row>
    <row r="106" spans="1:7">
      <c r="A106" s="3211" t="s">
        <v>1152</v>
      </c>
      <c r="B106" s="3200" t="s">
        <v>1117</v>
      </c>
      <c r="C106" s="3201">
        <v>9.7000000000000003E-2</v>
      </c>
      <c r="D106" s="3201">
        <v>9.7000000000000003E-2</v>
      </c>
      <c r="E106" s="3201">
        <v>9.7000000000000003E-2</v>
      </c>
      <c r="F106" s="3201">
        <v>0.1</v>
      </c>
      <c r="G106" s="3202">
        <v>9.9000000000000005E-2</v>
      </c>
    </row>
    <row r="107" spans="1:7">
      <c r="A107" s="3211" t="s">
        <v>1152</v>
      </c>
      <c r="B107" s="3200" t="s">
        <v>1121</v>
      </c>
      <c r="C107" s="3201">
        <v>0.1</v>
      </c>
      <c r="D107" s="3201">
        <v>0.1</v>
      </c>
      <c r="E107" s="3201">
        <v>8.5999999999999993E-2</v>
      </c>
      <c r="F107" s="3201">
        <v>0.09</v>
      </c>
      <c r="G107" s="3202">
        <v>0.1</v>
      </c>
    </row>
    <row r="108" spans="1:7">
      <c r="A108" s="3211" t="s">
        <v>1152</v>
      </c>
      <c r="B108" s="3200" t="s">
        <v>1128</v>
      </c>
      <c r="C108" s="3201">
        <v>0.1</v>
      </c>
      <c r="D108" s="3201">
        <v>0.1</v>
      </c>
      <c r="E108" s="3201">
        <v>9.6000000000000002E-2</v>
      </c>
      <c r="F108" s="3212"/>
      <c r="G108" s="3202">
        <v>0.1</v>
      </c>
    </row>
    <row r="109" spans="1:7">
      <c r="A109" s="3211" t="s">
        <v>1152</v>
      </c>
      <c r="B109" s="3200" t="s">
        <v>1131</v>
      </c>
      <c r="C109" s="3201">
        <v>0.1</v>
      </c>
      <c r="D109" s="3201">
        <v>0.1</v>
      </c>
      <c r="E109" s="3201">
        <v>0.1</v>
      </c>
      <c r="F109" s="3212"/>
      <c r="G109" s="3202">
        <v>0.1</v>
      </c>
    </row>
    <row r="110" spans="1:7">
      <c r="A110" s="3211" t="s">
        <v>1152</v>
      </c>
      <c r="B110" s="3200" t="s">
        <v>1133</v>
      </c>
      <c r="C110" s="3201">
        <v>0.1</v>
      </c>
      <c r="D110" s="3201">
        <v>0.1</v>
      </c>
      <c r="E110" s="3201">
        <v>0.1</v>
      </c>
      <c r="F110" s="3212"/>
      <c r="G110" s="3202">
        <v>0.1</v>
      </c>
    </row>
    <row r="111" spans="1:7">
      <c r="A111" s="3211" t="s">
        <v>1152</v>
      </c>
      <c r="B111" s="3200" t="s">
        <v>1136</v>
      </c>
      <c r="C111" s="3201">
        <v>0.1</v>
      </c>
      <c r="D111" s="3201">
        <v>0.1</v>
      </c>
      <c r="E111" s="3201">
        <v>9.5000000000000001E-2</v>
      </c>
      <c r="F111" s="3212"/>
      <c r="G111" s="3202">
        <v>0.1</v>
      </c>
    </row>
    <row r="112" spans="1:7">
      <c r="A112" s="3211" t="s">
        <v>1152</v>
      </c>
      <c r="B112" s="3200" t="s">
        <v>1140</v>
      </c>
      <c r="C112" s="3201">
        <v>9.7000000000000003E-2</v>
      </c>
      <c r="D112" s="3201">
        <v>9.7000000000000003E-2</v>
      </c>
      <c r="E112" s="3201">
        <v>0.05</v>
      </c>
      <c r="F112" s="3212"/>
      <c r="G112" s="3202">
        <v>9.8000000000000004E-2</v>
      </c>
    </row>
    <row r="113" spans="1:7">
      <c r="A113" s="3211" t="s">
        <v>1152</v>
      </c>
      <c r="B113" s="3200" t="s">
        <v>2834</v>
      </c>
      <c r="C113" s="3201">
        <v>0.1</v>
      </c>
      <c r="D113" s="3201">
        <v>0.1</v>
      </c>
      <c r="E113" s="3212"/>
      <c r="F113" s="3212"/>
      <c r="G113" s="3202">
        <v>0.1</v>
      </c>
    </row>
    <row r="114" spans="1:7">
      <c r="A114" s="3211" t="s">
        <v>1152</v>
      </c>
      <c r="B114" s="3200" t="s">
        <v>2835</v>
      </c>
      <c r="C114" s="3201">
        <v>9.7000000000000003E-2</v>
      </c>
      <c r="D114" s="3201">
        <v>9.7000000000000003E-2</v>
      </c>
      <c r="E114" s="3212"/>
      <c r="F114" s="3212"/>
      <c r="G114" s="3202">
        <v>9.9000000000000005E-2</v>
      </c>
    </row>
    <row r="115" spans="1:7">
      <c r="A115" s="3211" t="s">
        <v>1152</v>
      </c>
      <c r="B115" s="3200" t="s">
        <v>2836</v>
      </c>
      <c r="C115" s="3201">
        <v>0.1</v>
      </c>
      <c r="D115" s="3201">
        <v>0.1</v>
      </c>
      <c r="E115" s="3212"/>
      <c r="F115" s="3212"/>
      <c r="G115" s="3202">
        <v>0.1</v>
      </c>
    </row>
    <row r="116" spans="1:7">
      <c r="A116" s="3211" t="s">
        <v>1152</v>
      </c>
      <c r="B116" s="3200" t="s">
        <v>2837</v>
      </c>
      <c r="C116" s="3201">
        <v>0.1</v>
      </c>
      <c r="D116" s="3201">
        <v>0.1</v>
      </c>
      <c r="E116" s="3212"/>
      <c r="F116" s="3212"/>
      <c r="G116" s="3202">
        <v>0.1</v>
      </c>
    </row>
    <row r="117" spans="1:7">
      <c r="A117" s="3211" t="s">
        <v>1152</v>
      </c>
      <c r="B117" s="3200" t="s">
        <v>2838</v>
      </c>
      <c r="C117" s="3201">
        <v>9.7000000000000003E-2</v>
      </c>
      <c r="D117" s="3201">
        <v>9.7000000000000003E-2</v>
      </c>
      <c r="E117" s="3212"/>
      <c r="F117" s="3212"/>
      <c r="G117" s="3202">
        <v>9.7000000000000003E-2</v>
      </c>
    </row>
    <row r="118" spans="1:7">
      <c r="A118" s="3211" t="s">
        <v>1152</v>
      </c>
      <c r="B118" s="3200" t="s">
        <v>2839</v>
      </c>
      <c r="C118" s="3201">
        <v>0.1</v>
      </c>
      <c r="D118" s="3201">
        <v>0.1</v>
      </c>
      <c r="E118" s="3212"/>
      <c r="F118" s="3212"/>
      <c r="G118" s="3202">
        <v>0.1</v>
      </c>
    </row>
    <row r="119" spans="1:7">
      <c r="A119" s="3211" t="s">
        <v>1152</v>
      </c>
      <c r="B119" s="3200" t="s">
        <v>2840</v>
      </c>
      <c r="C119" s="3201">
        <v>5.0999999999999997E-2</v>
      </c>
      <c r="D119" s="3201">
        <v>5.1999999999999998E-2</v>
      </c>
      <c r="E119" s="3212"/>
      <c r="F119" s="3217"/>
      <c r="G119" s="3202">
        <v>0.06</v>
      </c>
    </row>
    <row r="120" spans="1:7">
      <c r="A120" s="3211" t="s">
        <v>1152</v>
      </c>
      <c r="B120" s="3200" t="s">
        <v>3039</v>
      </c>
      <c r="C120" s="3212"/>
      <c r="D120" s="3212"/>
      <c r="E120" s="3212"/>
      <c r="F120" s="3201">
        <v>0.1</v>
      </c>
      <c r="G120" s="3218"/>
    </row>
    <row r="121" spans="1:7">
      <c r="A121" s="3211" t="s">
        <v>1152</v>
      </c>
      <c r="B121" s="3200" t="s">
        <v>3040</v>
      </c>
      <c r="C121" s="3212"/>
      <c r="D121" s="3212"/>
      <c r="E121" s="3212"/>
      <c r="F121" s="3201">
        <v>0.1</v>
      </c>
      <c r="G121" s="3218"/>
    </row>
    <row r="122" spans="1:7">
      <c r="A122" s="3211" t="s">
        <v>1152</v>
      </c>
      <c r="B122" s="3200" t="s">
        <v>3041</v>
      </c>
      <c r="C122" s="3201">
        <v>0.1</v>
      </c>
      <c r="D122" s="3201">
        <v>0.1</v>
      </c>
      <c r="E122" s="3201">
        <v>9.8000000000000004E-2</v>
      </c>
      <c r="F122" s="3201">
        <v>0.1</v>
      </c>
      <c r="G122" s="3202">
        <v>0.1</v>
      </c>
    </row>
    <row r="123" spans="1:7">
      <c r="A123" s="3211" t="s">
        <v>1152</v>
      </c>
      <c r="B123" s="3200" t="s">
        <v>2844</v>
      </c>
      <c r="C123" s="3201">
        <v>0.1</v>
      </c>
      <c r="D123" s="3201">
        <v>0.1</v>
      </c>
      <c r="E123" s="3201">
        <v>9.8000000000000004E-2</v>
      </c>
      <c r="F123" s="3201">
        <v>0.1</v>
      </c>
      <c r="G123" s="3202">
        <v>0.1</v>
      </c>
    </row>
    <row r="124" spans="1:7">
      <c r="A124" s="3211" t="s">
        <v>1152</v>
      </c>
      <c r="B124" s="3200" t="s">
        <v>2845</v>
      </c>
      <c r="C124" s="3201">
        <v>0.1</v>
      </c>
      <c r="D124" s="3201">
        <v>0.1</v>
      </c>
      <c r="E124" s="3201">
        <v>9.8000000000000004E-2</v>
      </c>
      <c r="F124" s="3217"/>
      <c r="G124" s="3202">
        <v>0.1</v>
      </c>
    </row>
    <row r="125" spans="1:7">
      <c r="A125" s="3211" t="s">
        <v>1152</v>
      </c>
      <c r="B125" s="3200" t="s">
        <v>2846</v>
      </c>
      <c r="C125" s="3201">
        <v>9.8000000000000004E-2</v>
      </c>
      <c r="D125" s="3201">
        <v>9.8000000000000004E-2</v>
      </c>
      <c r="E125" s="3201">
        <v>9.6000000000000002E-2</v>
      </c>
      <c r="F125" s="3217"/>
      <c r="G125" s="3202">
        <v>0.1</v>
      </c>
    </row>
    <row r="126" spans="1:7" ht="14.25" thickBot="1">
      <c r="A126" s="3214" t="s">
        <v>1152</v>
      </c>
      <c r="B126" s="3204" t="s">
        <v>3042</v>
      </c>
      <c r="C126" s="3205">
        <v>0.1</v>
      </c>
      <c r="D126" s="3205">
        <v>0.1</v>
      </c>
      <c r="E126" s="3205">
        <v>9.8000000000000004E-2</v>
      </c>
      <c r="F126" s="3205">
        <v>0.1</v>
      </c>
      <c r="G126" s="3207">
        <v>0.1</v>
      </c>
    </row>
    <row r="127" spans="1:7">
      <c r="A127" s="3210" t="s">
        <v>1153</v>
      </c>
      <c r="B127" s="3196" t="s">
        <v>3043</v>
      </c>
      <c r="C127" s="3197">
        <v>0.121</v>
      </c>
      <c r="D127" s="3197">
        <v>0.121</v>
      </c>
      <c r="E127" s="3197">
        <v>0.107</v>
      </c>
      <c r="F127" s="3197">
        <v>0.13</v>
      </c>
      <c r="G127" s="3198">
        <v>0.122</v>
      </c>
    </row>
    <row r="128" spans="1:7">
      <c r="A128" s="3211" t="s">
        <v>1153</v>
      </c>
      <c r="B128" s="3200" t="s">
        <v>977</v>
      </c>
      <c r="C128" s="3201">
        <v>0.11600000000000001</v>
      </c>
      <c r="D128" s="3201">
        <v>0.11700000000000001</v>
      </c>
      <c r="E128" s="3201">
        <v>0.104</v>
      </c>
      <c r="F128" s="3201">
        <v>0.13</v>
      </c>
      <c r="G128" s="3202">
        <v>0.11700000000000001</v>
      </c>
    </row>
    <row r="129" spans="1:7">
      <c r="A129" s="3211" t="s">
        <v>1153</v>
      </c>
      <c r="B129" s="3200" t="s">
        <v>987</v>
      </c>
      <c r="C129" s="3201">
        <v>0.107</v>
      </c>
      <c r="D129" s="3201">
        <v>0.108</v>
      </c>
      <c r="E129" s="3201">
        <v>0.1</v>
      </c>
      <c r="F129" s="3201">
        <v>0.13</v>
      </c>
      <c r="G129" s="3202">
        <v>0.11700000000000001</v>
      </c>
    </row>
    <row r="130" spans="1:7">
      <c r="A130" s="3211" t="s">
        <v>1153</v>
      </c>
      <c r="B130" s="3200" t="s">
        <v>996</v>
      </c>
      <c r="C130" s="3201">
        <v>0.13</v>
      </c>
      <c r="D130" s="3201">
        <v>0.13</v>
      </c>
      <c r="E130" s="3201">
        <v>0.126</v>
      </c>
      <c r="F130" s="3201">
        <v>0.13</v>
      </c>
      <c r="G130" s="3202">
        <v>0.13</v>
      </c>
    </row>
    <row r="131" spans="1:7">
      <c r="A131" s="3211" t="s">
        <v>1153</v>
      </c>
      <c r="B131" s="3200" t="s">
        <v>1006</v>
      </c>
      <c r="C131" s="3201">
        <v>0.13</v>
      </c>
      <c r="D131" s="3201">
        <v>0.13</v>
      </c>
      <c r="E131" s="3201">
        <v>0.13</v>
      </c>
      <c r="F131" s="3201">
        <v>0.13</v>
      </c>
      <c r="G131" s="3202">
        <v>0.13</v>
      </c>
    </row>
    <row r="132" spans="1:7">
      <c r="A132" s="3211" t="s">
        <v>1153</v>
      </c>
      <c r="B132" s="3200" t="s">
        <v>1013</v>
      </c>
      <c r="C132" s="3201">
        <v>0.13</v>
      </c>
      <c r="D132" s="3201">
        <v>0.13</v>
      </c>
      <c r="E132" s="3201">
        <v>0.126</v>
      </c>
      <c r="F132" s="3201">
        <v>0.13</v>
      </c>
      <c r="G132" s="3202">
        <v>0.13</v>
      </c>
    </row>
    <row r="133" spans="1:7">
      <c r="A133" s="3211" t="s">
        <v>1153</v>
      </c>
      <c r="B133" s="3200" t="s">
        <v>1019</v>
      </c>
      <c r="C133" s="3201">
        <v>0.111</v>
      </c>
      <c r="D133" s="3201">
        <v>0.111</v>
      </c>
      <c r="E133" s="3201">
        <v>0.10199999999999999</v>
      </c>
      <c r="F133" s="3201">
        <v>0.13</v>
      </c>
      <c r="G133" s="3202">
        <v>0.121</v>
      </c>
    </row>
    <row r="134" spans="1:7">
      <c r="A134" s="3211" t="s">
        <v>1153</v>
      </c>
      <c r="B134" s="3200" t="s">
        <v>1026</v>
      </c>
      <c r="C134" s="3201">
        <v>0.121</v>
      </c>
      <c r="D134" s="3201">
        <v>0.121</v>
      </c>
      <c r="E134" s="3201">
        <v>0.1</v>
      </c>
      <c r="F134" s="3201">
        <v>0.13</v>
      </c>
      <c r="G134" s="3202">
        <v>0.123</v>
      </c>
    </row>
    <row r="135" spans="1:7">
      <c r="A135" s="3211" t="s">
        <v>1153</v>
      </c>
      <c r="B135" s="3200" t="s">
        <v>1036</v>
      </c>
      <c r="C135" s="3201">
        <v>0.105</v>
      </c>
      <c r="D135" s="3201">
        <v>0.106</v>
      </c>
      <c r="E135" s="3201">
        <v>0.1</v>
      </c>
      <c r="F135" s="3201">
        <v>0.13</v>
      </c>
      <c r="G135" s="3202">
        <v>0.115</v>
      </c>
    </row>
    <row r="136" spans="1:7">
      <c r="A136" s="3211" t="s">
        <v>1153</v>
      </c>
      <c r="B136" s="3200" t="s">
        <v>1045</v>
      </c>
      <c r="C136" s="3201">
        <v>0.127</v>
      </c>
      <c r="D136" s="3201">
        <v>0.127</v>
      </c>
      <c r="E136" s="3201">
        <v>0.121</v>
      </c>
      <c r="F136" s="3201">
        <v>0.123</v>
      </c>
      <c r="G136" s="3202">
        <v>0.129</v>
      </c>
    </row>
    <row r="137" spans="1:7">
      <c r="A137" s="3211" t="s">
        <v>1153</v>
      </c>
      <c r="B137" s="3200" t="s">
        <v>1052</v>
      </c>
      <c r="C137" s="3201">
        <v>0.13</v>
      </c>
      <c r="D137" s="3201">
        <v>0.13</v>
      </c>
      <c r="E137" s="3201">
        <v>0.129</v>
      </c>
      <c r="F137" s="3201">
        <v>0.13</v>
      </c>
      <c r="G137" s="3202">
        <v>0.13</v>
      </c>
    </row>
    <row r="138" spans="1:7">
      <c r="A138" s="3211" t="s">
        <v>1153</v>
      </c>
      <c r="B138" s="3200" t="s">
        <v>1059</v>
      </c>
      <c r="C138" s="3201">
        <v>0.13</v>
      </c>
      <c r="D138" s="3201">
        <v>0.13</v>
      </c>
      <c r="E138" s="3201">
        <v>0.125</v>
      </c>
      <c r="F138" s="3201">
        <v>0.13</v>
      </c>
      <c r="G138" s="3202">
        <v>0.13</v>
      </c>
    </row>
    <row r="139" spans="1:7">
      <c r="A139" s="3211" t="s">
        <v>1153</v>
      </c>
      <c r="B139" s="3200" t="s">
        <v>1066</v>
      </c>
      <c r="C139" s="3201">
        <v>0.13</v>
      </c>
      <c r="D139" s="3201">
        <v>0.13</v>
      </c>
      <c r="E139" s="3201">
        <v>0.126</v>
      </c>
      <c r="F139" s="3201">
        <v>0.13</v>
      </c>
      <c r="G139" s="3202">
        <v>0.13</v>
      </c>
    </row>
    <row r="140" spans="1:7">
      <c r="A140" s="3211" t="s">
        <v>1153</v>
      </c>
      <c r="B140" s="3200" t="s">
        <v>1074</v>
      </c>
      <c r="C140" s="3201">
        <v>0.1</v>
      </c>
      <c r="D140" s="3201">
        <v>0.1</v>
      </c>
      <c r="E140" s="3201">
        <v>0.1</v>
      </c>
      <c r="F140" s="3201">
        <v>0.123</v>
      </c>
      <c r="G140" s="3202">
        <v>0.107</v>
      </c>
    </row>
    <row r="141" spans="1:7">
      <c r="A141" s="3211" t="s">
        <v>1153</v>
      </c>
      <c r="B141" s="3200" t="s">
        <v>1082</v>
      </c>
      <c r="C141" s="3201">
        <v>0.127</v>
      </c>
      <c r="D141" s="3201">
        <v>0.127</v>
      </c>
      <c r="E141" s="3201">
        <v>0.122</v>
      </c>
      <c r="F141" s="3201">
        <v>0.1</v>
      </c>
      <c r="G141" s="3202">
        <v>0.129</v>
      </c>
    </row>
    <row r="142" spans="1:7">
      <c r="A142" s="3211" t="s">
        <v>1153</v>
      </c>
      <c r="B142" s="3200" t="s">
        <v>1087</v>
      </c>
      <c r="C142" s="3201">
        <v>0.121</v>
      </c>
      <c r="D142" s="3201">
        <v>0.122</v>
      </c>
      <c r="E142" s="3201">
        <v>0.1</v>
      </c>
      <c r="F142" s="3201">
        <v>0.123</v>
      </c>
      <c r="G142" s="3202">
        <v>0.123</v>
      </c>
    </row>
    <row r="143" spans="1:7">
      <c r="A143" s="3211" t="s">
        <v>1153</v>
      </c>
      <c r="B143" s="3200" t="s">
        <v>1096</v>
      </c>
      <c r="C143" s="3201">
        <v>0.1</v>
      </c>
      <c r="D143" s="3201">
        <v>0.1</v>
      </c>
      <c r="E143" s="3201">
        <v>0.1</v>
      </c>
      <c r="F143" s="3201">
        <v>0.13</v>
      </c>
      <c r="G143" s="3202">
        <v>0.1</v>
      </c>
    </row>
    <row r="144" spans="1:7">
      <c r="A144" s="3211" t="s">
        <v>1153</v>
      </c>
      <c r="B144" s="3200" t="s">
        <v>1103</v>
      </c>
      <c r="C144" s="3201">
        <v>0.106</v>
      </c>
      <c r="D144" s="3201">
        <v>0.105</v>
      </c>
      <c r="E144" s="3201">
        <v>0.1</v>
      </c>
      <c r="F144" s="3201">
        <v>0.13</v>
      </c>
      <c r="G144" s="3202">
        <v>0.11799999999999999</v>
      </c>
    </row>
    <row r="145" spans="1:7">
      <c r="A145" s="3211" t="s">
        <v>1153</v>
      </c>
      <c r="B145" s="3200" t="s">
        <v>1111</v>
      </c>
      <c r="C145" s="3201">
        <v>0.123</v>
      </c>
      <c r="D145" s="3201">
        <v>0.123</v>
      </c>
      <c r="E145" s="3201">
        <v>0.11700000000000001</v>
      </c>
      <c r="F145" s="3201">
        <v>0.13</v>
      </c>
      <c r="G145" s="3202">
        <v>0.126</v>
      </c>
    </row>
    <row r="146" spans="1:7">
      <c r="A146" s="3211" t="s">
        <v>1153</v>
      </c>
      <c r="B146" s="3200" t="s">
        <v>1118</v>
      </c>
      <c r="C146" s="3201">
        <v>0.127</v>
      </c>
      <c r="D146" s="3201">
        <v>0.127</v>
      </c>
      <c r="E146" s="3201">
        <v>0.12</v>
      </c>
      <c r="F146" s="3212"/>
      <c r="G146" s="3202">
        <v>0.129</v>
      </c>
    </row>
    <row r="147" spans="1:7">
      <c r="A147" s="3211" t="s">
        <v>1153</v>
      </c>
      <c r="B147" s="3200" t="s">
        <v>1122</v>
      </c>
      <c r="C147" s="3201">
        <v>0.13</v>
      </c>
      <c r="D147" s="3201">
        <v>0.13</v>
      </c>
      <c r="E147" s="3201">
        <v>0.126</v>
      </c>
      <c r="F147" s="3212"/>
      <c r="G147" s="3202">
        <v>0.13</v>
      </c>
    </row>
    <row r="148" spans="1:7">
      <c r="A148" s="3211" t="s">
        <v>1153</v>
      </c>
      <c r="B148" s="3200" t="s">
        <v>3044</v>
      </c>
      <c r="C148" s="3201">
        <v>0.13</v>
      </c>
      <c r="D148" s="3201">
        <v>0.13</v>
      </c>
      <c r="E148" s="3201">
        <v>0.13</v>
      </c>
      <c r="F148" s="3212"/>
      <c r="G148" s="3202">
        <v>0.13</v>
      </c>
    </row>
    <row r="149" spans="1:7">
      <c r="A149" s="3211" t="s">
        <v>1153</v>
      </c>
      <c r="B149" s="3200" t="s">
        <v>3045</v>
      </c>
      <c r="C149" s="3201">
        <v>0.13</v>
      </c>
      <c r="D149" s="3201">
        <v>0.13</v>
      </c>
      <c r="E149" s="3201">
        <v>0.13</v>
      </c>
      <c r="F149" s="3201">
        <v>0.13</v>
      </c>
      <c r="G149" s="3202">
        <v>0.13</v>
      </c>
    </row>
    <row r="150" spans="1:7">
      <c r="A150" s="3211" t="s">
        <v>1153</v>
      </c>
      <c r="B150" s="3200" t="s">
        <v>1141</v>
      </c>
      <c r="C150" s="3201">
        <v>0.13</v>
      </c>
      <c r="D150" s="3201">
        <v>0.13</v>
      </c>
      <c r="E150" s="3201">
        <v>0.127</v>
      </c>
      <c r="F150" s="3201">
        <v>0.13</v>
      </c>
      <c r="G150" s="3202">
        <v>0.13</v>
      </c>
    </row>
    <row r="151" spans="1:7">
      <c r="A151" s="3211" t="s">
        <v>1153</v>
      </c>
      <c r="B151" s="3200" t="s">
        <v>1143</v>
      </c>
      <c r="C151" s="3201">
        <v>0.13</v>
      </c>
      <c r="D151" s="3201">
        <v>0.13</v>
      </c>
      <c r="E151" s="3201">
        <v>0.13</v>
      </c>
      <c r="F151" s="3201">
        <v>0.13</v>
      </c>
      <c r="G151" s="3202">
        <v>0.13</v>
      </c>
    </row>
    <row r="152" spans="1:7">
      <c r="A152" s="3211" t="s">
        <v>1153</v>
      </c>
      <c r="B152" s="3200" t="s">
        <v>1146</v>
      </c>
      <c r="C152" s="3201">
        <v>0.13</v>
      </c>
      <c r="D152" s="3201">
        <v>0.13</v>
      </c>
      <c r="E152" s="3201">
        <v>0.13</v>
      </c>
      <c r="F152" s="3201">
        <v>0.13</v>
      </c>
      <c r="G152" s="3202">
        <v>0.13</v>
      </c>
    </row>
    <row r="153" spans="1:7">
      <c r="A153" s="3211" t="s">
        <v>1153</v>
      </c>
      <c r="B153" s="3200" t="s">
        <v>2851</v>
      </c>
      <c r="C153" s="3201">
        <v>0.13</v>
      </c>
      <c r="D153" s="3201">
        <v>0.13</v>
      </c>
      <c r="E153" s="3201">
        <v>0.13</v>
      </c>
      <c r="F153" s="3201">
        <v>0.13</v>
      </c>
      <c r="G153" s="3202">
        <v>0.13</v>
      </c>
    </row>
    <row r="154" spans="1:7">
      <c r="A154" s="3211" t="s">
        <v>1153</v>
      </c>
      <c r="B154" s="3200" t="s">
        <v>3046</v>
      </c>
      <c r="C154" s="3201">
        <v>0.121</v>
      </c>
      <c r="D154" s="3201">
        <v>0.121</v>
      </c>
      <c r="E154" s="3201">
        <v>0.105</v>
      </c>
      <c r="F154" s="3201">
        <v>0.121</v>
      </c>
      <c r="G154" s="3202">
        <v>0.123</v>
      </c>
    </row>
    <row r="155" spans="1:7">
      <c r="A155" s="3211" t="s">
        <v>1153</v>
      </c>
      <c r="B155" s="3200" t="s">
        <v>2853</v>
      </c>
      <c r="C155" s="3201">
        <v>0.1</v>
      </c>
      <c r="D155" s="3201">
        <v>0.1</v>
      </c>
      <c r="E155" s="3201">
        <v>0.1</v>
      </c>
      <c r="F155" s="3201">
        <v>0.1</v>
      </c>
      <c r="G155" s="3202">
        <v>0.1</v>
      </c>
    </row>
    <row r="156" spans="1:7">
      <c r="A156" s="3211" t="s">
        <v>1153</v>
      </c>
      <c r="B156" s="3200" t="s">
        <v>3047</v>
      </c>
      <c r="C156" s="3201">
        <v>0.13</v>
      </c>
      <c r="D156" s="3201">
        <v>0.13</v>
      </c>
      <c r="E156" s="3201">
        <v>0.13</v>
      </c>
      <c r="F156" s="3201">
        <v>0.13</v>
      </c>
      <c r="G156" s="3202">
        <v>0.13</v>
      </c>
    </row>
    <row r="157" spans="1:7">
      <c r="A157" s="3211" t="s">
        <v>1153</v>
      </c>
      <c r="B157" s="3200" t="s">
        <v>1149</v>
      </c>
      <c r="C157" s="3201">
        <v>0.13</v>
      </c>
      <c r="D157" s="3201">
        <v>0.13</v>
      </c>
      <c r="E157" s="3201">
        <v>0.125</v>
      </c>
      <c r="F157" s="3201">
        <v>0.13</v>
      </c>
      <c r="G157" s="3202">
        <v>0.13</v>
      </c>
    </row>
    <row r="158" spans="1:7">
      <c r="A158" s="3211" t="s">
        <v>1153</v>
      </c>
      <c r="B158" s="3200" t="s">
        <v>1150</v>
      </c>
      <c r="C158" s="3201">
        <v>0.124</v>
      </c>
      <c r="D158" s="3201">
        <v>0.124</v>
      </c>
      <c r="E158" s="3201">
        <v>0.11700000000000001</v>
      </c>
      <c r="F158" s="3201">
        <v>0.121</v>
      </c>
      <c r="G158" s="3202">
        <v>0.124</v>
      </c>
    </row>
    <row r="159" spans="1:7">
      <c r="A159" s="3211" t="s">
        <v>1153</v>
      </c>
      <c r="B159" s="3200" t="s">
        <v>1151</v>
      </c>
      <c r="C159" s="3201">
        <v>0.127</v>
      </c>
      <c r="D159" s="3201">
        <v>0.127</v>
      </c>
      <c r="E159" s="3201">
        <v>0.122</v>
      </c>
      <c r="F159" s="3201">
        <v>0.13</v>
      </c>
      <c r="G159" s="3202">
        <v>0.129</v>
      </c>
    </row>
    <row r="160" spans="1:7">
      <c r="A160" s="3211" t="s">
        <v>1153</v>
      </c>
      <c r="B160" s="3200" t="s">
        <v>3048</v>
      </c>
      <c r="C160" s="3201">
        <v>0.13</v>
      </c>
      <c r="D160" s="3201">
        <v>0.13</v>
      </c>
      <c r="E160" s="3201">
        <v>0.124</v>
      </c>
      <c r="F160" s="3201">
        <v>0.126</v>
      </c>
      <c r="G160" s="3202">
        <v>0.13</v>
      </c>
    </row>
    <row r="161" spans="1:7">
      <c r="A161" s="3211" t="s">
        <v>1153</v>
      </c>
      <c r="B161" s="3200" t="s">
        <v>2856</v>
      </c>
      <c r="C161" s="3201">
        <v>0.13</v>
      </c>
      <c r="D161" s="3201">
        <v>0.13</v>
      </c>
      <c r="E161" s="3201">
        <v>0.124</v>
      </c>
      <c r="F161" s="3201">
        <v>0.127</v>
      </c>
      <c r="G161" s="3202">
        <v>0.13</v>
      </c>
    </row>
    <row r="162" spans="1:7">
      <c r="A162" s="3211" t="s">
        <v>1153</v>
      </c>
      <c r="B162" s="3200" t="s">
        <v>2857</v>
      </c>
      <c r="C162" s="3201">
        <v>0.1</v>
      </c>
      <c r="D162" s="3201">
        <v>0.1</v>
      </c>
      <c r="E162" s="3201">
        <v>0.1</v>
      </c>
      <c r="F162" s="3201">
        <v>0.121</v>
      </c>
      <c r="G162" s="3202">
        <v>0.105</v>
      </c>
    </row>
    <row r="163" spans="1:7">
      <c r="A163" s="3211" t="s">
        <v>1153</v>
      </c>
      <c r="B163" s="3200" t="s">
        <v>2858</v>
      </c>
      <c r="C163" s="3201">
        <v>0.1</v>
      </c>
      <c r="D163" s="3201">
        <v>0.1</v>
      </c>
      <c r="E163" s="3201">
        <v>0.1</v>
      </c>
      <c r="F163" s="3201">
        <v>0.1</v>
      </c>
      <c r="G163" s="3202">
        <v>0.1</v>
      </c>
    </row>
    <row r="164" spans="1:7">
      <c r="A164" s="3211" t="s">
        <v>1153</v>
      </c>
      <c r="B164" s="3200" t="s">
        <v>2859</v>
      </c>
      <c r="C164" s="3217"/>
      <c r="D164" s="3217"/>
      <c r="E164" s="3217"/>
      <c r="F164" s="3201">
        <v>0.1</v>
      </c>
      <c r="G164" s="3213"/>
    </row>
    <row r="165" spans="1:7">
      <c r="A165" s="3211" t="s">
        <v>1153</v>
      </c>
      <c r="B165" s="3200" t="s">
        <v>3049</v>
      </c>
      <c r="C165" s="3201">
        <v>0.126</v>
      </c>
      <c r="D165" s="3201">
        <v>0.126</v>
      </c>
      <c r="E165" s="3201">
        <v>0.11899999999999999</v>
      </c>
      <c r="F165" s="3201">
        <v>0.13</v>
      </c>
      <c r="G165" s="3202">
        <v>0.128</v>
      </c>
    </row>
    <row r="166" spans="1:7">
      <c r="A166" s="3211" t="s">
        <v>1153</v>
      </c>
      <c r="B166" s="3200" t="s">
        <v>2861</v>
      </c>
      <c r="C166" s="3201">
        <v>0.129</v>
      </c>
      <c r="D166" s="3201">
        <v>0.129</v>
      </c>
      <c r="E166" s="3201">
        <v>0.123</v>
      </c>
      <c r="F166" s="3201">
        <v>0.128</v>
      </c>
      <c r="G166" s="3202">
        <v>0.13</v>
      </c>
    </row>
    <row r="167" spans="1:7">
      <c r="A167" s="3211" t="s">
        <v>1153</v>
      </c>
      <c r="B167" s="3200" t="s">
        <v>2862</v>
      </c>
      <c r="C167" s="3201">
        <v>0.125</v>
      </c>
      <c r="D167" s="3201">
        <v>0.125</v>
      </c>
      <c r="E167" s="3201">
        <v>0.11700000000000001</v>
      </c>
      <c r="F167" s="3201">
        <v>0.13</v>
      </c>
      <c r="G167" s="3202">
        <v>0.126</v>
      </c>
    </row>
    <row r="168" spans="1:7">
      <c r="A168" s="3211" t="s">
        <v>1153</v>
      </c>
      <c r="B168" s="3200" t="s">
        <v>2863</v>
      </c>
      <c r="C168" s="3201">
        <v>0.128</v>
      </c>
      <c r="D168" s="3201">
        <v>0.128</v>
      </c>
      <c r="E168" s="3201">
        <v>0.123</v>
      </c>
      <c r="F168" s="3212"/>
      <c r="G168" s="3202">
        <v>0.13</v>
      </c>
    </row>
    <row r="169" spans="1:7">
      <c r="A169" s="3211" t="s">
        <v>1153</v>
      </c>
      <c r="B169" s="3200" t="s">
        <v>3050</v>
      </c>
      <c r="C169" s="3217"/>
      <c r="D169" s="3217"/>
      <c r="E169" s="3217"/>
      <c r="F169" s="3201">
        <v>0.05</v>
      </c>
      <c r="G169" s="3213"/>
    </row>
    <row r="170" spans="1:7">
      <c r="A170" s="3211" t="s">
        <v>1153</v>
      </c>
      <c r="B170" s="3200" t="s">
        <v>3051</v>
      </c>
      <c r="C170" s="3217"/>
      <c r="D170" s="3217"/>
      <c r="E170" s="3217"/>
      <c r="F170" s="3201">
        <v>0.05</v>
      </c>
      <c r="G170" s="3213"/>
    </row>
    <row r="171" spans="1:7">
      <c r="A171" s="3211" t="s">
        <v>1153</v>
      </c>
      <c r="B171" s="3200" t="s">
        <v>3052</v>
      </c>
      <c r="C171" s="3217"/>
      <c r="D171" s="3217"/>
      <c r="E171" s="3217"/>
      <c r="F171" s="3201">
        <v>0.05</v>
      </c>
      <c r="G171" s="3218"/>
    </row>
    <row r="172" spans="1:7">
      <c r="A172" s="3211" t="s">
        <v>1153</v>
      </c>
      <c r="B172" s="3200" t="s">
        <v>3053</v>
      </c>
      <c r="C172" s="3217"/>
      <c r="D172" s="3217"/>
      <c r="E172" s="3217"/>
      <c r="F172" s="3201">
        <v>0.05</v>
      </c>
      <c r="G172" s="3218"/>
    </row>
    <row r="173" spans="1:7">
      <c r="A173" s="3211" t="s">
        <v>1153</v>
      </c>
      <c r="B173" s="3200" t="s">
        <v>3054</v>
      </c>
      <c r="C173" s="3217"/>
      <c r="D173" s="3217"/>
      <c r="E173" s="3217"/>
      <c r="F173" s="3201">
        <v>0.05</v>
      </c>
      <c r="G173" s="3213"/>
    </row>
    <row r="174" spans="1:7">
      <c r="A174" s="3211" t="s">
        <v>1153</v>
      </c>
      <c r="B174" s="3200" t="s">
        <v>3055</v>
      </c>
      <c r="C174" s="3217"/>
      <c r="D174" s="3217"/>
      <c r="E174" s="3217"/>
      <c r="F174" s="3201">
        <v>0.05</v>
      </c>
      <c r="G174" s="3213"/>
    </row>
    <row r="175" spans="1:7">
      <c r="A175" s="3211" t="s">
        <v>1153</v>
      </c>
      <c r="B175" s="3200" t="s">
        <v>3056</v>
      </c>
      <c r="C175" s="3217"/>
      <c r="D175" s="3217"/>
      <c r="E175" s="3217"/>
      <c r="F175" s="3201">
        <v>0.05</v>
      </c>
      <c r="G175" s="3213"/>
    </row>
    <row r="176" spans="1:7">
      <c r="A176" s="3211" t="s">
        <v>1153</v>
      </c>
      <c r="B176" s="3200" t="s">
        <v>3057</v>
      </c>
      <c r="C176" s="3217"/>
      <c r="D176" s="3217"/>
      <c r="E176" s="3217"/>
      <c r="F176" s="3201">
        <v>0.05</v>
      </c>
      <c r="G176" s="3213"/>
    </row>
    <row r="177" spans="1:7">
      <c r="A177" s="3211" t="s">
        <v>1153</v>
      </c>
      <c r="B177" s="3200" t="s">
        <v>3058</v>
      </c>
      <c r="C177" s="3212"/>
      <c r="D177" s="3212"/>
      <c r="E177" s="3212"/>
      <c r="F177" s="3201">
        <v>0.05</v>
      </c>
      <c r="G177" s="3218"/>
    </row>
    <row r="178" spans="1:7">
      <c r="A178" s="3211" t="s">
        <v>1153</v>
      </c>
      <c r="B178" s="3200" t="s">
        <v>3059</v>
      </c>
      <c r="C178" s="3212"/>
      <c r="D178" s="3212"/>
      <c r="E178" s="3212"/>
      <c r="F178" s="3201">
        <v>0.05</v>
      </c>
      <c r="G178" s="3218"/>
    </row>
    <row r="179" spans="1:7">
      <c r="A179" s="3211" t="s">
        <v>1153</v>
      </c>
      <c r="B179" s="3200" t="s">
        <v>3060</v>
      </c>
      <c r="C179" s="3212"/>
      <c r="D179" s="3212"/>
      <c r="E179" s="3212"/>
      <c r="F179" s="3201">
        <v>0.05</v>
      </c>
      <c r="G179" s="3218"/>
    </row>
    <row r="180" spans="1:7">
      <c r="A180" s="3211" t="s">
        <v>1153</v>
      </c>
      <c r="B180" s="3200" t="s">
        <v>3061</v>
      </c>
      <c r="C180" s="3212"/>
      <c r="D180" s="3212"/>
      <c r="E180" s="3212"/>
      <c r="F180" s="3201">
        <v>0.05</v>
      </c>
      <c r="G180" s="3218"/>
    </row>
    <row r="181" spans="1:7">
      <c r="A181" s="3211" t="s">
        <v>1153</v>
      </c>
      <c r="B181" s="3200" t="s">
        <v>3062</v>
      </c>
      <c r="C181" s="3212"/>
      <c r="D181" s="3212"/>
      <c r="E181" s="3212"/>
      <c r="F181" s="3201">
        <v>0.05</v>
      </c>
      <c r="G181" s="3218"/>
    </row>
    <row r="182" spans="1:7">
      <c r="A182" s="3211" t="s">
        <v>1153</v>
      </c>
      <c r="B182" s="3200" t="s">
        <v>3063</v>
      </c>
      <c r="C182" s="3212"/>
      <c r="D182" s="3212"/>
      <c r="E182" s="3212"/>
      <c r="F182" s="3201">
        <v>0.05</v>
      </c>
      <c r="G182" s="3218"/>
    </row>
    <row r="183" spans="1:7">
      <c r="A183" s="3211" t="s">
        <v>1153</v>
      </c>
      <c r="B183" s="3200" t="s">
        <v>3064</v>
      </c>
      <c r="C183" s="3212"/>
      <c r="D183" s="3212"/>
      <c r="E183" s="3212"/>
      <c r="F183" s="3201">
        <v>0.05</v>
      </c>
      <c r="G183" s="3218"/>
    </row>
    <row r="184" spans="1:7">
      <c r="A184" s="3211" t="s">
        <v>1153</v>
      </c>
      <c r="B184" s="3200" t="s">
        <v>3065</v>
      </c>
      <c r="C184" s="3212"/>
      <c r="D184" s="3212"/>
      <c r="E184" s="3212"/>
      <c r="F184" s="3201">
        <v>0.05</v>
      </c>
      <c r="G184" s="3218"/>
    </row>
    <row r="185" spans="1:7">
      <c r="A185" s="3211" t="s">
        <v>1153</v>
      </c>
      <c r="B185" s="3200" t="s">
        <v>3066</v>
      </c>
      <c r="C185" s="3212"/>
      <c r="D185" s="3212"/>
      <c r="E185" s="3212"/>
      <c r="F185" s="3201">
        <v>0.05</v>
      </c>
      <c r="G185" s="3218"/>
    </row>
    <row r="186" spans="1:7">
      <c r="A186" s="3211" t="s">
        <v>1153</v>
      </c>
      <c r="B186" s="3200" t="s">
        <v>3067</v>
      </c>
      <c r="C186" s="3212"/>
      <c r="D186" s="3212"/>
      <c r="E186" s="3212"/>
      <c r="F186" s="3201">
        <v>0.05</v>
      </c>
      <c r="G186" s="3218"/>
    </row>
    <row r="187" spans="1:7">
      <c r="A187" s="3211" t="s">
        <v>1153</v>
      </c>
      <c r="B187" s="3200" t="s">
        <v>3068</v>
      </c>
      <c r="C187" s="3212"/>
      <c r="D187" s="3212"/>
      <c r="E187" s="3212"/>
      <c r="F187" s="3201">
        <v>0.05</v>
      </c>
      <c r="G187" s="3218"/>
    </row>
    <row r="188" spans="1:7">
      <c r="A188" s="3211" t="s">
        <v>1153</v>
      </c>
      <c r="B188" s="3200" t="s">
        <v>3069</v>
      </c>
      <c r="C188" s="3212"/>
      <c r="D188" s="3212"/>
      <c r="E188" s="3212"/>
      <c r="F188" s="3201">
        <v>0.05</v>
      </c>
      <c r="G188" s="3218"/>
    </row>
    <row r="189" spans="1:7" ht="14.25" thickBot="1">
      <c r="A189" s="3214" t="s">
        <v>1153</v>
      </c>
      <c r="B189" s="3204" t="s">
        <v>3070</v>
      </c>
      <c r="C189" s="3206"/>
      <c r="D189" s="3206"/>
      <c r="E189" s="3206"/>
      <c r="F189" s="3205">
        <v>0.05</v>
      </c>
      <c r="G189" s="3219"/>
    </row>
    <row r="190" spans="1:7">
      <c r="A190" s="3210" t="s">
        <v>1154</v>
      </c>
      <c r="B190" s="3196" t="s">
        <v>3071</v>
      </c>
      <c r="C190" s="3197">
        <v>0.124</v>
      </c>
      <c r="D190" s="3197">
        <v>0.124</v>
      </c>
      <c r="E190" s="3197">
        <v>0.129</v>
      </c>
      <c r="F190" s="3197">
        <v>0.13</v>
      </c>
      <c r="G190" s="3198">
        <v>0.127</v>
      </c>
    </row>
    <row r="191" spans="1:7">
      <c r="A191" s="3211" t="s">
        <v>1154</v>
      </c>
      <c r="B191" s="3200" t="s">
        <v>978</v>
      </c>
      <c r="C191" s="3201">
        <v>0.13</v>
      </c>
      <c r="D191" s="3201">
        <v>0.13</v>
      </c>
      <c r="E191" s="3201">
        <v>0.13</v>
      </c>
      <c r="F191" s="3201">
        <v>0.13</v>
      </c>
      <c r="G191" s="3202">
        <v>0.13</v>
      </c>
    </row>
    <row r="192" spans="1:7">
      <c r="A192" s="3211" t="s">
        <v>1154</v>
      </c>
      <c r="B192" s="3200" t="s">
        <v>988</v>
      </c>
      <c r="C192" s="3201">
        <v>0.13</v>
      </c>
      <c r="D192" s="3201">
        <v>0.13</v>
      </c>
      <c r="E192" s="3201">
        <v>0.13</v>
      </c>
      <c r="F192" s="3201">
        <v>0.13</v>
      </c>
      <c r="G192" s="3202">
        <v>0.13</v>
      </c>
    </row>
    <row r="193" spans="1:7">
      <c r="A193" s="3211" t="s">
        <v>1154</v>
      </c>
      <c r="B193" s="3200" t="s">
        <v>997</v>
      </c>
      <c r="C193" s="3201">
        <v>0.13</v>
      </c>
      <c r="D193" s="3201">
        <v>0.13</v>
      </c>
      <c r="E193" s="3201">
        <v>0.13</v>
      </c>
      <c r="F193" s="3201">
        <v>0.13</v>
      </c>
      <c r="G193" s="3202">
        <v>0.13</v>
      </c>
    </row>
    <row r="194" spans="1:7">
      <c r="A194" s="3211" t="s">
        <v>1154</v>
      </c>
      <c r="B194" s="3200" t="s">
        <v>1007</v>
      </c>
      <c r="C194" s="3201">
        <v>0.123</v>
      </c>
      <c r="D194" s="3201">
        <v>0.123</v>
      </c>
      <c r="E194" s="3201">
        <v>0.128</v>
      </c>
      <c r="F194" s="3201">
        <v>0.13</v>
      </c>
      <c r="G194" s="3202">
        <v>0.126</v>
      </c>
    </row>
    <row r="195" spans="1:7">
      <c r="A195" s="3211" t="s">
        <v>1154</v>
      </c>
      <c r="B195" s="3200" t="s">
        <v>1014</v>
      </c>
      <c r="C195" s="3201">
        <v>0.127</v>
      </c>
      <c r="D195" s="3201">
        <v>0.127</v>
      </c>
      <c r="E195" s="3201">
        <v>0.121</v>
      </c>
      <c r="F195" s="3201">
        <v>0.129</v>
      </c>
      <c r="G195" s="3202">
        <v>0.129</v>
      </c>
    </row>
    <row r="196" spans="1:7">
      <c r="A196" s="3211" t="s">
        <v>1154</v>
      </c>
      <c r="B196" s="3200" t="s">
        <v>1020</v>
      </c>
      <c r="C196" s="3201">
        <v>0.127</v>
      </c>
      <c r="D196" s="3201">
        <v>0.128</v>
      </c>
      <c r="E196" s="3201">
        <v>0.122</v>
      </c>
      <c r="F196" s="3201">
        <v>0.13</v>
      </c>
      <c r="G196" s="3202">
        <v>0.129</v>
      </c>
    </row>
    <row r="197" spans="1:7">
      <c r="A197" s="3211" t="s">
        <v>1154</v>
      </c>
      <c r="B197" s="3200" t="s">
        <v>1027</v>
      </c>
      <c r="C197" s="3201">
        <v>0.126</v>
      </c>
      <c r="D197" s="3201">
        <v>0.126</v>
      </c>
      <c r="E197" s="3201">
        <v>0.11899999999999999</v>
      </c>
      <c r="F197" s="3201">
        <v>0.13</v>
      </c>
      <c r="G197" s="3202">
        <v>0.128</v>
      </c>
    </row>
    <row r="198" spans="1:7">
      <c r="A198" s="3211" t="s">
        <v>1154</v>
      </c>
      <c r="B198" s="3200" t="s">
        <v>1037</v>
      </c>
      <c r="C198" s="3201">
        <v>0.13</v>
      </c>
      <c r="D198" s="3201">
        <v>0.13</v>
      </c>
      <c r="E198" s="3201">
        <v>0.126</v>
      </c>
      <c r="F198" s="3217"/>
      <c r="G198" s="3202">
        <v>0.13</v>
      </c>
    </row>
    <row r="199" spans="1:7">
      <c r="A199" s="3211" t="s">
        <v>1154</v>
      </c>
      <c r="B199" s="3200" t="s">
        <v>3072</v>
      </c>
      <c r="C199" s="3201">
        <v>0.13</v>
      </c>
      <c r="D199" s="3201">
        <v>0.13</v>
      </c>
      <c r="E199" s="3201">
        <v>0.13</v>
      </c>
      <c r="F199" s="3201">
        <v>0.13</v>
      </c>
      <c r="G199" s="3202">
        <v>0.13</v>
      </c>
    </row>
    <row r="200" spans="1:7">
      <c r="A200" s="3211" t="s">
        <v>1154</v>
      </c>
      <c r="B200" s="3200" t="s">
        <v>2887</v>
      </c>
      <c r="C200" s="3217"/>
      <c r="D200" s="3217"/>
      <c r="E200" s="3217"/>
      <c r="F200" s="3201">
        <v>0.13</v>
      </c>
      <c r="G200" s="3213"/>
    </row>
    <row r="201" spans="1:7">
      <c r="A201" s="3211" t="s">
        <v>1154</v>
      </c>
      <c r="B201" s="3200" t="s">
        <v>3073</v>
      </c>
      <c r="C201" s="3201">
        <v>0.13</v>
      </c>
      <c r="D201" s="3201">
        <v>0.13</v>
      </c>
      <c r="E201" s="3201">
        <v>0.13</v>
      </c>
      <c r="F201" s="3201">
        <v>0.129</v>
      </c>
      <c r="G201" s="3202">
        <v>0.13</v>
      </c>
    </row>
    <row r="202" spans="1:7">
      <c r="A202" s="3211" t="s">
        <v>1154</v>
      </c>
      <c r="B202" s="3200" t="s">
        <v>1088</v>
      </c>
      <c r="C202" s="3201">
        <v>0.13</v>
      </c>
      <c r="D202" s="3201">
        <v>0.13</v>
      </c>
      <c r="E202" s="3201">
        <v>0.13</v>
      </c>
      <c r="F202" s="3201">
        <v>0.13</v>
      </c>
      <c r="G202" s="3202">
        <v>0.13</v>
      </c>
    </row>
    <row r="203" spans="1:7">
      <c r="A203" s="3211" t="s">
        <v>1154</v>
      </c>
      <c r="B203" s="3200" t="s">
        <v>3074</v>
      </c>
      <c r="C203" s="3201">
        <v>0.129</v>
      </c>
      <c r="D203" s="3201">
        <v>0.129</v>
      </c>
      <c r="E203" s="3201">
        <v>0.13</v>
      </c>
      <c r="F203" s="3201">
        <v>0.13</v>
      </c>
      <c r="G203" s="3202">
        <v>0.13</v>
      </c>
    </row>
    <row r="204" spans="1:7">
      <c r="A204" s="3211" t="s">
        <v>1154</v>
      </c>
      <c r="B204" s="3200" t="s">
        <v>2890</v>
      </c>
      <c r="C204" s="3201">
        <v>0.129</v>
      </c>
      <c r="D204" s="3201">
        <v>0.129</v>
      </c>
      <c r="E204" s="3201">
        <v>0.123</v>
      </c>
      <c r="F204" s="3201">
        <v>0.13</v>
      </c>
      <c r="G204" s="3202">
        <v>0.13</v>
      </c>
    </row>
    <row r="205" spans="1:7">
      <c r="A205" s="3211" t="s">
        <v>1154</v>
      </c>
      <c r="B205" s="3200" t="s">
        <v>2891</v>
      </c>
      <c r="C205" s="3201">
        <v>0.13</v>
      </c>
      <c r="D205" s="3201">
        <v>0.13</v>
      </c>
      <c r="E205" s="3201">
        <v>0.13</v>
      </c>
      <c r="F205" s="3201">
        <v>0.13</v>
      </c>
      <c r="G205" s="3202">
        <v>0.13</v>
      </c>
    </row>
    <row r="206" spans="1:7">
      <c r="A206" s="3211" t="s">
        <v>1154</v>
      </c>
      <c r="B206" s="3200" t="s">
        <v>2892</v>
      </c>
      <c r="C206" s="3201">
        <v>0.13</v>
      </c>
      <c r="D206" s="3201">
        <v>0.13</v>
      </c>
      <c r="E206" s="3201">
        <v>0.13</v>
      </c>
      <c r="F206" s="3201">
        <v>0.128</v>
      </c>
      <c r="G206" s="3202">
        <v>0.13</v>
      </c>
    </row>
    <row r="207" spans="1:7">
      <c r="A207" s="3211" t="s">
        <v>1154</v>
      </c>
      <c r="B207" s="3200" t="s">
        <v>2893</v>
      </c>
      <c r="C207" s="3201">
        <v>0.13</v>
      </c>
      <c r="D207" s="3201">
        <v>0.13</v>
      </c>
      <c r="E207" s="3201">
        <v>0.13</v>
      </c>
      <c r="F207" s="3201">
        <v>0.13</v>
      </c>
      <c r="G207" s="3202">
        <v>0.13</v>
      </c>
    </row>
    <row r="208" spans="1:7">
      <c r="A208" s="3211" t="s">
        <v>1154</v>
      </c>
      <c r="B208" s="3200" t="s">
        <v>3075</v>
      </c>
      <c r="C208" s="3201">
        <v>0.13</v>
      </c>
      <c r="D208" s="3201">
        <v>0.13</v>
      </c>
      <c r="E208" s="3201">
        <v>0.13</v>
      </c>
      <c r="F208" s="3201">
        <v>0.13</v>
      </c>
      <c r="G208" s="3202">
        <v>0.13</v>
      </c>
    </row>
    <row r="209" spans="1:7">
      <c r="A209" s="3211" t="s">
        <v>1154</v>
      </c>
      <c r="B209" s="3200" t="s">
        <v>1112</v>
      </c>
      <c r="C209" s="3201">
        <v>0.13</v>
      </c>
      <c r="D209" s="3201">
        <v>0.13</v>
      </c>
      <c r="E209" s="3201">
        <v>0.13</v>
      </c>
      <c r="F209" s="3201">
        <v>0.13</v>
      </c>
      <c r="G209" s="3202">
        <v>0.13</v>
      </c>
    </row>
    <row r="210" spans="1:7">
      <c r="A210" s="3211" t="s">
        <v>1154</v>
      </c>
      <c r="B210" s="3200" t="s">
        <v>2895</v>
      </c>
      <c r="C210" s="3201">
        <v>0.121</v>
      </c>
      <c r="D210" s="3201">
        <v>0.121</v>
      </c>
      <c r="E210" s="3201">
        <v>0.125</v>
      </c>
      <c r="F210" s="3201">
        <v>0.13</v>
      </c>
      <c r="G210" s="3202">
        <v>0.123</v>
      </c>
    </row>
    <row r="211" spans="1:7">
      <c r="A211" s="3211" t="s">
        <v>1154</v>
      </c>
      <c r="B211" s="3200" t="s">
        <v>3076</v>
      </c>
      <c r="C211" s="3201">
        <v>0.123</v>
      </c>
      <c r="D211" s="3201">
        <v>0.123</v>
      </c>
      <c r="E211" s="3201">
        <v>0.127</v>
      </c>
      <c r="F211" s="3201">
        <v>0.115</v>
      </c>
      <c r="G211" s="3202">
        <v>0.126</v>
      </c>
    </row>
    <row r="212" spans="1:7">
      <c r="A212" s="3211" t="s">
        <v>1154</v>
      </c>
      <c r="B212" s="3200" t="s">
        <v>1134</v>
      </c>
      <c r="C212" s="3201">
        <v>0.126</v>
      </c>
      <c r="D212" s="3201">
        <v>0.126</v>
      </c>
      <c r="E212" s="3201">
        <v>0.13</v>
      </c>
      <c r="F212" s="3201">
        <v>0.13</v>
      </c>
      <c r="G212" s="3202">
        <v>0.129</v>
      </c>
    </row>
    <row r="213" spans="1:7">
      <c r="A213" s="3211" t="s">
        <v>1154</v>
      </c>
      <c r="B213" s="3200" t="s">
        <v>1137</v>
      </c>
      <c r="C213" s="3201">
        <v>0.129</v>
      </c>
      <c r="D213" s="3201">
        <v>0.13</v>
      </c>
      <c r="E213" s="3201">
        <v>0.127</v>
      </c>
      <c r="F213" s="3201">
        <v>0.13</v>
      </c>
      <c r="G213" s="3202">
        <v>0.13</v>
      </c>
    </row>
    <row r="214" spans="1:7">
      <c r="A214" s="3211" t="s">
        <v>1154</v>
      </c>
      <c r="B214" s="3200" t="s">
        <v>3077</v>
      </c>
      <c r="C214" s="3201">
        <v>0.128</v>
      </c>
      <c r="D214" s="3201">
        <v>0.128</v>
      </c>
      <c r="E214" s="3201">
        <v>0.13</v>
      </c>
      <c r="F214" s="3201">
        <v>0.13</v>
      </c>
      <c r="G214" s="3202">
        <v>0.13</v>
      </c>
    </row>
    <row r="215" spans="1:7">
      <c r="A215" s="3211" t="s">
        <v>1154</v>
      </c>
      <c r="B215" s="3200" t="s">
        <v>3078</v>
      </c>
      <c r="C215" s="3201">
        <v>0.13</v>
      </c>
      <c r="D215" s="3201">
        <v>0.13</v>
      </c>
      <c r="E215" s="3201">
        <v>0.13</v>
      </c>
      <c r="F215" s="3201">
        <v>0.129</v>
      </c>
      <c r="G215" s="3202">
        <v>0.13</v>
      </c>
    </row>
    <row r="216" spans="1:7">
      <c r="A216" s="3211" t="s">
        <v>1154</v>
      </c>
      <c r="B216" s="3200" t="s">
        <v>3079</v>
      </c>
      <c r="C216" s="3201">
        <v>0.13</v>
      </c>
      <c r="D216" s="3201">
        <v>0.13</v>
      </c>
      <c r="E216" s="3201">
        <v>0.13</v>
      </c>
      <c r="F216" s="3201">
        <v>0.13</v>
      </c>
      <c r="G216" s="3202">
        <v>0.13</v>
      </c>
    </row>
    <row r="217" spans="1:7">
      <c r="A217" s="3211" t="s">
        <v>1154</v>
      </c>
      <c r="B217" s="3200" t="s">
        <v>2899</v>
      </c>
      <c r="C217" s="3201">
        <v>0.129</v>
      </c>
      <c r="D217" s="3201">
        <v>0.129</v>
      </c>
      <c r="E217" s="3201">
        <v>0.13</v>
      </c>
      <c r="F217" s="3201">
        <v>0.13</v>
      </c>
      <c r="G217" s="3202">
        <v>0.13</v>
      </c>
    </row>
    <row r="218" spans="1:7">
      <c r="A218" s="3211" t="s">
        <v>1154</v>
      </c>
      <c r="B218" s="3200" t="s">
        <v>3080</v>
      </c>
      <c r="C218" s="3212"/>
      <c r="D218" s="3212"/>
      <c r="E218" s="3212"/>
      <c r="F218" s="3201">
        <v>0.05</v>
      </c>
      <c r="G218" s="3218"/>
    </row>
    <row r="219" spans="1:7">
      <c r="A219" s="3211" t="s">
        <v>1154</v>
      </c>
      <c r="B219" s="3200" t="s">
        <v>3081</v>
      </c>
      <c r="C219" s="3212"/>
      <c r="D219" s="3212"/>
      <c r="E219" s="3212"/>
      <c r="F219" s="3201">
        <v>0.05</v>
      </c>
      <c r="G219" s="3218"/>
    </row>
    <row r="220" spans="1:7">
      <c r="A220" s="3211" t="s">
        <v>1154</v>
      </c>
      <c r="B220" s="3200" t="s">
        <v>3082</v>
      </c>
      <c r="C220" s="3212"/>
      <c r="D220" s="3212"/>
      <c r="E220" s="3212"/>
      <c r="F220" s="3201">
        <v>0.05</v>
      </c>
      <c r="G220" s="3218"/>
    </row>
    <row r="221" spans="1:7">
      <c r="A221" s="3211" t="s">
        <v>1154</v>
      </c>
      <c r="B221" s="3200" t="s">
        <v>3083</v>
      </c>
      <c r="C221" s="3212"/>
      <c r="D221" s="3212"/>
      <c r="E221" s="3212"/>
      <c r="F221" s="3201">
        <v>0.05</v>
      </c>
      <c r="G221" s="3218"/>
    </row>
    <row r="222" spans="1:7">
      <c r="A222" s="3211" t="s">
        <v>1154</v>
      </c>
      <c r="B222" s="3200" t="s">
        <v>3084</v>
      </c>
      <c r="C222" s="3212"/>
      <c r="D222" s="3212"/>
      <c r="E222" s="3212"/>
      <c r="F222" s="3201">
        <v>0.05</v>
      </c>
      <c r="G222" s="3218"/>
    </row>
    <row r="223" spans="1:7">
      <c r="A223" s="3211" t="s">
        <v>1154</v>
      </c>
      <c r="B223" s="3200" t="s">
        <v>3085</v>
      </c>
      <c r="C223" s="3212"/>
      <c r="D223" s="3212"/>
      <c r="E223" s="3212"/>
      <c r="F223" s="3201">
        <v>0.05</v>
      </c>
      <c r="G223" s="3218"/>
    </row>
    <row r="224" spans="1:7">
      <c r="A224" s="3211" t="s">
        <v>1154</v>
      </c>
      <c r="B224" s="3200" t="s">
        <v>3086</v>
      </c>
      <c r="C224" s="3212"/>
      <c r="D224" s="3212"/>
      <c r="E224" s="3212"/>
      <c r="F224" s="3201">
        <v>0.05</v>
      </c>
      <c r="G224" s="3218"/>
    </row>
    <row r="225" spans="1:7">
      <c r="A225" s="3211" t="s">
        <v>1154</v>
      </c>
      <c r="B225" s="3200" t="s">
        <v>3087</v>
      </c>
      <c r="C225" s="3212"/>
      <c r="D225" s="3212"/>
      <c r="E225" s="3212"/>
      <c r="F225" s="3201">
        <v>0.05</v>
      </c>
      <c r="G225" s="3218"/>
    </row>
    <row r="226" spans="1:7">
      <c r="A226" s="3211" t="s">
        <v>1154</v>
      </c>
      <c r="B226" s="3200" t="s">
        <v>3088</v>
      </c>
      <c r="C226" s="3212"/>
      <c r="D226" s="3212"/>
      <c r="E226" s="3212"/>
      <c r="F226" s="3201">
        <v>0.05</v>
      </c>
      <c r="G226" s="3218"/>
    </row>
    <row r="227" spans="1:7">
      <c r="A227" s="3211" t="s">
        <v>1154</v>
      </c>
      <c r="B227" s="3200" t="s">
        <v>3089</v>
      </c>
      <c r="C227" s="3212"/>
      <c r="D227" s="3212"/>
      <c r="E227" s="3212"/>
      <c r="F227" s="3201">
        <v>0.05</v>
      </c>
      <c r="G227" s="3218"/>
    </row>
    <row r="228" spans="1:7">
      <c r="A228" s="3211" t="s">
        <v>1154</v>
      </c>
      <c r="B228" s="3200" t="s">
        <v>3090</v>
      </c>
      <c r="C228" s="3212"/>
      <c r="D228" s="3212"/>
      <c r="E228" s="3212"/>
      <c r="F228" s="3201">
        <v>0.05</v>
      </c>
      <c r="G228" s="3218"/>
    </row>
    <row r="229" spans="1:7">
      <c r="A229" s="3211" t="s">
        <v>1154</v>
      </c>
      <c r="B229" s="3200" t="s">
        <v>3091</v>
      </c>
      <c r="C229" s="3212"/>
      <c r="D229" s="3212"/>
      <c r="E229" s="3212"/>
      <c r="F229" s="3201">
        <v>0.05</v>
      </c>
      <c r="G229" s="3218"/>
    </row>
    <row r="230" spans="1:7">
      <c r="A230" s="3211" t="s">
        <v>1154</v>
      </c>
      <c r="B230" s="3200" t="s">
        <v>3092</v>
      </c>
      <c r="C230" s="3212"/>
      <c r="D230" s="3212"/>
      <c r="E230" s="3212"/>
      <c r="F230" s="3201">
        <v>0.05</v>
      </c>
      <c r="G230" s="3218"/>
    </row>
    <row r="231" spans="1:7">
      <c r="A231" s="3211" t="s">
        <v>1154</v>
      </c>
      <c r="B231" s="3200" t="s">
        <v>3093</v>
      </c>
      <c r="C231" s="3212"/>
      <c r="D231" s="3212"/>
      <c r="E231" s="3212"/>
      <c r="F231" s="3201">
        <v>0.05</v>
      </c>
      <c r="G231" s="3218"/>
    </row>
    <row r="232" spans="1:7">
      <c r="A232" s="3211" t="s">
        <v>1154</v>
      </c>
      <c r="B232" s="3200" t="s">
        <v>3094</v>
      </c>
      <c r="C232" s="3212"/>
      <c r="D232" s="3212"/>
      <c r="E232" s="3212"/>
      <c r="F232" s="3201">
        <v>0.05</v>
      </c>
      <c r="G232" s="3218"/>
    </row>
    <row r="233" spans="1:7" ht="14.25" thickBot="1">
      <c r="A233" s="3214" t="s">
        <v>1154</v>
      </c>
      <c r="B233" s="3204" t="s">
        <v>3095</v>
      </c>
      <c r="C233" s="3206"/>
      <c r="D233" s="3206"/>
      <c r="E233" s="3206"/>
      <c r="F233" s="3205">
        <v>0.05</v>
      </c>
      <c r="G233" s="3219"/>
    </row>
    <row r="234" spans="1:7">
      <c r="A234" s="3210" t="s">
        <v>1155</v>
      </c>
      <c r="B234" s="3196" t="s">
        <v>3096</v>
      </c>
      <c r="C234" s="3197">
        <v>0.13</v>
      </c>
      <c r="D234" s="3197">
        <v>0.128</v>
      </c>
      <c r="E234" s="3197">
        <v>0.14199999999999999</v>
      </c>
      <c r="F234" s="3197">
        <v>0.14699999999999999</v>
      </c>
      <c r="G234" s="3198">
        <v>0.14000000000000001</v>
      </c>
    </row>
    <row r="235" spans="1:7">
      <c r="A235" s="3211" t="s">
        <v>1155</v>
      </c>
      <c r="B235" s="3200" t="s">
        <v>979</v>
      </c>
      <c r="C235" s="3201">
        <v>0.13600000000000001</v>
      </c>
      <c r="D235" s="3201">
        <v>0.13800000000000001</v>
      </c>
      <c r="E235" s="3201">
        <v>0.14499999999999999</v>
      </c>
      <c r="F235" s="3201">
        <v>0.14299999999999999</v>
      </c>
      <c r="G235" s="3202">
        <v>0.14099999999999999</v>
      </c>
    </row>
    <row r="236" spans="1:7">
      <c r="A236" s="3211" t="s">
        <v>1155</v>
      </c>
      <c r="B236" s="3200" t="s">
        <v>989</v>
      </c>
      <c r="C236" s="3201">
        <v>0.15</v>
      </c>
      <c r="D236" s="3201">
        <v>0.15</v>
      </c>
      <c r="E236" s="3201">
        <v>0.15</v>
      </c>
      <c r="F236" s="3201">
        <v>0.15</v>
      </c>
      <c r="G236" s="3202">
        <v>0.15</v>
      </c>
    </row>
    <row r="237" spans="1:7">
      <c r="A237" s="3211" t="s">
        <v>1155</v>
      </c>
      <c r="B237" s="3200" t="s">
        <v>998</v>
      </c>
      <c r="C237" s="3201">
        <v>0.15</v>
      </c>
      <c r="D237" s="3201">
        <v>0.15</v>
      </c>
      <c r="E237" s="3201">
        <v>0.15</v>
      </c>
      <c r="F237" s="3201">
        <v>0.15</v>
      </c>
      <c r="G237" s="3202">
        <v>0.15</v>
      </c>
    </row>
    <row r="238" spans="1:7">
      <c r="A238" s="3211" t="s">
        <v>1155</v>
      </c>
      <c r="B238" s="3200" t="s">
        <v>2917</v>
      </c>
      <c r="C238" s="3201">
        <v>0.14899999999999999</v>
      </c>
      <c r="D238" s="3201">
        <v>0.14899999999999999</v>
      </c>
      <c r="E238" s="3201">
        <v>0.15</v>
      </c>
      <c r="F238" s="3201">
        <v>0.15</v>
      </c>
      <c r="G238" s="3202">
        <v>0.15</v>
      </c>
    </row>
    <row r="239" spans="1:7">
      <c r="A239" s="3211" t="s">
        <v>1155</v>
      </c>
      <c r="B239" s="3200" t="s">
        <v>3097</v>
      </c>
      <c r="C239" s="3201">
        <v>0.15</v>
      </c>
      <c r="D239" s="3201">
        <v>0.15</v>
      </c>
      <c r="E239" s="3201">
        <v>0.15</v>
      </c>
      <c r="F239" s="3201">
        <v>0.15</v>
      </c>
      <c r="G239" s="3202">
        <v>0.15</v>
      </c>
    </row>
    <row r="240" spans="1:7">
      <c r="A240" s="3211" t="s">
        <v>1155</v>
      </c>
      <c r="B240" s="3200" t="s">
        <v>3098</v>
      </c>
      <c r="C240" s="3201">
        <v>0.15</v>
      </c>
      <c r="D240" s="3201">
        <v>0.15</v>
      </c>
      <c r="E240" s="3201">
        <v>0.15</v>
      </c>
      <c r="F240" s="3201">
        <v>0.15</v>
      </c>
      <c r="G240" s="3202">
        <v>0.15</v>
      </c>
    </row>
    <row r="241" spans="1:7">
      <c r="A241" s="3211" t="s">
        <v>1155</v>
      </c>
      <c r="B241" s="3200" t="s">
        <v>3099</v>
      </c>
      <c r="C241" s="3201">
        <v>0.14099999999999999</v>
      </c>
      <c r="D241" s="3201">
        <v>0.14199999999999999</v>
      </c>
      <c r="E241" s="3201">
        <v>0.14899999999999999</v>
      </c>
      <c r="F241" s="3201">
        <v>0.15</v>
      </c>
      <c r="G241" s="3202">
        <v>0.14399999999999999</v>
      </c>
    </row>
    <row r="242" spans="1:7">
      <c r="A242" s="3211" t="s">
        <v>1155</v>
      </c>
      <c r="B242" s="3200" t="s">
        <v>1028</v>
      </c>
      <c r="C242" s="3201">
        <v>0.14099999999999999</v>
      </c>
      <c r="D242" s="3201">
        <v>0.14199999999999999</v>
      </c>
      <c r="E242" s="3201">
        <v>0.14799999999999999</v>
      </c>
      <c r="F242" s="3201">
        <v>0.127</v>
      </c>
      <c r="G242" s="3202">
        <v>0.14399999999999999</v>
      </c>
    </row>
    <row r="243" spans="1:7">
      <c r="A243" s="3211" t="s">
        <v>1155</v>
      </c>
      <c r="B243" s="3200" t="s">
        <v>1038</v>
      </c>
      <c r="C243" s="3201">
        <v>0.14699999999999999</v>
      </c>
      <c r="D243" s="3201">
        <v>0.14699999999999999</v>
      </c>
      <c r="E243" s="3201">
        <v>0.15</v>
      </c>
      <c r="F243" s="3201">
        <v>0.15</v>
      </c>
      <c r="G243" s="3202">
        <v>0.14899999999999999</v>
      </c>
    </row>
    <row r="244" spans="1:7">
      <c r="A244" s="3211" t="s">
        <v>1155</v>
      </c>
      <c r="B244" s="3200" t="s">
        <v>3100</v>
      </c>
      <c r="C244" s="3201">
        <v>0.15</v>
      </c>
      <c r="D244" s="3201">
        <v>0.15</v>
      </c>
      <c r="E244" s="3201">
        <v>0.15</v>
      </c>
      <c r="F244" s="3201">
        <v>0.15</v>
      </c>
      <c r="G244" s="3202">
        <v>0.15</v>
      </c>
    </row>
    <row r="245" spans="1:7">
      <c r="A245" s="3211" t="s">
        <v>1155</v>
      </c>
      <c r="B245" s="3200" t="s">
        <v>1053</v>
      </c>
      <c r="C245" s="3201">
        <v>0.14199999999999999</v>
      </c>
      <c r="D245" s="3201">
        <v>0.14199999999999999</v>
      </c>
      <c r="E245" s="3201">
        <v>0.15</v>
      </c>
      <c r="F245" s="3201">
        <v>0.15</v>
      </c>
      <c r="G245" s="3202">
        <v>0.14499999999999999</v>
      </c>
    </row>
    <row r="246" spans="1:7">
      <c r="A246" s="3211" t="s">
        <v>1155</v>
      </c>
      <c r="B246" s="3200" t="s">
        <v>1060</v>
      </c>
      <c r="C246" s="3201">
        <v>0.14199999999999999</v>
      </c>
      <c r="D246" s="3201">
        <v>0.14299999999999999</v>
      </c>
      <c r="E246" s="3201">
        <v>0.15</v>
      </c>
      <c r="F246" s="3201">
        <v>0.14199999999999999</v>
      </c>
      <c r="G246" s="3202">
        <v>0.14399999999999999</v>
      </c>
    </row>
    <row r="247" spans="1:7">
      <c r="A247" s="3211" t="s">
        <v>1155</v>
      </c>
      <c r="B247" s="3200" t="s">
        <v>3101</v>
      </c>
      <c r="C247" s="3201">
        <v>0.14899999999999999</v>
      </c>
      <c r="D247" s="3201">
        <v>0.14899999999999999</v>
      </c>
      <c r="E247" s="3201">
        <v>0.15</v>
      </c>
      <c r="F247" s="3201">
        <v>0.15</v>
      </c>
      <c r="G247" s="3202">
        <v>0.15</v>
      </c>
    </row>
    <row r="248" spans="1:7">
      <c r="A248" s="3211" t="s">
        <v>1155</v>
      </c>
      <c r="B248" s="3200" t="s">
        <v>1075</v>
      </c>
      <c r="C248" s="3201">
        <v>0.14399999999999999</v>
      </c>
      <c r="D248" s="3201">
        <v>0.14399999999999999</v>
      </c>
      <c r="E248" s="3201">
        <v>0.14899999999999999</v>
      </c>
      <c r="F248" s="3201">
        <v>0.14799999999999999</v>
      </c>
      <c r="G248" s="3202">
        <v>0.14599999999999999</v>
      </c>
    </row>
    <row r="249" spans="1:7">
      <c r="A249" s="3211" t="s">
        <v>1155</v>
      </c>
      <c r="B249" s="3200" t="s">
        <v>3102</v>
      </c>
      <c r="C249" s="3201">
        <v>0.14000000000000001</v>
      </c>
      <c r="D249" s="3201">
        <v>0.14000000000000001</v>
      </c>
      <c r="E249" s="3201">
        <v>0.14699999999999999</v>
      </c>
      <c r="F249" s="3201">
        <v>0.14899999999999999</v>
      </c>
      <c r="G249" s="3202">
        <v>0.14199999999999999</v>
      </c>
    </row>
    <row r="250" spans="1:7">
      <c r="A250" s="3211" t="s">
        <v>1155</v>
      </c>
      <c r="B250" s="3200" t="s">
        <v>1089</v>
      </c>
      <c r="C250" s="3201">
        <v>0.14399999999999999</v>
      </c>
      <c r="D250" s="3201">
        <v>0.14299999999999999</v>
      </c>
      <c r="E250" s="3201">
        <v>0.14899999999999999</v>
      </c>
      <c r="F250" s="3201">
        <v>0.15</v>
      </c>
      <c r="G250" s="3202">
        <v>0.14599999999999999</v>
      </c>
    </row>
    <row r="251" spans="1:7">
      <c r="A251" s="3211" t="s">
        <v>1155</v>
      </c>
      <c r="B251" s="3200" t="s">
        <v>1097</v>
      </c>
      <c r="C251" s="3217"/>
      <c r="D251" s="3212"/>
      <c r="E251" s="3212"/>
      <c r="F251" s="3201">
        <v>0.1</v>
      </c>
      <c r="G251" s="3218"/>
    </row>
    <row r="252" spans="1:7">
      <c r="A252" s="3211" t="s">
        <v>1155</v>
      </c>
      <c r="B252" s="3200" t="s">
        <v>3103</v>
      </c>
      <c r="C252" s="3201">
        <v>0.14399999999999999</v>
      </c>
      <c r="D252" s="3201">
        <v>0.14399999999999999</v>
      </c>
      <c r="E252" s="3201">
        <v>0.15</v>
      </c>
      <c r="F252" s="3201">
        <v>0.14899999999999999</v>
      </c>
      <c r="G252" s="3202">
        <v>0.14599999999999999</v>
      </c>
    </row>
    <row r="253" spans="1:7">
      <c r="A253" s="3211" t="s">
        <v>1155</v>
      </c>
      <c r="B253" s="3200" t="s">
        <v>1132</v>
      </c>
      <c r="C253" s="3201">
        <v>0.14199999999999999</v>
      </c>
      <c r="D253" s="3201">
        <v>0.14199999999999999</v>
      </c>
      <c r="E253" s="3201">
        <v>0.14599999999999999</v>
      </c>
      <c r="F253" s="3201">
        <v>0.14799999999999999</v>
      </c>
      <c r="G253" s="3202">
        <v>0.14499999999999999</v>
      </c>
    </row>
    <row r="254" spans="1:7">
      <c r="A254" s="3211" t="s">
        <v>1155</v>
      </c>
      <c r="B254" s="3200" t="s">
        <v>1135</v>
      </c>
      <c r="C254" s="3201">
        <v>0.15</v>
      </c>
      <c r="D254" s="3201">
        <v>0.15</v>
      </c>
      <c r="E254" s="3201">
        <v>0.15</v>
      </c>
      <c r="F254" s="3201">
        <v>0.15</v>
      </c>
      <c r="G254" s="3202">
        <v>0.15</v>
      </c>
    </row>
    <row r="255" spans="1:7">
      <c r="A255" s="3211" t="s">
        <v>1155</v>
      </c>
      <c r="B255" s="3200" t="s">
        <v>1138</v>
      </c>
      <c r="C255" s="3201">
        <v>0.14299999999999999</v>
      </c>
      <c r="D255" s="3201">
        <v>0.14299999999999999</v>
      </c>
      <c r="E255" s="3201">
        <v>0.15</v>
      </c>
      <c r="F255" s="3201">
        <v>0.15</v>
      </c>
      <c r="G255" s="3202">
        <v>0.14499999999999999</v>
      </c>
    </row>
    <row r="256" spans="1:7">
      <c r="A256" s="3211" t="s">
        <v>1155</v>
      </c>
      <c r="B256" s="3200" t="s">
        <v>3104</v>
      </c>
      <c r="C256" s="3201">
        <v>0.15</v>
      </c>
      <c r="D256" s="3201">
        <v>0.15</v>
      </c>
      <c r="E256" s="3201">
        <v>0.15</v>
      </c>
      <c r="F256" s="3201">
        <v>0.14599999999999999</v>
      </c>
      <c r="G256" s="3202">
        <v>0.15</v>
      </c>
    </row>
    <row r="257" spans="1:7">
      <c r="A257" s="3211" t="s">
        <v>1155</v>
      </c>
      <c r="B257" s="3200" t="s">
        <v>1124</v>
      </c>
      <c r="C257" s="3201">
        <v>0.14199999999999999</v>
      </c>
      <c r="D257" s="3201">
        <v>0.14299999999999999</v>
      </c>
      <c r="E257" s="3201">
        <v>0.14799999999999999</v>
      </c>
      <c r="F257" s="3201">
        <v>0.15</v>
      </c>
      <c r="G257" s="3202">
        <v>0.14499999999999999</v>
      </c>
    </row>
    <row r="258" spans="1:7">
      <c r="A258" s="3211" t="s">
        <v>1155</v>
      </c>
      <c r="B258" s="3200" t="s">
        <v>2926</v>
      </c>
      <c r="C258" s="3201">
        <v>0.14299999999999999</v>
      </c>
      <c r="D258" s="3201">
        <v>0.14299999999999999</v>
      </c>
      <c r="E258" s="3201">
        <v>0.15</v>
      </c>
      <c r="F258" s="3201">
        <v>0.14799999999999999</v>
      </c>
      <c r="G258" s="3202">
        <v>0.14599999999999999</v>
      </c>
    </row>
    <row r="259" spans="1:7">
      <c r="A259" s="3211" t="s">
        <v>1155</v>
      </c>
      <c r="B259" s="3200" t="s">
        <v>3105</v>
      </c>
      <c r="C259" s="3201">
        <v>0.14399999999999999</v>
      </c>
      <c r="D259" s="3201">
        <v>0.14399999999999999</v>
      </c>
      <c r="E259" s="3201">
        <v>0.14899999999999999</v>
      </c>
      <c r="F259" s="3201">
        <v>0.14699999999999999</v>
      </c>
      <c r="G259" s="3202">
        <v>0.14599999999999999</v>
      </c>
    </row>
    <row r="260" spans="1:7">
      <c r="A260" s="3211" t="s">
        <v>1155</v>
      </c>
      <c r="B260" s="3200" t="s">
        <v>3106</v>
      </c>
      <c r="C260" s="3201">
        <v>0.109</v>
      </c>
      <c r="D260" s="3201">
        <v>0.111</v>
      </c>
      <c r="E260" s="3201">
        <v>0.13100000000000001</v>
      </c>
      <c r="F260" s="3201">
        <v>0.126</v>
      </c>
      <c r="G260" s="3202">
        <v>0.11899999999999999</v>
      </c>
    </row>
    <row r="261" spans="1:7">
      <c r="A261" s="3211" t="s">
        <v>1155</v>
      </c>
      <c r="B261" s="3200" t="s">
        <v>3107</v>
      </c>
      <c r="C261" s="3201">
        <v>0.1</v>
      </c>
      <c r="D261" s="3201">
        <v>0.1</v>
      </c>
      <c r="E261" s="3201">
        <v>0.11799999999999999</v>
      </c>
      <c r="F261" s="3201">
        <v>0.108</v>
      </c>
      <c r="G261" s="3202">
        <v>0.107</v>
      </c>
    </row>
    <row r="262" spans="1:7">
      <c r="A262" s="3211" t="s">
        <v>1155</v>
      </c>
      <c r="B262" s="3200" t="s">
        <v>3108</v>
      </c>
      <c r="C262" s="3201">
        <v>0.1</v>
      </c>
      <c r="D262" s="3201">
        <v>0.1</v>
      </c>
      <c r="E262" s="3201">
        <v>0.1</v>
      </c>
      <c r="F262" s="3201">
        <v>0.14099999999999999</v>
      </c>
      <c r="G262" s="3202">
        <v>0.1</v>
      </c>
    </row>
    <row r="263" spans="1:7">
      <c r="A263" s="3211" t="s">
        <v>1155</v>
      </c>
      <c r="B263" s="3200" t="s">
        <v>3109</v>
      </c>
      <c r="C263" s="3201">
        <v>0.14799999999999999</v>
      </c>
      <c r="D263" s="3201">
        <v>0.14799999999999999</v>
      </c>
      <c r="E263" s="3201">
        <v>0.15</v>
      </c>
      <c r="F263" s="3201">
        <v>0.14699999999999999</v>
      </c>
      <c r="G263" s="3202">
        <v>0.15</v>
      </c>
    </row>
    <row r="264" spans="1:7">
      <c r="A264" s="3211" t="s">
        <v>1155</v>
      </c>
      <c r="B264" s="3200" t="s">
        <v>1148</v>
      </c>
      <c r="C264" s="3201">
        <v>0.14299999999999999</v>
      </c>
      <c r="D264" s="3201">
        <v>0.14299999999999999</v>
      </c>
      <c r="E264" s="3201">
        <v>0.15</v>
      </c>
      <c r="F264" s="3201">
        <v>0.14899999999999999</v>
      </c>
      <c r="G264" s="3202">
        <v>0.14599999999999999</v>
      </c>
    </row>
    <row r="265" spans="1:7">
      <c r="A265" s="3211" t="s">
        <v>1155</v>
      </c>
      <c r="B265" s="3200" t="s">
        <v>3110</v>
      </c>
      <c r="C265" s="3212"/>
      <c r="D265" s="3212"/>
      <c r="E265" s="3212"/>
      <c r="F265" s="3201">
        <v>0.05</v>
      </c>
      <c r="G265" s="3218"/>
    </row>
    <row r="266" spans="1:7">
      <c r="A266" s="3211" t="s">
        <v>1155</v>
      </c>
      <c r="B266" s="3200" t="s">
        <v>3111</v>
      </c>
      <c r="C266" s="3212"/>
      <c r="D266" s="3212"/>
      <c r="E266" s="3212"/>
      <c r="F266" s="3201">
        <v>0.05</v>
      </c>
      <c r="G266" s="3218"/>
    </row>
    <row r="267" spans="1:7">
      <c r="A267" s="3211" t="s">
        <v>1155</v>
      </c>
      <c r="B267" s="3200" t="s">
        <v>3112</v>
      </c>
      <c r="C267" s="3212"/>
      <c r="D267" s="3212"/>
      <c r="E267" s="3212"/>
      <c r="F267" s="3201">
        <v>0.05</v>
      </c>
      <c r="G267" s="3218"/>
    </row>
    <row r="268" spans="1:7">
      <c r="A268" s="3211" t="s">
        <v>1155</v>
      </c>
      <c r="B268" s="3200" t="s">
        <v>3113</v>
      </c>
      <c r="C268" s="3212"/>
      <c r="D268" s="3212"/>
      <c r="E268" s="3212"/>
      <c r="F268" s="3201">
        <v>0.05</v>
      </c>
      <c r="G268" s="3218"/>
    </row>
    <row r="269" spans="1:7">
      <c r="A269" s="3211" t="s">
        <v>1155</v>
      </c>
      <c r="B269" s="3200" t="s">
        <v>3114</v>
      </c>
      <c r="C269" s="3212"/>
      <c r="D269" s="3212"/>
      <c r="E269" s="3212"/>
      <c r="F269" s="3201">
        <v>0.05</v>
      </c>
      <c r="G269" s="3218"/>
    </row>
    <row r="270" spans="1:7">
      <c r="A270" s="3211" t="s">
        <v>1155</v>
      </c>
      <c r="B270" s="3200" t="s">
        <v>3115</v>
      </c>
      <c r="C270" s="3212"/>
      <c r="D270" s="3212"/>
      <c r="E270" s="3212"/>
      <c r="F270" s="3201">
        <v>0.05</v>
      </c>
      <c r="G270" s="3218"/>
    </row>
    <row r="271" spans="1:7">
      <c r="A271" s="3211" t="s">
        <v>1155</v>
      </c>
      <c r="B271" s="3200" t="s">
        <v>3116</v>
      </c>
      <c r="C271" s="3212"/>
      <c r="D271" s="3212"/>
      <c r="E271" s="3212"/>
      <c r="F271" s="3201">
        <v>0.05</v>
      </c>
      <c r="G271" s="3218"/>
    </row>
    <row r="272" spans="1:7">
      <c r="A272" s="3211" t="s">
        <v>1155</v>
      </c>
      <c r="B272" s="3200" t="s">
        <v>3117</v>
      </c>
      <c r="C272" s="3212"/>
      <c r="D272" s="3212"/>
      <c r="E272" s="3212"/>
      <c r="F272" s="3201">
        <v>0.05</v>
      </c>
      <c r="G272" s="3218"/>
    </row>
    <row r="273" spans="1:7">
      <c r="A273" s="3211" t="s">
        <v>1155</v>
      </c>
      <c r="B273" s="3200" t="s">
        <v>3118</v>
      </c>
      <c r="C273" s="3212"/>
      <c r="D273" s="3212"/>
      <c r="E273" s="3212"/>
      <c r="F273" s="3201">
        <v>0.05</v>
      </c>
      <c r="G273" s="3218"/>
    </row>
    <row r="274" spans="1:7">
      <c r="A274" s="3211" t="s">
        <v>1155</v>
      </c>
      <c r="B274" s="3200" t="s">
        <v>3119</v>
      </c>
      <c r="C274" s="3212"/>
      <c r="D274" s="3212"/>
      <c r="E274" s="3212"/>
      <c r="F274" s="3201">
        <v>0.05</v>
      </c>
      <c r="G274" s="3218"/>
    </row>
    <row r="275" spans="1:7">
      <c r="A275" s="3211" t="s">
        <v>1155</v>
      </c>
      <c r="B275" s="3200" t="s">
        <v>3120</v>
      </c>
      <c r="C275" s="3212"/>
      <c r="D275" s="3212"/>
      <c r="E275" s="3212"/>
      <c r="F275" s="3201">
        <v>0.05</v>
      </c>
      <c r="G275" s="3218"/>
    </row>
    <row r="276" spans="1:7" ht="14.25" thickBot="1">
      <c r="A276" s="3214" t="s">
        <v>1155</v>
      </c>
      <c r="B276" s="3204" t="s">
        <v>3121</v>
      </c>
      <c r="C276" s="3206"/>
      <c r="D276" s="3206"/>
      <c r="E276" s="3206"/>
      <c r="F276" s="3205">
        <v>0.05</v>
      </c>
      <c r="G276" s="3219"/>
    </row>
    <row r="277" spans="1:7">
      <c r="A277" s="3210" t="s">
        <v>1156</v>
      </c>
      <c r="B277" s="3196" t="s">
        <v>3122</v>
      </c>
      <c r="C277" s="3197">
        <v>0.15</v>
      </c>
      <c r="D277" s="3197">
        <v>0.15</v>
      </c>
      <c r="E277" s="3197">
        <v>0.15</v>
      </c>
      <c r="F277" s="3197">
        <v>0.15</v>
      </c>
      <c r="G277" s="3198">
        <v>0.15</v>
      </c>
    </row>
    <row r="278" spans="1:7">
      <c r="A278" s="3211" t="s">
        <v>1156</v>
      </c>
      <c r="B278" s="3200" t="s">
        <v>980</v>
      </c>
      <c r="C278" s="3201">
        <v>0.15</v>
      </c>
      <c r="D278" s="3201">
        <v>0.15</v>
      </c>
      <c r="E278" s="3201">
        <v>0.15</v>
      </c>
      <c r="F278" s="3201">
        <v>0.15</v>
      </c>
      <c r="G278" s="3202">
        <v>0.15</v>
      </c>
    </row>
    <row r="279" spans="1:7">
      <c r="A279" s="3211" t="s">
        <v>1156</v>
      </c>
      <c r="B279" s="3200" t="s">
        <v>3123</v>
      </c>
      <c r="C279" s="3201">
        <v>0.15</v>
      </c>
      <c r="D279" s="3201">
        <v>0.15</v>
      </c>
      <c r="E279" s="3201">
        <v>0.15</v>
      </c>
      <c r="F279" s="3201">
        <v>0.15</v>
      </c>
      <c r="G279" s="3202">
        <v>0.15</v>
      </c>
    </row>
    <row r="280" spans="1:7">
      <c r="A280" s="3211" t="s">
        <v>1156</v>
      </c>
      <c r="B280" s="3200" t="s">
        <v>3124</v>
      </c>
      <c r="C280" s="3201">
        <v>0.15</v>
      </c>
      <c r="D280" s="3201">
        <v>0.15</v>
      </c>
      <c r="E280" s="3201">
        <v>0.15</v>
      </c>
      <c r="F280" s="3201">
        <v>0.15</v>
      </c>
      <c r="G280" s="3202">
        <v>0.15</v>
      </c>
    </row>
    <row r="281" spans="1:7">
      <c r="A281" s="3211" t="s">
        <v>1156</v>
      </c>
      <c r="B281" s="3200" t="s">
        <v>3125</v>
      </c>
      <c r="C281" s="3201">
        <v>0.15</v>
      </c>
      <c r="D281" s="3201">
        <v>0.15</v>
      </c>
      <c r="E281" s="3201">
        <v>0.15</v>
      </c>
      <c r="F281" s="3201">
        <v>0.15</v>
      </c>
      <c r="G281" s="3202">
        <v>0.15</v>
      </c>
    </row>
    <row r="282" spans="1:7">
      <c r="A282" s="3211" t="s">
        <v>1156</v>
      </c>
      <c r="B282" s="3200" t="s">
        <v>3126</v>
      </c>
      <c r="C282" s="3201">
        <v>0.15</v>
      </c>
      <c r="D282" s="3201">
        <v>0.15</v>
      </c>
      <c r="E282" s="3201">
        <v>0.15</v>
      </c>
      <c r="F282" s="3201">
        <v>0.14499999999999999</v>
      </c>
      <c r="G282" s="3202">
        <v>0.15</v>
      </c>
    </row>
    <row r="283" spans="1:7">
      <c r="A283" s="3211" t="s">
        <v>1156</v>
      </c>
      <c r="B283" s="3200" t="s">
        <v>1021</v>
      </c>
      <c r="C283" s="3201">
        <v>0.15</v>
      </c>
      <c r="D283" s="3201">
        <v>0.15</v>
      </c>
      <c r="E283" s="3201">
        <v>0.15</v>
      </c>
      <c r="F283" s="3201">
        <v>0.14199999999999999</v>
      </c>
      <c r="G283" s="3202">
        <v>0.15</v>
      </c>
    </row>
    <row r="284" spans="1:7">
      <c r="A284" s="3211" t="s">
        <v>1156</v>
      </c>
      <c r="B284" s="3200" t="s">
        <v>1029</v>
      </c>
      <c r="C284" s="3201">
        <v>0.15</v>
      </c>
      <c r="D284" s="3201">
        <v>0.15</v>
      </c>
      <c r="E284" s="3201">
        <v>0.15</v>
      </c>
      <c r="F284" s="3201">
        <v>0.15</v>
      </c>
      <c r="G284" s="3202">
        <v>0.15</v>
      </c>
    </row>
    <row r="285" spans="1:7">
      <c r="A285" s="3211" t="s">
        <v>1156</v>
      </c>
      <c r="B285" s="3200" t="s">
        <v>1039</v>
      </c>
      <c r="C285" s="3201">
        <v>0.15</v>
      </c>
      <c r="D285" s="3201">
        <v>0.15</v>
      </c>
      <c r="E285" s="3201">
        <v>0.15</v>
      </c>
      <c r="F285" s="3201">
        <v>0.15</v>
      </c>
      <c r="G285" s="3202">
        <v>0.15</v>
      </c>
    </row>
    <row r="286" spans="1:7">
      <c r="A286" s="3211" t="s">
        <v>1156</v>
      </c>
      <c r="B286" s="3200" t="s">
        <v>1046</v>
      </c>
      <c r="C286" s="3201">
        <v>0.14499999999999999</v>
      </c>
      <c r="D286" s="3201">
        <v>0.14499999999999999</v>
      </c>
      <c r="E286" s="3201">
        <v>0.15</v>
      </c>
      <c r="F286" s="3201">
        <v>0.14099999999999999</v>
      </c>
      <c r="G286" s="3202">
        <v>0.14499999999999999</v>
      </c>
    </row>
    <row r="287" spans="1:7">
      <c r="A287" s="3211" t="s">
        <v>1156</v>
      </c>
      <c r="B287" s="3200" t="s">
        <v>3127</v>
      </c>
      <c r="C287" s="3201">
        <v>0.11</v>
      </c>
      <c r="D287" s="3201">
        <v>0.111</v>
      </c>
      <c r="E287" s="3201">
        <v>0.14099999999999999</v>
      </c>
      <c r="F287" s="3201">
        <v>0.11</v>
      </c>
      <c r="G287" s="3202">
        <v>0.12</v>
      </c>
    </row>
    <row r="288" spans="1:7">
      <c r="A288" s="3211" t="s">
        <v>1156</v>
      </c>
      <c r="B288" s="3200" t="s">
        <v>1067</v>
      </c>
      <c r="C288" s="3201">
        <v>0.14199999999999999</v>
      </c>
      <c r="D288" s="3201">
        <v>0.14299999999999999</v>
      </c>
      <c r="E288" s="3201">
        <v>0.15</v>
      </c>
      <c r="F288" s="3201">
        <v>0.14199999999999999</v>
      </c>
      <c r="G288" s="3202">
        <v>0.14399999999999999</v>
      </c>
    </row>
    <row r="289" spans="1:7">
      <c r="A289" s="3211" t="s">
        <v>1156</v>
      </c>
      <c r="B289" s="3200" t="s">
        <v>3128</v>
      </c>
      <c r="C289" s="3201">
        <v>0.14299999999999999</v>
      </c>
      <c r="D289" s="3201">
        <v>0.14299999999999999</v>
      </c>
      <c r="E289" s="3201">
        <v>0.14799999999999999</v>
      </c>
      <c r="F289" s="3201">
        <v>0.14399999999999999</v>
      </c>
      <c r="G289" s="3202">
        <v>0.14399999999999999</v>
      </c>
    </row>
    <row r="290" spans="1:7">
      <c r="A290" s="3211" t="s">
        <v>1156</v>
      </c>
      <c r="B290" s="3200" t="s">
        <v>1090</v>
      </c>
      <c r="C290" s="3201">
        <v>0.14799999999999999</v>
      </c>
      <c r="D290" s="3201">
        <v>0.14899999999999999</v>
      </c>
      <c r="E290" s="3201">
        <v>0.15</v>
      </c>
      <c r="F290" s="3201">
        <v>0.127</v>
      </c>
      <c r="G290" s="3202">
        <v>0.15</v>
      </c>
    </row>
    <row r="291" spans="1:7">
      <c r="A291" s="3211" t="s">
        <v>1156</v>
      </c>
      <c r="B291" s="3200" t="s">
        <v>1098</v>
      </c>
      <c r="C291" s="3201">
        <v>0.15</v>
      </c>
      <c r="D291" s="3201">
        <v>0.15</v>
      </c>
      <c r="E291" s="3201">
        <v>0.15</v>
      </c>
      <c r="F291" s="3201">
        <v>0.14899999999999999</v>
      </c>
      <c r="G291" s="3202">
        <v>0.15</v>
      </c>
    </row>
    <row r="292" spans="1:7">
      <c r="A292" s="3211" t="s">
        <v>1156</v>
      </c>
      <c r="B292" s="3200" t="s">
        <v>1104</v>
      </c>
      <c r="C292" s="3201">
        <v>0.15</v>
      </c>
      <c r="D292" s="3201">
        <v>0.15</v>
      </c>
      <c r="E292" s="3201">
        <v>0.15</v>
      </c>
      <c r="F292" s="3201">
        <v>0.14399999999999999</v>
      </c>
      <c r="G292" s="3202">
        <v>0.15</v>
      </c>
    </row>
    <row r="293" spans="1:7">
      <c r="A293" s="3211" t="s">
        <v>1156</v>
      </c>
      <c r="B293" s="3200" t="s">
        <v>2951</v>
      </c>
      <c r="C293" s="3201">
        <v>0.15</v>
      </c>
      <c r="D293" s="3201">
        <v>0.15</v>
      </c>
      <c r="E293" s="3201">
        <v>0.15</v>
      </c>
      <c r="F293" s="3201">
        <v>0.14499999999999999</v>
      </c>
      <c r="G293" s="3202">
        <v>0.15</v>
      </c>
    </row>
    <row r="294" spans="1:7">
      <c r="A294" s="3211" t="s">
        <v>1156</v>
      </c>
      <c r="B294" s="3200" t="s">
        <v>3129</v>
      </c>
      <c r="C294" s="3201">
        <v>0.15</v>
      </c>
      <c r="D294" s="3201">
        <v>0.15</v>
      </c>
      <c r="E294" s="3201">
        <v>0.15</v>
      </c>
      <c r="F294" s="3201">
        <v>0.14899999999999999</v>
      </c>
      <c r="G294" s="3202">
        <v>0.15</v>
      </c>
    </row>
    <row r="295" spans="1:7">
      <c r="A295" s="3211" t="s">
        <v>1156</v>
      </c>
      <c r="B295" s="3200" t="s">
        <v>1139</v>
      </c>
      <c r="C295" s="3201">
        <v>0.15</v>
      </c>
      <c r="D295" s="3201">
        <v>0.15</v>
      </c>
      <c r="E295" s="3201">
        <v>0.15</v>
      </c>
      <c r="F295" s="3201">
        <v>0.14799999999999999</v>
      </c>
      <c r="G295" s="3202">
        <v>0.15</v>
      </c>
    </row>
    <row r="296" spans="1:7">
      <c r="A296" s="3211" t="s">
        <v>1156</v>
      </c>
      <c r="B296" s="3200" t="s">
        <v>1142</v>
      </c>
      <c r="C296" s="3201">
        <v>0.15</v>
      </c>
      <c r="D296" s="3201">
        <v>0.15</v>
      </c>
      <c r="E296" s="3201">
        <v>0.15</v>
      </c>
      <c r="F296" s="3201">
        <v>0.14399999999999999</v>
      </c>
      <c r="G296" s="3202">
        <v>0.15</v>
      </c>
    </row>
    <row r="297" spans="1:7">
      <c r="A297" s="3211" t="s">
        <v>1156</v>
      </c>
      <c r="B297" s="3200" t="s">
        <v>1144</v>
      </c>
      <c r="C297" s="3201">
        <v>0.15</v>
      </c>
      <c r="D297" s="3201">
        <v>0.15</v>
      </c>
      <c r="E297" s="3201">
        <v>0.15</v>
      </c>
      <c r="F297" s="3201">
        <v>0.14499999999999999</v>
      </c>
      <c r="G297" s="3202">
        <v>0.15</v>
      </c>
    </row>
    <row r="298" spans="1:7">
      <c r="A298" s="3211" t="s">
        <v>1156</v>
      </c>
      <c r="B298" s="3200" t="s">
        <v>1147</v>
      </c>
      <c r="C298" s="3201">
        <v>0.15</v>
      </c>
      <c r="D298" s="3201">
        <v>0.15</v>
      </c>
      <c r="E298" s="3201">
        <v>0.15</v>
      </c>
      <c r="F298" s="3201">
        <v>0.15</v>
      </c>
      <c r="G298" s="3202">
        <v>0.15</v>
      </c>
    </row>
    <row r="299" spans="1:7">
      <c r="A299" s="3211" t="s">
        <v>1156</v>
      </c>
      <c r="B299" s="3220" t="s">
        <v>2953</v>
      </c>
      <c r="C299" s="3201">
        <v>0.15</v>
      </c>
      <c r="D299" s="3201">
        <v>0.15</v>
      </c>
      <c r="E299" s="3201">
        <v>0.15</v>
      </c>
      <c r="F299" s="3201">
        <v>0.14499999999999999</v>
      </c>
      <c r="G299" s="3202">
        <v>0.15</v>
      </c>
    </row>
    <row r="300" spans="1:7">
      <c r="A300" s="3211" t="s">
        <v>1156</v>
      </c>
      <c r="B300" s="3220" t="s">
        <v>1119</v>
      </c>
      <c r="C300" s="3201">
        <v>0.15</v>
      </c>
      <c r="D300" s="3201">
        <v>0.15</v>
      </c>
      <c r="E300" s="3201">
        <v>0.15</v>
      </c>
      <c r="F300" s="3201">
        <v>0.14599999999999999</v>
      </c>
      <c r="G300" s="3202">
        <v>0.15</v>
      </c>
    </row>
    <row r="301" spans="1:7">
      <c r="A301" s="3211" t="s">
        <v>1156</v>
      </c>
      <c r="B301" s="3220" t="s">
        <v>1125</v>
      </c>
      <c r="C301" s="3201">
        <v>0.126</v>
      </c>
      <c r="D301" s="3201">
        <v>0.124</v>
      </c>
      <c r="E301" s="3201">
        <v>0.14099999999999999</v>
      </c>
      <c r="F301" s="3201">
        <v>0.14399999999999999</v>
      </c>
      <c r="G301" s="3202">
        <v>0.13</v>
      </c>
    </row>
    <row r="302" spans="1:7">
      <c r="A302" s="3211" t="s">
        <v>1156</v>
      </c>
      <c r="B302" s="3200" t="s">
        <v>3130</v>
      </c>
      <c r="C302" s="3201">
        <v>0.15</v>
      </c>
      <c r="D302" s="3201">
        <v>0.15</v>
      </c>
      <c r="E302" s="3201">
        <v>0.15</v>
      </c>
      <c r="F302" s="3201">
        <v>0.14699999999999999</v>
      </c>
      <c r="G302" s="3202">
        <v>0.15</v>
      </c>
    </row>
    <row r="303" spans="1:7">
      <c r="A303" s="3211" t="s">
        <v>1156</v>
      </c>
      <c r="B303" s="3200" t="s">
        <v>2955</v>
      </c>
      <c r="C303" s="3201">
        <v>0.15</v>
      </c>
      <c r="D303" s="3201">
        <v>0.15</v>
      </c>
      <c r="E303" s="3201">
        <v>0.15</v>
      </c>
      <c r="F303" s="3201">
        <v>0.14199999999999999</v>
      </c>
      <c r="G303" s="3202">
        <v>0.15</v>
      </c>
    </row>
    <row r="304" spans="1:7">
      <c r="A304" s="3211" t="s">
        <v>1156</v>
      </c>
      <c r="B304" s="3200" t="s">
        <v>2956</v>
      </c>
      <c r="C304" s="3201">
        <v>0.15</v>
      </c>
      <c r="D304" s="3201">
        <v>0.15</v>
      </c>
      <c r="E304" s="3201">
        <v>0.15</v>
      </c>
      <c r="F304" s="3201">
        <v>0.14499999999999999</v>
      </c>
      <c r="G304" s="3202">
        <v>0.15</v>
      </c>
    </row>
    <row r="305" spans="1:7">
      <c r="A305" s="3211" t="s">
        <v>1156</v>
      </c>
      <c r="B305" s="3200" t="s">
        <v>2957</v>
      </c>
      <c r="C305" s="3201">
        <v>0.15</v>
      </c>
      <c r="D305" s="3201">
        <v>0.15</v>
      </c>
      <c r="E305" s="3201">
        <v>0.15</v>
      </c>
      <c r="F305" s="3201">
        <v>0.111</v>
      </c>
      <c r="G305" s="3202">
        <v>0.15</v>
      </c>
    </row>
    <row r="306" spans="1:7">
      <c r="A306" s="3211" t="s">
        <v>1156</v>
      </c>
      <c r="B306" s="3200" t="s">
        <v>3131</v>
      </c>
      <c r="C306" s="3201">
        <v>0.15</v>
      </c>
      <c r="D306" s="3201">
        <v>0.15</v>
      </c>
      <c r="E306" s="3201">
        <v>0.15</v>
      </c>
      <c r="F306" s="3201">
        <v>0.126</v>
      </c>
      <c r="G306" s="3202">
        <v>0.15</v>
      </c>
    </row>
    <row r="307" spans="1:7">
      <c r="A307" s="3211" t="s">
        <v>1156</v>
      </c>
      <c r="B307" s="3200" t="s">
        <v>2959</v>
      </c>
      <c r="C307" s="3201">
        <v>0.15</v>
      </c>
      <c r="D307" s="3201">
        <v>0.15</v>
      </c>
      <c r="E307" s="3201">
        <v>0.15</v>
      </c>
      <c r="F307" s="3201">
        <v>0.12</v>
      </c>
      <c r="G307" s="3202">
        <v>0.15</v>
      </c>
    </row>
    <row r="308" spans="1:7">
      <c r="A308" s="3211" t="s">
        <v>1156</v>
      </c>
      <c r="B308" s="3200" t="s">
        <v>3132</v>
      </c>
      <c r="C308" s="3201">
        <v>0.15</v>
      </c>
      <c r="D308" s="3201">
        <v>0.15</v>
      </c>
      <c r="E308" s="3201">
        <v>0.15</v>
      </c>
      <c r="F308" s="3201">
        <v>0.13</v>
      </c>
      <c r="G308" s="3202">
        <v>0.15</v>
      </c>
    </row>
    <row r="309" spans="1:7">
      <c r="A309" s="3211" t="s">
        <v>1156</v>
      </c>
      <c r="B309" s="3200" t="s">
        <v>3133</v>
      </c>
      <c r="C309" s="3201">
        <v>0.15</v>
      </c>
      <c r="D309" s="3201">
        <v>0.15</v>
      </c>
      <c r="E309" s="3201">
        <v>0.15</v>
      </c>
      <c r="F309" s="3201">
        <v>0.14099999999999999</v>
      </c>
      <c r="G309" s="3202">
        <v>0.15</v>
      </c>
    </row>
    <row r="310" spans="1:7">
      <c r="A310" s="3211" t="s">
        <v>1156</v>
      </c>
      <c r="B310" s="3200" t="s">
        <v>2962</v>
      </c>
      <c r="C310" s="3201">
        <v>0.15</v>
      </c>
      <c r="D310" s="3201">
        <v>0.15</v>
      </c>
      <c r="E310" s="3201">
        <v>0.15</v>
      </c>
      <c r="F310" s="3201">
        <v>0.15</v>
      </c>
      <c r="G310" s="3202">
        <v>0.15</v>
      </c>
    </row>
    <row r="311" spans="1:7">
      <c r="A311" s="3211" t="s">
        <v>1156</v>
      </c>
      <c r="B311" s="3200" t="s">
        <v>3134</v>
      </c>
      <c r="C311" s="3201">
        <v>0.13200000000000001</v>
      </c>
      <c r="D311" s="3201">
        <v>0.13300000000000001</v>
      </c>
      <c r="E311" s="3201">
        <v>0.14499999999999999</v>
      </c>
      <c r="F311" s="3201">
        <v>0.14199999999999999</v>
      </c>
      <c r="G311" s="3202">
        <v>0.14000000000000001</v>
      </c>
    </row>
    <row r="312" spans="1:7">
      <c r="A312" s="3211" t="s">
        <v>1156</v>
      </c>
      <c r="B312" s="3200" t="s">
        <v>2964</v>
      </c>
      <c r="C312" s="3201">
        <v>0.13800000000000001</v>
      </c>
      <c r="D312" s="3201">
        <v>0.14000000000000001</v>
      </c>
      <c r="E312" s="3201">
        <v>0.14599999999999999</v>
      </c>
      <c r="F312" s="3201">
        <v>0.14899999999999999</v>
      </c>
      <c r="G312" s="3202">
        <v>0.14199999999999999</v>
      </c>
    </row>
    <row r="313" spans="1:7">
      <c r="A313" s="3211" t="s">
        <v>1156</v>
      </c>
      <c r="B313" s="3200" t="s">
        <v>2965</v>
      </c>
      <c r="C313" s="3201">
        <v>0.125</v>
      </c>
      <c r="D313" s="3201">
        <v>0.127</v>
      </c>
      <c r="E313" s="3201">
        <v>0.14399999999999999</v>
      </c>
      <c r="F313" s="3201">
        <v>0.115</v>
      </c>
      <c r="G313" s="3202">
        <v>0.13600000000000001</v>
      </c>
    </row>
    <row r="314" spans="1:7">
      <c r="A314" s="3211" t="s">
        <v>1156</v>
      </c>
      <c r="B314" s="3200" t="s">
        <v>3135</v>
      </c>
      <c r="C314" s="3217"/>
      <c r="D314" s="3217"/>
      <c r="E314" s="3217"/>
      <c r="F314" s="3201">
        <v>0.05</v>
      </c>
      <c r="G314" s="3218"/>
    </row>
    <row r="315" spans="1:7">
      <c r="A315" s="3211" t="s">
        <v>1156</v>
      </c>
      <c r="B315" s="3200" t="s">
        <v>3136</v>
      </c>
      <c r="C315" s="3217"/>
      <c r="D315" s="3217"/>
      <c r="E315" s="3217"/>
      <c r="F315" s="3201">
        <v>0.05</v>
      </c>
      <c r="G315" s="3218"/>
    </row>
    <row r="316" spans="1:7">
      <c r="A316" s="3211" t="s">
        <v>1156</v>
      </c>
      <c r="B316" s="3200" t="s">
        <v>3137</v>
      </c>
      <c r="C316" s="3212"/>
      <c r="D316" s="3212"/>
      <c r="E316" s="3212"/>
      <c r="F316" s="3201">
        <v>0.05</v>
      </c>
      <c r="G316" s="3218"/>
    </row>
    <row r="317" spans="1:7">
      <c r="A317" s="3211" t="s">
        <v>1156</v>
      </c>
      <c r="B317" s="3200" t="s">
        <v>3138</v>
      </c>
      <c r="C317" s="3212"/>
      <c r="D317" s="3212"/>
      <c r="E317" s="3212"/>
      <c r="F317" s="3201">
        <v>0.05</v>
      </c>
      <c r="G317" s="3218"/>
    </row>
    <row r="318" spans="1:7">
      <c r="A318" s="3211" t="s">
        <v>1156</v>
      </c>
      <c r="B318" s="3200" t="s">
        <v>3139</v>
      </c>
      <c r="C318" s="3212"/>
      <c r="D318" s="3212"/>
      <c r="E318" s="3212"/>
      <c r="F318" s="3201">
        <v>0.05</v>
      </c>
      <c r="G318" s="3218"/>
    </row>
    <row r="319" spans="1:7">
      <c r="A319" s="3211" t="s">
        <v>1156</v>
      </c>
      <c r="B319" s="3200" t="s">
        <v>3140</v>
      </c>
      <c r="C319" s="3212"/>
      <c r="D319" s="3212"/>
      <c r="E319" s="3212"/>
      <c r="F319" s="3201">
        <v>0.05</v>
      </c>
      <c r="G319" s="3218"/>
    </row>
    <row r="320" spans="1:7">
      <c r="A320" s="3211" t="s">
        <v>1156</v>
      </c>
      <c r="B320" s="3200" t="s">
        <v>3141</v>
      </c>
      <c r="C320" s="3212"/>
      <c r="D320" s="3212"/>
      <c r="E320" s="3212"/>
      <c r="F320" s="3201">
        <v>0.05</v>
      </c>
      <c r="G320" s="3218"/>
    </row>
    <row r="321" spans="1:7">
      <c r="A321" s="3211" t="s">
        <v>1156</v>
      </c>
      <c r="B321" s="3200" t="s">
        <v>3142</v>
      </c>
      <c r="C321" s="3212"/>
      <c r="D321" s="3212"/>
      <c r="E321" s="3212"/>
      <c r="F321" s="3201">
        <v>0.05</v>
      </c>
      <c r="G321" s="3218"/>
    </row>
    <row r="322" spans="1:7">
      <c r="A322" s="3211" t="s">
        <v>1156</v>
      </c>
      <c r="B322" s="3200" t="s">
        <v>3143</v>
      </c>
      <c r="C322" s="3212"/>
      <c r="D322" s="3212"/>
      <c r="E322" s="3212"/>
      <c r="F322" s="3201">
        <v>0.05</v>
      </c>
      <c r="G322" s="3218"/>
    </row>
    <row r="323" spans="1:7">
      <c r="A323" s="3211" t="s">
        <v>1156</v>
      </c>
      <c r="B323" s="3200" t="s">
        <v>3144</v>
      </c>
      <c r="C323" s="3212"/>
      <c r="D323" s="3212"/>
      <c r="E323" s="3212"/>
      <c r="F323" s="3201">
        <v>0.05</v>
      </c>
      <c r="G323" s="3218"/>
    </row>
    <row r="324" spans="1:7">
      <c r="A324" s="3211" t="s">
        <v>1156</v>
      </c>
      <c r="B324" s="3200" t="s">
        <v>3145</v>
      </c>
      <c r="C324" s="3212"/>
      <c r="D324" s="3212"/>
      <c r="E324" s="3212"/>
      <c r="F324" s="3201">
        <v>0.05</v>
      </c>
      <c r="G324" s="3218"/>
    </row>
    <row r="325" spans="1:7">
      <c r="A325" s="3211" t="s">
        <v>1156</v>
      </c>
      <c r="B325" s="3200" t="s">
        <v>3146</v>
      </c>
      <c r="C325" s="3212"/>
      <c r="D325" s="3212"/>
      <c r="E325" s="3212"/>
      <c r="F325" s="3201">
        <v>0.05</v>
      </c>
      <c r="G325" s="3218"/>
    </row>
    <row r="326" spans="1:7" ht="14.25" thickBot="1">
      <c r="A326" s="3214" t="s">
        <v>1156</v>
      </c>
      <c r="B326" s="3204" t="s">
        <v>3147</v>
      </c>
      <c r="C326" s="3206"/>
      <c r="D326" s="3206"/>
      <c r="E326" s="3206"/>
      <c r="F326" s="3205">
        <v>0.05</v>
      </c>
      <c r="G326" s="3219"/>
    </row>
    <row r="327" spans="1:7">
      <c r="A327" s="3210" t="s">
        <v>1157</v>
      </c>
      <c r="B327" s="3196" t="s">
        <v>3148</v>
      </c>
      <c r="C327" s="3197">
        <v>0.15</v>
      </c>
      <c r="D327" s="3197">
        <v>0.15</v>
      </c>
      <c r="E327" s="3197">
        <v>0.15</v>
      </c>
      <c r="F327" s="3197">
        <v>0.15</v>
      </c>
      <c r="G327" s="3198">
        <v>0.15</v>
      </c>
    </row>
    <row r="328" spans="1:7">
      <c r="A328" s="3211" t="s">
        <v>1157</v>
      </c>
      <c r="B328" s="3200" t="s">
        <v>981</v>
      </c>
      <c r="C328" s="3201">
        <v>0.15</v>
      </c>
      <c r="D328" s="3201">
        <v>0.15</v>
      </c>
      <c r="E328" s="3201">
        <v>0.15</v>
      </c>
      <c r="F328" s="3201">
        <v>0.126</v>
      </c>
      <c r="G328" s="3202">
        <v>0.15</v>
      </c>
    </row>
    <row r="329" spans="1:7">
      <c r="A329" s="3211" t="s">
        <v>1157</v>
      </c>
      <c r="B329" s="3200" t="s">
        <v>3149</v>
      </c>
      <c r="C329" s="3201">
        <v>0.15</v>
      </c>
      <c r="D329" s="3201">
        <v>0.15</v>
      </c>
      <c r="E329" s="3201">
        <v>0.15</v>
      </c>
      <c r="F329" s="3201">
        <v>0.15</v>
      </c>
      <c r="G329" s="3202">
        <v>0.15</v>
      </c>
    </row>
    <row r="330" spans="1:7">
      <c r="A330" s="3211" t="s">
        <v>1157</v>
      </c>
      <c r="B330" s="3200" t="s">
        <v>3150</v>
      </c>
      <c r="C330" s="3201">
        <v>0.15</v>
      </c>
      <c r="D330" s="3201">
        <v>0.15</v>
      </c>
      <c r="E330" s="3201">
        <v>0.15</v>
      </c>
      <c r="F330" s="3201">
        <v>0.15</v>
      </c>
      <c r="G330" s="3202">
        <v>0.15</v>
      </c>
    </row>
    <row r="331" spans="1:7">
      <c r="A331" s="3211" t="s">
        <v>1157</v>
      </c>
      <c r="B331" s="3200" t="s">
        <v>1008</v>
      </c>
      <c r="C331" s="3201">
        <v>0.15</v>
      </c>
      <c r="D331" s="3201">
        <v>0.15</v>
      </c>
      <c r="E331" s="3201">
        <v>0.15</v>
      </c>
      <c r="F331" s="3201">
        <v>0.15</v>
      </c>
      <c r="G331" s="3202">
        <v>0.15</v>
      </c>
    </row>
    <row r="332" spans="1:7">
      <c r="A332" s="3211" t="s">
        <v>1157</v>
      </c>
      <c r="B332" s="3200" t="s">
        <v>2982</v>
      </c>
      <c r="C332" s="3201">
        <v>0.15</v>
      </c>
      <c r="D332" s="3201">
        <v>0.15</v>
      </c>
      <c r="E332" s="3201">
        <v>0.15</v>
      </c>
      <c r="F332" s="3201">
        <v>0.15</v>
      </c>
      <c r="G332" s="3202">
        <v>0.15</v>
      </c>
    </row>
    <row r="333" spans="1:7">
      <c r="A333" s="3211" t="s">
        <v>1157</v>
      </c>
      <c r="B333" s="3200" t="s">
        <v>3151</v>
      </c>
      <c r="C333" s="3201">
        <v>0.14899999999999999</v>
      </c>
      <c r="D333" s="3201">
        <v>0.14899999999999999</v>
      </c>
      <c r="E333" s="3201">
        <v>0.15</v>
      </c>
      <c r="F333" s="3201">
        <v>0.11600000000000001</v>
      </c>
      <c r="G333" s="3202">
        <v>0.15</v>
      </c>
    </row>
    <row r="334" spans="1:7">
      <c r="A334" s="3211" t="s">
        <v>1157</v>
      </c>
      <c r="B334" s="3200" t="s">
        <v>1030</v>
      </c>
      <c r="C334" s="3201">
        <v>0.15</v>
      </c>
      <c r="D334" s="3201">
        <v>0.15</v>
      </c>
      <c r="E334" s="3201">
        <v>0.15</v>
      </c>
      <c r="F334" s="3201">
        <v>0.13</v>
      </c>
      <c r="G334" s="3202">
        <v>0.15</v>
      </c>
    </row>
    <row r="335" spans="1:7">
      <c r="A335" s="3211" t="s">
        <v>1157</v>
      </c>
      <c r="B335" s="3200" t="s">
        <v>1040</v>
      </c>
      <c r="C335" s="3201">
        <v>0.15</v>
      </c>
      <c r="D335" s="3201">
        <v>0.15</v>
      </c>
      <c r="E335" s="3201">
        <v>0.15</v>
      </c>
      <c r="F335" s="3201">
        <v>0.14399999999999999</v>
      </c>
      <c r="G335" s="3202">
        <v>0.15</v>
      </c>
    </row>
    <row r="336" spans="1:7">
      <c r="A336" s="3211" t="s">
        <v>1157</v>
      </c>
      <c r="B336" s="3200" t="s">
        <v>2984</v>
      </c>
      <c r="C336" s="3201">
        <v>0.15</v>
      </c>
      <c r="D336" s="3201">
        <v>0.15</v>
      </c>
      <c r="E336" s="3201">
        <v>0.15</v>
      </c>
      <c r="F336" s="3201">
        <v>0.14199999999999999</v>
      </c>
      <c r="G336" s="3202">
        <v>0.15</v>
      </c>
    </row>
    <row r="337" spans="1:7">
      <c r="A337" s="3211" t="s">
        <v>1157</v>
      </c>
      <c r="B337" s="3200" t="s">
        <v>3152</v>
      </c>
      <c r="C337" s="3201">
        <v>0.15</v>
      </c>
      <c r="D337" s="3201">
        <v>0.15</v>
      </c>
      <c r="E337" s="3201">
        <v>0.15</v>
      </c>
      <c r="F337" s="3201">
        <v>0.14499999999999999</v>
      </c>
      <c r="G337" s="3202">
        <v>0.15</v>
      </c>
    </row>
    <row r="338" spans="1:7">
      <c r="A338" s="3211" t="s">
        <v>1157</v>
      </c>
      <c r="B338" s="3200" t="s">
        <v>1068</v>
      </c>
      <c r="C338" s="3201">
        <v>0.15</v>
      </c>
      <c r="D338" s="3201">
        <v>0.15</v>
      </c>
      <c r="E338" s="3201">
        <v>0.15</v>
      </c>
      <c r="F338" s="3201">
        <v>0.15</v>
      </c>
      <c r="G338" s="3202">
        <v>0.15</v>
      </c>
    </row>
    <row r="339" spans="1:7">
      <c r="A339" s="3211" t="s">
        <v>1157</v>
      </c>
      <c r="B339" s="3200" t="s">
        <v>1076</v>
      </c>
      <c r="C339" s="3201">
        <v>0.15</v>
      </c>
      <c r="D339" s="3201">
        <v>0.15</v>
      </c>
      <c r="E339" s="3201">
        <v>0.15</v>
      </c>
      <c r="F339" s="3201">
        <v>0.14699999999999999</v>
      </c>
      <c r="G339" s="3202">
        <v>0.15</v>
      </c>
    </row>
    <row r="340" spans="1:7">
      <c r="A340" s="3211" t="s">
        <v>1157</v>
      </c>
      <c r="B340" s="3200" t="s">
        <v>3153</v>
      </c>
      <c r="C340" s="3201">
        <v>0.14599999999999999</v>
      </c>
      <c r="D340" s="3201">
        <v>0.14599999999999999</v>
      </c>
      <c r="E340" s="3201">
        <v>0.15</v>
      </c>
      <c r="F340" s="3201">
        <v>0.14099999999999999</v>
      </c>
      <c r="G340" s="3202">
        <v>0.14699999999999999</v>
      </c>
    </row>
    <row r="341" spans="1:7">
      <c r="A341" s="3211" t="s">
        <v>1157</v>
      </c>
      <c r="B341" s="3200" t="s">
        <v>1054</v>
      </c>
      <c r="C341" s="3201">
        <v>0.126</v>
      </c>
      <c r="D341" s="3201">
        <v>0.124</v>
      </c>
      <c r="E341" s="3201">
        <v>0.14099999999999999</v>
      </c>
      <c r="F341" s="3201">
        <v>0.14399999999999999</v>
      </c>
      <c r="G341" s="3202">
        <v>0.13</v>
      </c>
    </row>
    <row r="342" spans="1:7">
      <c r="A342" s="3211" t="s">
        <v>1157</v>
      </c>
      <c r="B342" s="3200" t="s">
        <v>3154</v>
      </c>
      <c r="C342" s="3201">
        <v>0.15</v>
      </c>
      <c r="D342" s="3201">
        <v>0.15</v>
      </c>
      <c r="E342" s="3201">
        <v>0.15</v>
      </c>
      <c r="F342" s="3201">
        <v>0.14399999999999999</v>
      </c>
      <c r="G342" s="3202">
        <v>0.15</v>
      </c>
    </row>
    <row r="343" spans="1:7">
      <c r="A343" s="3211" t="s">
        <v>1157</v>
      </c>
      <c r="B343" s="3200" t="s">
        <v>1105</v>
      </c>
      <c r="C343" s="3201">
        <v>0.15</v>
      </c>
      <c r="D343" s="3201">
        <v>0.15</v>
      </c>
      <c r="E343" s="3201">
        <v>0.15</v>
      </c>
      <c r="F343" s="3201">
        <v>0.128</v>
      </c>
      <c r="G343" s="3202">
        <v>0.15</v>
      </c>
    </row>
    <row r="344" spans="1:7">
      <c r="A344" s="3211" t="s">
        <v>1157</v>
      </c>
      <c r="B344" s="3200" t="s">
        <v>1113</v>
      </c>
      <c r="C344" s="3201">
        <v>0.15</v>
      </c>
      <c r="D344" s="3201">
        <v>0.15</v>
      </c>
      <c r="E344" s="3201">
        <v>0.15</v>
      </c>
      <c r="F344" s="3201">
        <v>0.14799999999999999</v>
      </c>
      <c r="G344" s="3202">
        <v>0.15</v>
      </c>
    </row>
    <row r="345" spans="1:7">
      <c r="A345" s="3211" t="s">
        <v>1157</v>
      </c>
      <c r="B345" s="3200" t="s">
        <v>2988</v>
      </c>
      <c r="C345" s="3201">
        <v>0.15</v>
      </c>
      <c r="D345" s="3201">
        <v>0.15</v>
      </c>
      <c r="E345" s="3201">
        <v>0.15</v>
      </c>
      <c r="F345" s="3201">
        <v>0.13800000000000001</v>
      </c>
      <c r="G345" s="3202">
        <v>0.15</v>
      </c>
    </row>
    <row r="346" spans="1:7">
      <c r="A346" s="3211" t="s">
        <v>1157</v>
      </c>
      <c r="B346" s="3200" t="s">
        <v>3155</v>
      </c>
      <c r="C346" s="3201">
        <v>0.15</v>
      </c>
      <c r="D346" s="3201">
        <v>0.15</v>
      </c>
      <c r="E346" s="3201">
        <v>0.15</v>
      </c>
      <c r="F346" s="3201">
        <v>0.14399999999999999</v>
      </c>
      <c r="G346" s="3202">
        <v>0.15</v>
      </c>
    </row>
    <row r="347" spans="1:7">
      <c r="A347" s="3211" t="s">
        <v>1157</v>
      </c>
      <c r="B347" s="3200" t="s">
        <v>1091</v>
      </c>
      <c r="C347" s="3201">
        <v>0.15</v>
      </c>
      <c r="D347" s="3201">
        <v>0.15</v>
      </c>
      <c r="E347" s="3201">
        <v>0.15</v>
      </c>
      <c r="F347" s="3201">
        <v>0.14599999999999999</v>
      </c>
      <c r="G347" s="3202">
        <v>0.15</v>
      </c>
    </row>
    <row r="348" spans="1:7">
      <c r="A348" s="3211" t="s">
        <v>1157</v>
      </c>
      <c r="B348" s="3200" t="s">
        <v>2990</v>
      </c>
      <c r="C348" s="3201">
        <v>0.15</v>
      </c>
      <c r="D348" s="3201">
        <v>0.15</v>
      </c>
      <c r="E348" s="3201">
        <v>0.15</v>
      </c>
      <c r="F348" s="3201">
        <v>0.14399999999999999</v>
      </c>
      <c r="G348" s="3202">
        <v>0.15</v>
      </c>
    </row>
    <row r="349" spans="1:7">
      <c r="A349" s="3211" t="s">
        <v>1157</v>
      </c>
      <c r="B349" s="3200" t="s">
        <v>2991</v>
      </c>
      <c r="C349" s="3201">
        <v>0.15</v>
      </c>
      <c r="D349" s="3201">
        <v>0.15</v>
      </c>
      <c r="E349" s="3201">
        <v>0.15</v>
      </c>
      <c r="F349" s="3201">
        <v>0.15</v>
      </c>
      <c r="G349" s="3202">
        <v>0.15</v>
      </c>
    </row>
    <row r="350" spans="1:7">
      <c r="A350" s="3211" t="s">
        <v>1157</v>
      </c>
      <c r="B350" s="3200" t="s">
        <v>3156</v>
      </c>
      <c r="C350" s="3201">
        <v>0.15</v>
      </c>
      <c r="D350" s="3201">
        <v>0.15</v>
      </c>
      <c r="E350" s="3201">
        <v>0.15</v>
      </c>
      <c r="F350" s="3201">
        <v>0.14699999999999999</v>
      </c>
      <c r="G350" s="3202">
        <v>0.15</v>
      </c>
    </row>
    <row r="351" spans="1:7">
      <c r="A351" s="3211" t="s">
        <v>1157</v>
      </c>
      <c r="B351" s="3200" t="s">
        <v>2993</v>
      </c>
      <c r="C351" s="3201">
        <v>0.15</v>
      </c>
      <c r="D351" s="3201">
        <v>0.15</v>
      </c>
      <c r="E351" s="3201">
        <v>0.15</v>
      </c>
      <c r="F351" s="3201">
        <v>0.13</v>
      </c>
      <c r="G351" s="3202">
        <v>0.15</v>
      </c>
    </row>
    <row r="352" spans="1:7">
      <c r="A352" s="3211" t="s">
        <v>1157</v>
      </c>
      <c r="B352" s="3200" t="s">
        <v>2994</v>
      </c>
      <c r="C352" s="3201">
        <v>0.15</v>
      </c>
      <c r="D352" s="3201">
        <v>0.15</v>
      </c>
      <c r="E352" s="3201">
        <v>0.15</v>
      </c>
      <c r="F352" s="3201">
        <v>0.14599999999999999</v>
      </c>
      <c r="G352" s="3202">
        <v>0.15</v>
      </c>
    </row>
    <row r="353" spans="1:7">
      <c r="A353" s="3211" t="s">
        <v>1157</v>
      </c>
      <c r="B353" s="3200" t="s">
        <v>3157</v>
      </c>
      <c r="C353" s="3201">
        <v>0.15</v>
      </c>
      <c r="D353" s="3201">
        <v>0.15</v>
      </c>
      <c r="E353" s="3201">
        <v>0.15</v>
      </c>
      <c r="F353" s="3201">
        <v>0.14499999999999999</v>
      </c>
      <c r="G353" s="3202">
        <v>0.15</v>
      </c>
    </row>
    <row r="354" spans="1:7">
      <c r="A354" s="3211" t="s">
        <v>1157</v>
      </c>
      <c r="B354" s="3200" t="s">
        <v>1129</v>
      </c>
      <c r="C354" s="3201">
        <v>0.15</v>
      </c>
      <c r="D354" s="3201">
        <v>0.15</v>
      </c>
      <c r="E354" s="3201">
        <v>0.15</v>
      </c>
      <c r="F354" s="3201">
        <v>0.14099999999999999</v>
      </c>
      <c r="G354" s="3202">
        <v>0.15</v>
      </c>
    </row>
    <row r="355" spans="1:7">
      <c r="A355" s="3211" t="s">
        <v>1157</v>
      </c>
      <c r="B355" s="3200" t="s">
        <v>2996</v>
      </c>
      <c r="C355" s="3201">
        <v>0.15</v>
      </c>
      <c r="D355" s="3201">
        <v>0.15</v>
      </c>
      <c r="E355" s="3201">
        <v>0.15</v>
      </c>
      <c r="F355" s="3201">
        <v>0.15</v>
      </c>
      <c r="G355" s="3202">
        <v>0.15</v>
      </c>
    </row>
    <row r="356" spans="1:7">
      <c r="A356" s="3211" t="s">
        <v>1157</v>
      </c>
      <c r="B356" s="3200" t="s">
        <v>2997</v>
      </c>
      <c r="C356" s="3201">
        <v>0.15</v>
      </c>
      <c r="D356" s="3201">
        <v>0.15</v>
      </c>
      <c r="E356" s="3201">
        <v>0.15</v>
      </c>
      <c r="F356" s="3201">
        <v>0.15</v>
      </c>
      <c r="G356" s="3202">
        <v>0.15</v>
      </c>
    </row>
    <row r="357" spans="1:7" ht="14.25" thickBot="1">
      <c r="A357" s="3214" t="s">
        <v>1157</v>
      </c>
      <c r="B357" s="3204" t="s">
        <v>3158</v>
      </c>
      <c r="C357" s="3205">
        <v>0.126</v>
      </c>
      <c r="D357" s="3205">
        <v>0.127</v>
      </c>
      <c r="E357" s="3205">
        <v>0.14299999999999999</v>
      </c>
      <c r="F357" s="3205">
        <v>0.125</v>
      </c>
      <c r="G357" s="3207">
        <v>0.129</v>
      </c>
    </row>
    <row r="358" spans="1:7">
      <c r="A358" s="3210" t="s">
        <v>3159</v>
      </c>
      <c r="B358" s="3196" t="s">
        <v>3160</v>
      </c>
      <c r="C358" s="3197">
        <v>0.15</v>
      </c>
      <c r="D358" s="3197">
        <v>0.15</v>
      </c>
      <c r="E358" s="3197">
        <v>0.15</v>
      </c>
      <c r="F358" s="3197">
        <v>0.15</v>
      </c>
      <c r="G358" s="3198">
        <v>0.15</v>
      </c>
    </row>
    <row r="359" spans="1:7">
      <c r="A359" s="3211" t="s">
        <v>3159</v>
      </c>
      <c r="B359" s="3200" t="s">
        <v>3161</v>
      </c>
      <c r="C359" s="3201">
        <v>0.1</v>
      </c>
      <c r="D359" s="3201">
        <v>0.1</v>
      </c>
      <c r="E359" s="3201">
        <v>0.1</v>
      </c>
      <c r="F359" s="3201">
        <v>0.1</v>
      </c>
      <c r="G359" s="3202">
        <v>0.1</v>
      </c>
    </row>
    <row r="360" spans="1:7">
      <c r="A360" s="3211" t="s">
        <v>3159</v>
      </c>
      <c r="B360" s="3200" t="s">
        <v>3162</v>
      </c>
      <c r="C360" s="3201">
        <v>0.15</v>
      </c>
      <c r="D360" s="3201">
        <v>0.15</v>
      </c>
      <c r="E360" s="3201">
        <v>0.15</v>
      </c>
      <c r="F360" s="3201">
        <v>0.14899999999999999</v>
      </c>
      <c r="G360" s="3202">
        <v>0.15</v>
      </c>
    </row>
    <row r="361" spans="1:7">
      <c r="A361" s="3211" t="s">
        <v>3159</v>
      </c>
      <c r="B361" s="3200" t="s">
        <v>999</v>
      </c>
      <c r="C361" s="3201">
        <v>0.15</v>
      </c>
      <c r="D361" s="3201">
        <v>0.15</v>
      </c>
      <c r="E361" s="3201">
        <v>0.15</v>
      </c>
      <c r="F361" s="3201">
        <v>0.115</v>
      </c>
      <c r="G361" s="3202">
        <v>0.15</v>
      </c>
    </row>
    <row r="362" spans="1:7">
      <c r="A362" s="3211" t="s">
        <v>3159</v>
      </c>
      <c r="B362" s="3200" t="s">
        <v>3163</v>
      </c>
      <c r="C362" s="3201">
        <v>0.15</v>
      </c>
      <c r="D362" s="3201">
        <v>0.15</v>
      </c>
      <c r="E362" s="3201">
        <v>0.15</v>
      </c>
      <c r="F362" s="3201">
        <v>0.106</v>
      </c>
      <c r="G362" s="3202">
        <v>0.15</v>
      </c>
    </row>
    <row r="363" spans="1:7">
      <c r="A363" s="3211" t="s">
        <v>3159</v>
      </c>
      <c r="B363" s="3200" t="s">
        <v>3003</v>
      </c>
      <c r="C363" s="3201">
        <v>0.15</v>
      </c>
      <c r="D363" s="3201">
        <v>0.15</v>
      </c>
      <c r="E363" s="3201">
        <v>0.15</v>
      </c>
      <c r="F363" s="3201">
        <v>0.14699999999999999</v>
      </c>
      <c r="G363" s="3202">
        <v>0.15</v>
      </c>
    </row>
    <row r="364" spans="1:7">
      <c r="A364" s="3211" t="s">
        <v>3159</v>
      </c>
      <c r="B364" s="3200" t="s">
        <v>3164</v>
      </c>
      <c r="C364" s="3201">
        <v>0.15</v>
      </c>
      <c r="D364" s="3201">
        <v>0.15</v>
      </c>
      <c r="E364" s="3201">
        <v>0.15</v>
      </c>
      <c r="F364" s="3201">
        <v>0.14799999999999999</v>
      </c>
      <c r="G364" s="3202">
        <v>0.15</v>
      </c>
    </row>
    <row r="365" spans="1:7">
      <c r="A365" s="3211" t="s">
        <v>3159</v>
      </c>
      <c r="B365" s="3200" t="s">
        <v>1047</v>
      </c>
      <c r="C365" s="3201">
        <v>0.15</v>
      </c>
      <c r="D365" s="3201">
        <v>0.15</v>
      </c>
      <c r="E365" s="3201">
        <v>0.15</v>
      </c>
      <c r="F365" s="3201">
        <v>0.15</v>
      </c>
      <c r="G365" s="3202">
        <v>0.15</v>
      </c>
    </row>
    <row r="366" spans="1:7">
      <c r="A366" s="3211" t="s">
        <v>3159</v>
      </c>
      <c r="B366" s="3200" t="s">
        <v>3005</v>
      </c>
      <c r="C366" s="3201">
        <v>0.15</v>
      </c>
      <c r="D366" s="3201">
        <v>0.15</v>
      </c>
      <c r="E366" s="3201">
        <v>0.15</v>
      </c>
      <c r="F366" s="3201">
        <v>0.15</v>
      </c>
      <c r="G366" s="3202">
        <v>0.15</v>
      </c>
    </row>
    <row r="367" spans="1:7">
      <c r="A367" s="3211" t="s">
        <v>3159</v>
      </c>
      <c r="B367" s="3200" t="s">
        <v>3165</v>
      </c>
      <c r="C367" s="3201">
        <v>0.15</v>
      </c>
      <c r="D367" s="3201">
        <v>0.15</v>
      </c>
      <c r="E367" s="3201">
        <v>0.15</v>
      </c>
      <c r="F367" s="3201">
        <v>0.14699999999999999</v>
      </c>
      <c r="G367" s="3202">
        <v>0.15</v>
      </c>
    </row>
    <row r="368" spans="1:7">
      <c r="A368" s="3211" t="s">
        <v>3159</v>
      </c>
      <c r="B368" s="3200" t="s">
        <v>3166</v>
      </c>
      <c r="C368" s="3201">
        <v>0.15</v>
      </c>
      <c r="D368" s="3201">
        <v>0.15</v>
      </c>
      <c r="E368" s="3201">
        <v>0.15</v>
      </c>
      <c r="F368" s="3201">
        <v>0.13600000000000001</v>
      </c>
      <c r="G368" s="3202">
        <v>0.15</v>
      </c>
    </row>
    <row r="369" spans="1:7">
      <c r="A369" s="3211" t="s">
        <v>3159</v>
      </c>
      <c r="B369" s="3200" t="s">
        <v>1061</v>
      </c>
      <c r="C369" s="3201">
        <v>0.15</v>
      </c>
      <c r="D369" s="3201">
        <v>0.15</v>
      </c>
      <c r="E369" s="3201">
        <v>0.15</v>
      </c>
      <c r="F369" s="3201">
        <v>0.14399999999999999</v>
      </c>
      <c r="G369" s="3202">
        <v>0.15</v>
      </c>
    </row>
    <row r="370" spans="1:7">
      <c r="A370" s="3211" t="s">
        <v>3159</v>
      </c>
      <c r="B370" s="3200" t="s">
        <v>1069</v>
      </c>
      <c r="C370" s="3201">
        <v>0.15</v>
      </c>
      <c r="D370" s="3201">
        <v>0.15</v>
      </c>
      <c r="E370" s="3201">
        <v>0.15</v>
      </c>
      <c r="F370" s="3201">
        <v>0.14599999999999999</v>
      </c>
      <c r="G370" s="3202">
        <v>0.15</v>
      </c>
    </row>
    <row r="371" spans="1:7">
      <c r="A371" s="3211" t="s">
        <v>3159</v>
      </c>
      <c r="B371" s="3200" t="s">
        <v>1077</v>
      </c>
      <c r="C371" s="3201">
        <v>0.15</v>
      </c>
      <c r="D371" s="3201">
        <v>0.15</v>
      </c>
      <c r="E371" s="3201">
        <v>0.15</v>
      </c>
      <c r="F371" s="3201">
        <v>0.12</v>
      </c>
      <c r="G371" s="3202">
        <v>0.15</v>
      </c>
    </row>
    <row r="372" spans="1:7">
      <c r="A372" s="3211" t="s">
        <v>3159</v>
      </c>
      <c r="B372" s="3200" t="s">
        <v>3167</v>
      </c>
      <c r="C372" s="3201">
        <v>0.15</v>
      </c>
      <c r="D372" s="3201">
        <v>0.15</v>
      </c>
      <c r="E372" s="3201">
        <v>0.15</v>
      </c>
      <c r="F372" s="3201">
        <v>0.14299999999999999</v>
      </c>
      <c r="G372" s="3202">
        <v>0.15</v>
      </c>
    </row>
    <row r="373" spans="1:7">
      <c r="A373" s="3211" t="s">
        <v>3159</v>
      </c>
      <c r="B373" s="3200" t="s">
        <v>1106</v>
      </c>
      <c r="C373" s="3201">
        <v>0.15</v>
      </c>
      <c r="D373" s="3201">
        <v>0.15</v>
      </c>
      <c r="E373" s="3201">
        <v>0.15</v>
      </c>
      <c r="F373" s="3201">
        <v>0.14599999999999999</v>
      </c>
      <c r="G373" s="3202">
        <v>0.15</v>
      </c>
    </row>
    <row r="374" spans="1:7">
      <c r="A374" s="3211" t="s">
        <v>3159</v>
      </c>
      <c r="B374" s="3200" t="s">
        <v>1114</v>
      </c>
      <c r="C374" s="3201">
        <v>0.15</v>
      </c>
      <c r="D374" s="3201">
        <v>0.15</v>
      </c>
      <c r="E374" s="3201">
        <v>0.15</v>
      </c>
      <c r="F374" s="3201">
        <v>0.14399999999999999</v>
      </c>
      <c r="G374" s="3202">
        <v>0.15</v>
      </c>
    </row>
    <row r="375" spans="1:7">
      <c r="A375" s="3211" t="s">
        <v>3159</v>
      </c>
      <c r="B375" s="3200" t="s">
        <v>3168</v>
      </c>
      <c r="C375" s="3201">
        <v>0.15</v>
      </c>
      <c r="D375" s="3201">
        <v>0.15</v>
      </c>
      <c r="E375" s="3201">
        <v>0.15</v>
      </c>
      <c r="F375" s="3201">
        <v>0.13</v>
      </c>
      <c r="G375" s="3202">
        <v>0.15</v>
      </c>
    </row>
    <row r="376" spans="1:7">
      <c r="A376" s="3211" t="s">
        <v>3159</v>
      </c>
      <c r="B376" s="3200" t="s">
        <v>1126</v>
      </c>
      <c r="C376" s="3201">
        <v>0.15</v>
      </c>
      <c r="D376" s="3201">
        <v>0.15</v>
      </c>
      <c r="E376" s="3201">
        <v>0.15</v>
      </c>
      <c r="F376" s="3201">
        <v>0.14199999999999999</v>
      </c>
      <c r="G376" s="3202">
        <v>0.15</v>
      </c>
    </row>
    <row r="377" spans="1:7" ht="14.25" thickBot="1">
      <c r="A377" s="3214" t="s">
        <v>3159</v>
      </c>
      <c r="B377" s="3204" t="s">
        <v>3010</v>
      </c>
      <c r="C377" s="3205">
        <v>0.15</v>
      </c>
      <c r="D377" s="3205">
        <v>0.15</v>
      </c>
      <c r="E377" s="3205">
        <v>0.15</v>
      </c>
      <c r="F377" s="3205">
        <v>0.14000000000000001</v>
      </c>
      <c r="G377" s="3207">
        <v>0.15</v>
      </c>
    </row>
    <row r="378" spans="1:7">
      <c r="A378" s="3210" t="s">
        <v>3169</v>
      </c>
      <c r="B378" s="3196" t="s">
        <v>3170</v>
      </c>
      <c r="C378" s="3197">
        <v>0.15</v>
      </c>
      <c r="D378" s="3197">
        <v>0.15</v>
      </c>
      <c r="E378" s="3197">
        <v>0.15</v>
      </c>
      <c r="F378" s="3197">
        <v>0.107</v>
      </c>
      <c r="G378" s="3198">
        <v>0.15</v>
      </c>
    </row>
    <row r="379" spans="1:7">
      <c r="A379" s="3211" t="s">
        <v>3169</v>
      </c>
      <c r="B379" s="3200" t="s">
        <v>3171</v>
      </c>
      <c r="C379" s="3201">
        <v>0.15</v>
      </c>
      <c r="D379" s="3201">
        <v>0.15</v>
      </c>
      <c r="E379" s="3201">
        <v>0.15</v>
      </c>
      <c r="F379" s="3201">
        <v>0.115</v>
      </c>
      <c r="G379" s="3202">
        <v>0.14899999999999999</v>
      </c>
    </row>
    <row r="380" spans="1:7">
      <c r="A380" s="3211" t="s">
        <v>3172</v>
      </c>
      <c r="B380" s="3200" t="s">
        <v>3173</v>
      </c>
      <c r="C380" s="3201">
        <v>0.15</v>
      </c>
      <c r="D380" s="3201">
        <v>0.15</v>
      </c>
      <c r="E380" s="3201">
        <v>0.15</v>
      </c>
      <c r="F380" s="3201">
        <v>0.1</v>
      </c>
      <c r="G380" s="3202">
        <v>0.14799999999999999</v>
      </c>
    </row>
    <row r="381" spans="1:7">
      <c r="A381" s="3211" t="s">
        <v>3172</v>
      </c>
      <c r="B381" s="3200" t="s">
        <v>3174</v>
      </c>
      <c r="C381" s="3201">
        <v>0.15</v>
      </c>
      <c r="D381" s="3201">
        <v>0.15</v>
      </c>
      <c r="E381" s="3201">
        <v>0.15</v>
      </c>
      <c r="F381" s="3201">
        <v>0.126</v>
      </c>
      <c r="G381" s="3202">
        <v>0.15</v>
      </c>
    </row>
    <row r="382" spans="1:7">
      <c r="A382" s="3211" t="s">
        <v>3172</v>
      </c>
      <c r="B382" s="3200" t="s">
        <v>3175</v>
      </c>
      <c r="C382" s="3201">
        <v>0.15</v>
      </c>
      <c r="D382" s="3201">
        <v>0.15</v>
      </c>
      <c r="E382" s="3201">
        <v>0.15</v>
      </c>
      <c r="F382" s="3201">
        <v>0.15</v>
      </c>
      <c r="G382" s="3202">
        <v>0.15</v>
      </c>
    </row>
    <row r="383" spans="1:7">
      <c r="A383" s="3211" t="s">
        <v>3172</v>
      </c>
      <c r="B383" s="3200" t="s">
        <v>3176</v>
      </c>
      <c r="C383" s="3201">
        <v>0.15</v>
      </c>
      <c r="D383" s="3201">
        <v>0.15</v>
      </c>
      <c r="E383" s="3201">
        <v>0.15</v>
      </c>
      <c r="F383" s="3201">
        <v>0.14699999999999999</v>
      </c>
      <c r="G383" s="3202">
        <v>0.15</v>
      </c>
    </row>
    <row r="384" spans="1:7" ht="14.25" thickBot="1">
      <c r="A384" s="3221" t="s">
        <v>3172</v>
      </c>
      <c r="B384" s="3222" t="s">
        <v>3177</v>
      </c>
      <c r="C384" s="3223">
        <v>0.15</v>
      </c>
      <c r="D384" s="3223">
        <v>0.15</v>
      </c>
      <c r="E384" s="3223">
        <v>0.15</v>
      </c>
      <c r="F384" s="3223">
        <v>0.15</v>
      </c>
      <c r="G384" s="3224">
        <v>0.15</v>
      </c>
    </row>
  </sheetData>
  <sheetProtection password="CEE9" sheet="1" objects="1" scenarios="1"/>
  <mergeCells count="1">
    <mergeCell ref="A1:B1"/>
  </mergeCells>
  <phoneticPr fontId="1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7"/>
    <col min="2" max="6" width="9" style="2437" customWidth="1"/>
    <col min="7" max="7" width="9" style="2462" customWidth="1"/>
    <col min="8" max="12" width="9" style="2437" customWidth="1"/>
    <col min="13" max="13" width="2.25" style="2437" customWidth="1"/>
    <col min="14" max="14" width="9" style="2462" customWidth="1"/>
    <col min="15" max="17" width="9" style="2437" customWidth="1"/>
    <col min="18" max="18" width="2.375" style="2437" customWidth="1"/>
    <col min="19" max="19" width="7.125" style="2462" customWidth="1"/>
    <col min="20" max="22" width="7.125" style="2437" customWidth="1"/>
    <col min="23" max="23" width="24" style="2437" customWidth="1"/>
    <col min="24" max="25" width="9" style="2437"/>
    <col min="26" max="27" width="11.625" style="2437" customWidth="1"/>
    <col min="28" max="28" width="9" style="2437"/>
    <col min="29" max="29" width="2" style="2437" customWidth="1"/>
    <col min="30" max="16384" width="9" style="2437"/>
  </cols>
  <sheetData>
    <row r="1" spans="1:34" s="2418" customFormat="1">
      <c r="B1" s="3767" t="s">
        <v>1856</v>
      </c>
      <c r="C1" s="3767"/>
      <c r="D1" s="3767"/>
      <c r="E1" s="3767"/>
      <c r="F1" s="3767"/>
      <c r="G1" s="3766" t="s">
        <v>1857</v>
      </c>
      <c r="H1" s="3766"/>
      <c r="I1" s="3766"/>
      <c r="J1" s="3766"/>
      <c r="K1" s="3766"/>
      <c r="L1" s="3766"/>
      <c r="N1" s="3766" t="s">
        <v>1858</v>
      </c>
      <c r="O1" s="3766"/>
      <c r="P1" s="3766"/>
      <c r="Q1" s="3766"/>
      <c r="S1" s="3766" t="s">
        <v>1859</v>
      </c>
      <c r="T1" s="3766"/>
      <c r="U1" s="3766"/>
      <c r="V1" s="3766"/>
      <c r="X1" s="3765" t="s">
        <v>1919</v>
      </c>
      <c r="Y1" s="3766"/>
      <c r="Z1" s="3766"/>
      <c r="AA1" s="3766"/>
      <c r="AB1" s="3766"/>
      <c r="AD1" s="3765" t="s">
        <v>1923</v>
      </c>
      <c r="AE1" s="3766"/>
      <c r="AF1" s="3766"/>
      <c r="AG1" s="3766"/>
      <c r="AH1" s="3766"/>
    </row>
    <row r="2" spans="1:34" s="2419" customFormat="1" ht="14.25" thickBot="1">
      <c r="B2" s="2420" t="s">
        <v>1860</v>
      </c>
      <c r="C2" s="2420" t="s">
        <v>1921</v>
      </c>
      <c r="D2" s="2421" t="s">
        <v>1179</v>
      </c>
      <c r="E2" s="2421" t="s">
        <v>1469</v>
      </c>
      <c r="F2" s="2420" t="s">
        <v>1922</v>
      </c>
      <c r="G2" s="2422"/>
      <c r="I2" s="2420" t="s">
        <v>2210</v>
      </c>
      <c r="J2" s="2421" t="s">
        <v>2212</v>
      </c>
      <c r="K2" s="2421" t="s">
        <v>2213</v>
      </c>
      <c r="L2" s="2420" t="s">
        <v>2214</v>
      </c>
      <c r="N2" s="2420" t="s">
        <v>1860</v>
      </c>
      <c r="O2" s="2421" t="s">
        <v>2211</v>
      </c>
      <c r="P2" s="2421" t="s">
        <v>1469</v>
      </c>
      <c r="Q2" s="2420" t="s">
        <v>1922</v>
      </c>
      <c r="S2" s="2420" t="s">
        <v>1860</v>
      </c>
      <c r="T2" s="2421" t="s">
        <v>2211</v>
      </c>
      <c r="U2" s="2421" t="s">
        <v>1469</v>
      </c>
      <c r="V2" s="2420" t="s">
        <v>1922</v>
      </c>
      <c r="X2" s="2420" t="s">
        <v>1860</v>
      </c>
      <c r="Y2" s="2420" t="s">
        <v>1921</v>
      </c>
      <c r="Z2" s="2421" t="s">
        <v>1179</v>
      </c>
      <c r="AA2" s="2421" t="s">
        <v>1469</v>
      </c>
      <c r="AB2" s="2420" t="s">
        <v>1922</v>
      </c>
      <c r="AD2" s="2420" t="s">
        <v>1860</v>
      </c>
      <c r="AE2" s="2420" t="s">
        <v>1921</v>
      </c>
      <c r="AF2" s="2421" t="s">
        <v>1179</v>
      </c>
      <c r="AG2" s="2421" t="s">
        <v>1469</v>
      </c>
      <c r="AH2" s="2420" t="s">
        <v>1922</v>
      </c>
    </row>
    <row r="3" spans="1:34" s="2427" customFormat="1" ht="14.25">
      <c r="A3" s="2423" t="s">
        <v>2221</v>
      </c>
      <c r="B3" s="2424"/>
      <c r="C3" s="2424"/>
      <c r="D3" s="2425"/>
      <c r="E3" s="2425"/>
      <c r="F3" s="2424"/>
      <c r="G3" s="2426"/>
      <c r="I3" s="2428">
        <f>ROUND(AVERAGE($I4:$I41),2)</f>
        <v>1.47</v>
      </c>
      <c r="J3" s="2428">
        <f>ROUND(AVERAGE($J4:$J41),2)</f>
        <v>0.92</v>
      </c>
      <c r="K3" s="2428">
        <f>ROUND(AVERAGE($K4:$K41),2)</f>
        <v>1.61</v>
      </c>
      <c r="L3" s="2428">
        <f>ROUND(AVERAGE($L4:$L41),2)</f>
        <v>1.07</v>
      </c>
      <c r="N3" s="2426"/>
      <c r="S3" s="2426"/>
      <c r="W3" s="2429"/>
      <c r="X3" s="2430">
        <f>ROUND(SUMPRODUCT(PRODUCT(1+N3:N$40)),4)</f>
        <v>1.6585000000000001</v>
      </c>
      <c r="Y3" s="2430">
        <f>ROUND(SUMPRODUCT(PRODUCT(1+O3:O$40)),4)</f>
        <v>1.3676999999999999</v>
      </c>
      <c r="Z3" s="2430">
        <f>Y3</f>
        <v>1.3676999999999999</v>
      </c>
      <c r="AA3" s="2430">
        <f>ROUND(SUMPRODUCT(PRODUCT(1+P3:P$40)),4)</f>
        <v>1.7434000000000001</v>
      </c>
      <c r="AB3" s="2430">
        <f>ROUND(SUMPRODUCT(PRODUCT(1+Q3:Q$40)),4)</f>
        <v>1.4609000000000001</v>
      </c>
      <c r="AD3" s="2431">
        <f>ROUND(AVERAGE(I3:I$41)/100,4)</f>
        <v>1.47E-2</v>
      </c>
      <c r="AE3" s="2431">
        <f>ROUND(AVERAGE(J3:J$41)/100,4)</f>
        <v>9.1999999999999998E-3</v>
      </c>
      <c r="AF3" s="2431">
        <f>AE3</f>
        <v>9.1999999999999998E-3</v>
      </c>
      <c r="AG3" s="2431">
        <f>ROUND(AVERAGE(K3:K$41)/100,4)</f>
        <v>1.61E-2</v>
      </c>
      <c r="AH3" s="2431">
        <f>ROUND(AVERAGE(L3:L$41)/100,4)</f>
        <v>1.0699999999999999E-2</v>
      </c>
    </row>
    <row r="4" spans="1:34" s="2418" customFormat="1" ht="14.25">
      <c r="B4" s="2432"/>
      <c r="C4" s="2432"/>
      <c r="D4" s="2433"/>
      <c r="E4" s="2433"/>
      <c r="F4" s="2432"/>
      <c r="G4" s="2434"/>
      <c r="I4" s="2435"/>
      <c r="J4" s="2435"/>
      <c r="K4" s="2435"/>
      <c r="L4" s="2435"/>
      <c r="N4" s="2434"/>
      <c r="S4" s="2434"/>
      <c r="W4" s="2436"/>
      <c r="X4" s="2437"/>
      <c r="Y4" s="2437"/>
      <c r="Z4" s="2437"/>
      <c r="AA4" s="2437"/>
      <c r="AB4" s="2437"/>
      <c r="AD4" s="2438"/>
      <c r="AE4" s="2438"/>
      <c r="AF4" s="2438"/>
      <c r="AG4" s="2438"/>
      <c r="AH4" s="2438"/>
    </row>
    <row r="5" spans="1:34" s="2446" customFormat="1">
      <c r="A5" s="2439" t="s">
        <v>2440</v>
      </c>
      <c r="B5" s="2440">
        <f t="shared" ref="B5:B19" si="0">B6*(1+N5)</f>
        <v>510.07089659554606</v>
      </c>
      <c r="C5" s="2440">
        <f t="shared" ref="C5:C19" si="1">C6*(1+O5)</f>
        <v>352.55593185737411</v>
      </c>
      <c r="D5" s="2440">
        <f t="shared" ref="D5:D24" si="2">C5</f>
        <v>352.55593185737411</v>
      </c>
      <c r="E5" s="2440">
        <f t="shared" ref="E5:E25" si="3">E6*(1+P5)</f>
        <v>737.27992463403655</v>
      </c>
      <c r="F5" s="2440">
        <f t="shared" ref="F5:F25" si="4">F6*(1+Q5)</f>
        <v>335.88319198297864</v>
      </c>
      <c r="G5" s="2434">
        <v>2023</v>
      </c>
      <c r="H5" s="2441">
        <v>1</v>
      </c>
      <c r="I5" s="2416">
        <v>0</v>
      </c>
      <c r="J5" s="2416">
        <v>0</v>
      </c>
      <c r="K5" s="2416">
        <v>0</v>
      </c>
      <c r="L5" s="2417">
        <v>0</v>
      </c>
      <c r="M5" s="2437"/>
      <c r="N5" s="2442">
        <f t="shared" ref="N5:N24" si="5">I5/100</f>
        <v>0</v>
      </c>
      <c r="O5" s="2438">
        <f t="shared" ref="O5:O24" si="6">J5/100</f>
        <v>0</v>
      </c>
      <c r="P5" s="2438">
        <f t="shared" ref="P5:P24" si="7">K5/100</f>
        <v>0</v>
      </c>
      <c r="Q5" s="2438">
        <f t="shared" ref="Q5:Q24" si="8">L5/100</f>
        <v>0</v>
      </c>
      <c r="R5" s="2443"/>
      <c r="S5" s="2444">
        <f>B5/B6-1</f>
        <v>0</v>
      </c>
      <c r="T5" s="2445">
        <f>C5/C6-1</f>
        <v>0</v>
      </c>
      <c r="U5" s="2445">
        <f>E5/E6-1</f>
        <v>0</v>
      </c>
      <c r="V5" s="2445">
        <f>F5/F6-1</f>
        <v>0</v>
      </c>
      <c r="W5" s="2437"/>
      <c r="X5" s="2437">
        <f>ROUND(IF(项目基本情况!B8="出让",SUMPRODUCT(PRODUCT(1+N5:N$41)),SUMPRODUCT(PRODUCT(1+N5:N$40))),4)</f>
        <v>1.6585000000000001</v>
      </c>
      <c r="Y5" s="2437">
        <f>ROUND(IF(项目基本情况!B8="出让",SUMPRODUCT(PRODUCT(1+O5:O$41)),SUMPRODUCT(PRODUCT(1+O5:O$40))),4)</f>
        <v>1.3676999999999999</v>
      </c>
      <c r="Z5" s="2437">
        <f t="shared" ref="Z5:Z40" si="9">Y5</f>
        <v>1.3676999999999999</v>
      </c>
      <c r="AA5" s="2437">
        <f>ROUND(IF(项目基本情况!B8="出让",SUMPRODUCT(PRODUCT(1+P5:P$41)),SUMPRODUCT(PRODUCT(1+P5:P$40))),4)</f>
        <v>1.7434000000000001</v>
      </c>
      <c r="AB5" s="2437">
        <f>ROUND(IF(项目基本情况!B8="出让",SUMPRODUCT(PRODUCT(1+Q5:Q$41)),SUMPRODUCT(PRODUCT(1+Q5:Q$40))),4)</f>
        <v>1.4609000000000001</v>
      </c>
      <c r="AC5" s="2437"/>
      <c r="AD5" s="2438">
        <f>ROUND(AVERAGE(I5:I$41)/100,4)</f>
        <v>1.47E-2</v>
      </c>
      <c r="AE5" s="2438">
        <f>ROUND(AVERAGE(J5:J$41)/100,4)</f>
        <v>9.1999999999999998E-3</v>
      </c>
      <c r="AF5" s="2438">
        <f t="shared" ref="AF5:AF41" si="10">AE5</f>
        <v>9.1999999999999998E-3</v>
      </c>
      <c r="AG5" s="2438">
        <f>ROUND(AVERAGE(K5:K$41)/100,4)</f>
        <v>1.61E-2</v>
      </c>
      <c r="AH5" s="2438">
        <f>ROUND(AVERAGE(L5:L$41)/100,4)</f>
        <v>1.0699999999999999E-2</v>
      </c>
    </row>
    <row r="6" spans="1:34" s="2446" customFormat="1">
      <c r="A6" s="2439" t="s">
        <v>2439</v>
      </c>
      <c r="B6" s="2440">
        <f t="shared" si="0"/>
        <v>510.07089659554606</v>
      </c>
      <c r="C6" s="2440">
        <f t="shared" si="1"/>
        <v>352.55593185737411</v>
      </c>
      <c r="D6" s="2440">
        <f t="shared" si="2"/>
        <v>352.55593185737411</v>
      </c>
      <c r="E6" s="2440">
        <f t="shared" si="3"/>
        <v>737.27992463403655</v>
      </c>
      <c r="F6" s="2440">
        <f t="shared" si="4"/>
        <v>335.88319198297864</v>
      </c>
      <c r="G6" s="2434">
        <v>2022</v>
      </c>
      <c r="H6" s="2441">
        <v>4</v>
      </c>
      <c r="I6" s="2416">
        <v>0</v>
      </c>
      <c r="J6" s="2416">
        <v>0</v>
      </c>
      <c r="K6" s="2416">
        <v>0</v>
      </c>
      <c r="L6" s="2417">
        <v>0</v>
      </c>
      <c r="M6" s="2437"/>
      <c r="N6" s="2442">
        <f t="shared" si="5"/>
        <v>0</v>
      </c>
      <c r="O6" s="2438">
        <f t="shared" si="6"/>
        <v>0</v>
      </c>
      <c r="P6" s="2438">
        <f t="shared" si="7"/>
        <v>0</v>
      </c>
      <c r="Q6" s="2438">
        <f t="shared" si="8"/>
        <v>0</v>
      </c>
      <c r="R6" s="2443"/>
      <c r="S6" s="2444"/>
      <c r="T6" s="2445"/>
      <c r="U6" s="2445"/>
      <c r="V6" s="2445"/>
      <c r="W6" s="2437"/>
      <c r="X6" s="2437">
        <f>ROUND(IF(项目基本情况!B8="出让",SUMPRODUCT(PRODUCT(1+N6:N$41)),SUMPRODUCT(PRODUCT(1+N6:N$40))),4)</f>
        <v>1.6585000000000001</v>
      </c>
      <c r="Y6" s="2437">
        <f>ROUND(IF(项目基本情况!B8="出让",SUMPRODUCT(PRODUCT(1+O6:O$41)),SUMPRODUCT(PRODUCT(1+O6:O$40))),4)</f>
        <v>1.3676999999999999</v>
      </c>
      <c r="Z6" s="2437">
        <f t="shared" si="9"/>
        <v>1.3676999999999999</v>
      </c>
      <c r="AA6" s="2437">
        <f>ROUND(IF(项目基本情况!B8="出让",SUMPRODUCT(PRODUCT(1+P6:P$41)),SUMPRODUCT(PRODUCT(1+P6:P$40))),4)</f>
        <v>1.7434000000000001</v>
      </c>
      <c r="AB6" s="2437">
        <f>ROUND(IF(项目基本情况!B8="出让",SUMPRODUCT(PRODUCT(1+Q6:Q$41)),SUMPRODUCT(PRODUCT(1+Q6:Q$40))),4)</f>
        <v>1.4609000000000001</v>
      </c>
      <c r="AC6" s="2437"/>
      <c r="AD6" s="2438">
        <f>ROUND(AVERAGE(I6:I$41)/100,4)</f>
        <v>1.5100000000000001E-2</v>
      </c>
      <c r="AE6" s="2438">
        <f>ROUND(AVERAGE(J6:J$41)/100,4)</f>
        <v>9.4000000000000004E-3</v>
      </c>
      <c r="AF6" s="2438">
        <f t="shared" si="10"/>
        <v>9.4000000000000004E-3</v>
      </c>
      <c r="AG6" s="2438">
        <f>ROUND(AVERAGE(K6:K$41)/100,4)</f>
        <v>1.66E-2</v>
      </c>
      <c r="AH6" s="2438">
        <f>ROUND(AVERAGE(L6:L$41)/100,4)</f>
        <v>1.0999999999999999E-2</v>
      </c>
    </row>
    <row r="7" spans="1:34" s="2446" customFormat="1">
      <c r="A7" s="2439" t="s">
        <v>2438</v>
      </c>
      <c r="B7" s="2440">
        <f t="shared" si="0"/>
        <v>510.07089659554606</v>
      </c>
      <c r="C7" s="2440">
        <f t="shared" si="1"/>
        <v>352.55593185737411</v>
      </c>
      <c r="D7" s="2440">
        <f t="shared" si="2"/>
        <v>352.55593185737411</v>
      </c>
      <c r="E7" s="2440">
        <f t="shared" si="3"/>
        <v>737.27992463403655</v>
      </c>
      <c r="F7" s="2440">
        <f t="shared" si="4"/>
        <v>335.88319198297864</v>
      </c>
      <c r="G7" s="2434">
        <v>2022</v>
      </c>
      <c r="H7" s="2441">
        <v>3</v>
      </c>
      <c r="I7" s="2416">
        <v>0</v>
      </c>
      <c r="J7" s="2416">
        <v>0</v>
      </c>
      <c r="K7" s="2416">
        <v>0</v>
      </c>
      <c r="L7" s="2417">
        <v>0</v>
      </c>
      <c r="M7" s="2437"/>
      <c r="N7" s="2442">
        <f t="shared" si="5"/>
        <v>0</v>
      </c>
      <c r="O7" s="2438">
        <f t="shared" si="6"/>
        <v>0</v>
      </c>
      <c r="P7" s="2438">
        <f t="shared" si="7"/>
        <v>0</v>
      </c>
      <c r="Q7" s="2438">
        <f t="shared" si="8"/>
        <v>0</v>
      </c>
      <c r="R7" s="2443"/>
      <c r="S7" s="2444"/>
      <c r="T7" s="2445"/>
      <c r="U7" s="2445"/>
      <c r="V7" s="2445"/>
      <c r="W7" s="2437"/>
      <c r="X7" s="2437">
        <f>ROUND(IF(项目基本情况!B8="出让",SUMPRODUCT(PRODUCT(1+N7:N$41)),SUMPRODUCT(PRODUCT(1+N7:N$40))),4)</f>
        <v>1.6585000000000001</v>
      </c>
      <c r="Y7" s="2437">
        <f>ROUND(IF(项目基本情况!B8="出让",SUMPRODUCT(PRODUCT(1+O7:O$41)),SUMPRODUCT(PRODUCT(1+O7:O$40))),4)</f>
        <v>1.3676999999999999</v>
      </c>
      <c r="Z7" s="2437">
        <f t="shared" si="9"/>
        <v>1.3676999999999999</v>
      </c>
      <c r="AA7" s="2437">
        <f>ROUND(IF(项目基本情况!B8="出让",SUMPRODUCT(PRODUCT(1+P7:P$41)),SUMPRODUCT(PRODUCT(1+P7:P$40))),4)</f>
        <v>1.7434000000000001</v>
      </c>
      <c r="AB7" s="2437">
        <f>ROUND(IF(项目基本情况!B8="出让",SUMPRODUCT(PRODUCT(1+Q7:Q$41)),SUMPRODUCT(PRODUCT(1+Q7:Q$40))),4)</f>
        <v>1.4609000000000001</v>
      </c>
      <c r="AC7" s="2437"/>
      <c r="AD7" s="2438">
        <f>ROUND(AVERAGE(I7:I$41)/100,4)</f>
        <v>1.55E-2</v>
      </c>
      <c r="AE7" s="2438">
        <f>ROUND(AVERAGE(J7:J$41)/100,4)</f>
        <v>9.7000000000000003E-3</v>
      </c>
      <c r="AF7" s="2438">
        <f t="shared" si="10"/>
        <v>9.7000000000000003E-3</v>
      </c>
      <c r="AG7" s="2438">
        <f>ROUND(AVERAGE(K7:K$41)/100,4)</f>
        <v>1.7100000000000001E-2</v>
      </c>
      <c r="AH7" s="2438">
        <f>ROUND(AVERAGE(L7:L$41)/100,4)</f>
        <v>1.1299999999999999E-2</v>
      </c>
    </row>
    <row r="8" spans="1:34" s="2446" customFormat="1">
      <c r="A8" s="2439" t="s">
        <v>2437</v>
      </c>
      <c r="B8" s="2440">
        <f t="shared" si="0"/>
        <v>510.07089659554606</v>
      </c>
      <c r="C8" s="2440">
        <f t="shared" si="1"/>
        <v>352.55593185737411</v>
      </c>
      <c r="D8" s="2440">
        <f t="shared" si="2"/>
        <v>352.55593185737411</v>
      </c>
      <c r="E8" s="2440">
        <f t="shared" si="3"/>
        <v>737.27992463403655</v>
      </c>
      <c r="F8" s="2440">
        <f t="shared" si="4"/>
        <v>335.88319198297864</v>
      </c>
      <c r="G8" s="2434">
        <v>2022</v>
      </c>
      <c r="H8" s="2441">
        <v>2</v>
      </c>
      <c r="I8" s="2416">
        <v>0</v>
      </c>
      <c r="J8" s="2416">
        <v>0</v>
      </c>
      <c r="K8" s="2416">
        <v>0</v>
      </c>
      <c r="L8" s="2417">
        <v>0</v>
      </c>
      <c r="M8" s="2437"/>
      <c r="N8" s="2442">
        <f t="shared" si="5"/>
        <v>0</v>
      </c>
      <c r="O8" s="2438">
        <f t="shared" si="6"/>
        <v>0</v>
      </c>
      <c r="P8" s="2438">
        <f t="shared" si="7"/>
        <v>0</v>
      </c>
      <c r="Q8" s="2438">
        <f t="shared" si="8"/>
        <v>0</v>
      </c>
      <c r="R8" s="2443"/>
      <c r="S8" s="2444"/>
      <c r="T8" s="2445"/>
      <c r="U8" s="2445"/>
      <c r="V8" s="2445"/>
      <c r="W8" s="2437"/>
      <c r="X8" s="2437">
        <f>ROUND(IF(项目基本情况!B8="出让",SUMPRODUCT(PRODUCT(1+N8:N$41)),SUMPRODUCT(PRODUCT(1+N8:N$40))),4)</f>
        <v>1.6585000000000001</v>
      </c>
      <c r="Y8" s="2437">
        <f>ROUND(IF(项目基本情况!B8="出让",SUMPRODUCT(PRODUCT(1+O8:O$41)),SUMPRODUCT(PRODUCT(1+O8:O$40))),4)</f>
        <v>1.3676999999999999</v>
      </c>
      <c r="Z8" s="2437">
        <f t="shared" si="9"/>
        <v>1.3676999999999999</v>
      </c>
      <c r="AA8" s="2437">
        <f>ROUND(IF(项目基本情况!B8="出让",SUMPRODUCT(PRODUCT(1+P8:P$41)),SUMPRODUCT(PRODUCT(1+P8:P$40))),4)</f>
        <v>1.7434000000000001</v>
      </c>
      <c r="AB8" s="2437">
        <f>ROUND(IF(项目基本情况!B8="出让",SUMPRODUCT(PRODUCT(1+Q8:Q$41)),SUMPRODUCT(PRODUCT(1+Q8:Q$40))),4)</f>
        <v>1.4609000000000001</v>
      </c>
      <c r="AC8" s="2437"/>
      <c r="AD8" s="2438">
        <f>ROUND(AVERAGE(I8:I$41)/100,4)</f>
        <v>1.6E-2</v>
      </c>
      <c r="AE8" s="2438">
        <f>ROUND(AVERAGE(J8:J$41)/100,4)</f>
        <v>0.01</v>
      </c>
      <c r="AF8" s="2438">
        <f t="shared" si="10"/>
        <v>0.01</v>
      </c>
      <c r="AG8" s="2438">
        <f>ROUND(AVERAGE(K8:K$41)/100,4)</f>
        <v>1.7600000000000001E-2</v>
      </c>
      <c r="AH8" s="2438">
        <f>ROUND(AVERAGE(L8:L$41)/100,4)</f>
        <v>1.1599999999999999E-2</v>
      </c>
    </row>
    <row r="9" spans="1:34" s="2446" customFormat="1">
      <c r="A9" s="2439" t="s">
        <v>2436</v>
      </c>
      <c r="B9" s="2440">
        <f t="shared" si="0"/>
        <v>510.07089659554606</v>
      </c>
      <c r="C9" s="2440">
        <f t="shared" si="1"/>
        <v>352.55593185737411</v>
      </c>
      <c r="D9" s="2440">
        <f t="shared" si="2"/>
        <v>352.55593185737411</v>
      </c>
      <c r="E9" s="2440">
        <f t="shared" si="3"/>
        <v>737.27992463403655</v>
      </c>
      <c r="F9" s="2440">
        <f t="shared" si="4"/>
        <v>335.88319198297864</v>
      </c>
      <c r="G9" s="2434">
        <v>2022</v>
      </c>
      <c r="H9" s="2441">
        <v>1</v>
      </c>
      <c r="I9" s="2416">
        <v>0</v>
      </c>
      <c r="J9" s="2416">
        <v>0</v>
      </c>
      <c r="K9" s="2416">
        <v>0</v>
      </c>
      <c r="L9" s="2417">
        <v>0</v>
      </c>
      <c r="M9" s="2437"/>
      <c r="N9" s="2442">
        <f t="shared" si="5"/>
        <v>0</v>
      </c>
      <c r="O9" s="2438">
        <f t="shared" si="6"/>
        <v>0</v>
      </c>
      <c r="P9" s="2438">
        <f t="shared" si="7"/>
        <v>0</v>
      </c>
      <c r="Q9" s="2438">
        <f t="shared" si="8"/>
        <v>0</v>
      </c>
      <c r="R9" s="2443"/>
      <c r="S9" s="2444">
        <f>B9/B10-1</f>
        <v>0</v>
      </c>
      <c r="T9" s="2445">
        <f>C9/C10-1</f>
        <v>0</v>
      </c>
      <c r="U9" s="2445">
        <f>E9/E10-1</f>
        <v>0</v>
      </c>
      <c r="V9" s="2445">
        <f>F9/F10-1</f>
        <v>0</v>
      </c>
      <c r="W9" s="2437"/>
      <c r="X9" s="2437">
        <f>ROUND(IF(项目基本情况!B1="出让",SUMPRODUCT(PRODUCT(1+N9:N$41)),SUMPRODUCT(PRODUCT(1+N9:N$40))),4)</f>
        <v>1.6585000000000001</v>
      </c>
      <c r="Y9" s="2437">
        <f>ROUND(IF(项目基本情况!B1="出让",SUMPRODUCT(PRODUCT(1+O9:O$41)),SUMPRODUCT(PRODUCT(1+O9:O$40))),4)</f>
        <v>1.3676999999999999</v>
      </c>
      <c r="Z9" s="2437">
        <f t="shared" si="9"/>
        <v>1.3676999999999999</v>
      </c>
      <c r="AA9" s="2437">
        <f>ROUND(IF(项目基本情况!B1="出让",SUMPRODUCT(PRODUCT(1+P9:P$41)),SUMPRODUCT(PRODUCT(1+P9:P$40))),4)</f>
        <v>1.7434000000000001</v>
      </c>
      <c r="AB9" s="2437">
        <f>ROUND(IF(项目基本情况!B1="出让",SUMPRODUCT(PRODUCT(1+Q9:Q$41)),SUMPRODUCT(PRODUCT(1+Q9:Q$40))),4)</f>
        <v>1.4609000000000001</v>
      </c>
      <c r="AC9" s="2437"/>
      <c r="AD9" s="2438">
        <f>ROUND(AVERAGE(I9:I$41)/100,4)</f>
        <v>1.6400000000000001E-2</v>
      </c>
      <c r="AE9" s="2438">
        <f>ROUND(AVERAGE(J9:J$41)/100,4)</f>
        <v>1.03E-2</v>
      </c>
      <c r="AF9" s="2438">
        <f t="shared" si="10"/>
        <v>1.03E-2</v>
      </c>
      <c r="AG9" s="2438">
        <f>ROUND(AVERAGE(K9:K$41)/100,4)</f>
        <v>1.8100000000000002E-2</v>
      </c>
      <c r="AH9" s="2438">
        <f>ROUND(AVERAGE(L9:L$41)/100,4)</f>
        <v>1.2E-2</v>
      </c>
    </row>
    <row r="10" spans="1:34" s="2446" customFormat="1">
      <c r="A10" s="2439" t="s">
        <v>2286</v>
      </c>
      <c r="B10" s="2440">
        <f t="shared" si="0"/>
        <v>510.07089659554606</v>
      </c>
      <c r="C10" s="2440">
        <f t="shared" si="1"/>
        <v>352.55593185737411</v>
      </c>
      <c r="D10" s="2440">
        <f t="shared" si="2"/>
        <v>352.55593185737411</v>
      </c>
      <c r="E10" s="2440">
        <f t="shared" si="3"/>
        <v>737.27992463403655</v>
      </c>
      <c r="F10" s="2440">
        <f t="shared" si="4"/>
        <v>335.88319198297864</v>
      </c>
      <c r="G10" s="2434">
        <v>2021</v>
      </c>
      <c r="H10" s="2441">
        <v>4</v>
      </c>
      <c r="I10" s="2416">
        <v>1.03</v>
      </c>
      <c r="J10" s="2416">
        <v>0.24</v>
      </c>
      <c r="K10" s="2416">
        <v>1.17</v>
      </c>
      <c r="L10" s="2417">
        <v>0.55000000000000004</v>
      </c>
      <c r="M10" s="2437"/>
      <c r="N10" s="2442">
        <f t="shared" si="5"/>
        <v>1.03E-2</v>
      </c>
      <c r="O10" s="2438">
        <f t="shared" si="6"/>
        <v>2.3999999999999998E-3</v>
      </c>
      <c r="P10" s="2438">
        <f t="shared" si="7"/>
        <v>1.1699999999999999E-2</v>
      </c>
      <c r="Q10" s="2438">
        <f t="shared" si="8"/>
        <v>5.5000000000000005E-3</v>
      </c>
      <c r="R10" s="2443"/>
      <c r="S10" s="2444"/>
      <c r="T10" s="2445"/>
      <c r="U10" s="2445"/>
      <c r="V10" s="2445"/>
      <c r="W10" s="2437"/>
      <c r="X10" s="2437">
        <f>ROUND(IF(项目基本情况!B2="出让",SUMPRODUCT(PRODUCT(1+N10:N$41)),SUMPRODUCT(PRODUCT(1+N10:N$40))),4)</f>
        <v>1.6585000000000001</v>
      </c>
      <c r="Y10" s="2437">
        <f>ROUND(IF(项目基本情况!B2="出让",SUMPRODUCT(PRODUCT(1+O10:O$41)),SUMPRODUCT(PRODUCT(1+O10:O$40))),4)</f>
        <v>1.3676999999999999</v>
      </c>
      <c r="Z10" s="2437">
        <f t="shared" si="9"/>
        <v>1.3676999999999999</v>
      </c>
      <c r="AA10" s="2437">
        <f>ROUND(IF(项目基本情况!B2="出让",SUMPRODUCT(PRODUCT(1+P10:P$41)),SUMPRODUCT(PRODUCT(1+P10:P$40))),4)</f>
        <v>1.7434000000000001</v>
      </c>
      <c r="AB10" s="2437">
        <f>ROUND(IF(项目基本情况!B2="出让",SUMPRODUCT(PRODUCT(1+Q10:Q$41)),SUMPRODUCT(PRODUCT(1+Q10:Q$40))),4)</f>
        <v>1.4609000000000001</v>
      </c>
      <c r="AC10" s="2437"/>
      <c r="AD10" s="2438">
        <f>ROUND(AVERAGE(I10:I$41)/100,4)</f>
        <v>1.6899999999999998E-2</v>
      </c>
      <c r="AE10" s="2438">
        <f>ROUND(AVERAGE(J10:J$41)/100,4)</f>
        <v>1.06E-2</v>
      </c>
      <c r="AF10" s="2438">
        <f t="shared" si="10"/>
        <v>1.06E-2</v>
      </c>
      <c r="AG10" s="2438">
        <f>ROUND(AVERAGE(K10:K$41)/100,4)</f>
        <v>1.8700000000000001E-2</v>
      </c>
      <c r="AH10" s="2438">
        <f>ROUND(AVERAGE(L10:L$41)/100,4)</f>
        <v>1.24E-2</v>
      </c>
    </row>
    <row r="11" spans="1:34" s="2446" customFormat="1">
      <c r="A11" s="2439" t="s">
        <v>2285</v>
      </c>
      <c r="B11" s="2440">
        <f t="shared" si="0"/>
        <v>504.87072809615569</v>
      </c>
      <c r="C11" s="2440">
        <f t="shared" si="1"/>
        <v>351.71182348101968</v>
      </c>
      <c r="D11" s="2440">
        <f t="shared" si="2"/>
        <v>351.71182348101968</v>
      </c>
      <c r="E11" s="2440">
        <f t="shared" si="3"/>
        <v>728.75350858360832</v>
      </c>
      <c r="F11" s="2440">
        <f t="shared" si="4"/>
        <v>334.04593931673656</v>
      </c>
      <c r="G11" s="2434">
        <v>2021</v>
      </c>
      <c r="H11" s="2441">
        <v>3</v>
      </c>
      <c r="I11" s="2416">
        <v>0.47</v>
      </c>
      <c r="J11" s="2416">
        <v>0.41</v>
      </c>
      <c r="K11" s="2416">
        <v>0.48</v>
      </c>
      <c r="L11" s="2417">
        <v>0.48</v>
      </c>
      <c r="M11" s="2437"/>
      <c r="N11" s="2442">
        <f t="shared" si="5"/>
        <v>4.6999999999999993E-3</v>
      </c>
      <c r="O11" s="2438">
        <f t="shared" si="6"/>
        <v>4.0999999999999995E-3</v>
      </c>
      <c r="P11" s="2438">
        <f t="shared" si="7"/>
        <v>4.7999999999999996E-3</v>
      </c>
      <c r="Q11" s="2438">
        <f t="shared" si="8"/>
        <v>4.7999999999999996E-3</v>
      </c>
      <c r="R11" s="2443"/>
      <c r="S11" s="2444"/>
      <c r="T11" s="2445"/>
      <c r="U11" s="2445"/>
      <c r="V11" s="2445"/>
      <c r="W11" s="2437"/>
      <c r="X11" s="2437">
        <f>ROUND(IF(项目基本情况!B3="出让",SUMPRODUCT(PRODUCT(1+N11:N$41)),SUMPRODUCT(PRODUCT(1+N11:N$40))),4)</f>
        <v>1.6415999999999999</v>
      </c>
      <c r="Y11" s="2437">
        <f>ROUND(IF(项目基本情况!B3="出让",SUMPRODUCT(PRODUCT(1+O11:O$41)),SUMPRODUCT(PRODUCT(1+O11:O$40))),4)</f>
        <v>1.3644000000000001</v>
      </c>
      <c r="Z11" s="2437">
        <f t="shared" si="9"/>
        <v>1.3644000000000001</v>
      </c>
      <c r="AA11" s="2437">
        <f>ROUND(IF(项目基本情况!B3="出让",SUMPRODUCT(PRODUCT(1+P11:P$41)),SUMPRODUCT(PRODUCT(1+P11:P$40))),4)</f>
        <v>1.7232000000000001</v>
      </c>
      <c r="AB11" s="2437">
        <f>ROUND(IF(项目基本情况!B3="出让",SUMPRODUCT(PRODUCT(1+Q11:Q$41)),SUMPRODUCT(PRODUCT(1+Q11:Q$40))),4)</f>
        <v>1.4529000000000001</v>
      </c>
      <c r="AC11" s="2437"/>
      <c r="AD11" s="2438">
        <f>ROUND(AVERAGE(I11:I$41)/100,4)</f>
        <v>1.72E-2</v>
      </c>
      <c r="AE11" s="2438">
        <f>ROUND(AVERAGE(J11:J$41)/100,4)</f>
        <v>1.09E-2</v>
      </c>
      <c r="AF11" s="2438">
        <f t="shared" si="10"/>
        <v>1.09E-2</v>
      </c>
      <c r="AG11" s="2438">
        <f>ROUND(AVERAGE(K11:K$41)/100,4)</f>
        <v>1.89E-2</v>
      </c>
      <c r="AH11" s="2438">
        <f>ROUND(AVERAGE(L11:L$41)/100,4)</f>
        <v>1.26E-2</v>
      </c>
    </row>
    <row r="12" spans="1:34" s="2446" customFormat="1">
      <c r="A12" s="2439" t="s">
        <v>2284</v>
      </c>
      <c r="B12" s="2440">
        <f t="shared" si="0"/>
        <v>502.50893609650217</v>
      </c>
      <c r="C12" s="2440">
        <f t="shared" si="1"/>
        <v>350.27569313914915</v>
      </c>
      <c r="D12" s="2440">
        <f t="shared" si="2"/>
        <v>350.27569313914915</v>
      </c>
      <c r="E12" s="2440">
        <f t="shared" si="3"/>
        <v>725.27220201394141</v>
      </c>
      <c r="F12" s="2440">
        <f t="shared" si="4"/>
        <v>332.45017846012797</v>
      </c>
      <c r="G12" s="2434">
        <v>2021</v>
      </c>
      <c r="H12" s="2441">
        <v>2</v>
      </c>
      <c r="I12" s="2416">
        <v>0.92</v>
      </c>
      <c r="J12" s="2416">
        <v>0.72</v>
      </c>
      <c r="K12" s="2416">
        <v>0.95</v>
      </c>
      <c r="L12" s="2417">
        <v>1.01</v>
      </c>
      <c r="M12" s="2437"/>
      <c r="N12" s="2442">
        <f t="shared" si="5"/>
        <v>9.1999999999999998E-3</v>
      </c>
      <c r="O12" s="2438">
        <f t="shared" si="6"/>
        <v>7.1999999999999998E-3</v>
      </c>
      <c r="P12" s="2438">
        <f t="shared" si="7"/>
        <v>9.4999999999999998E-3</v>
      </c>
      <c r="Q12" s="2438">
        <f t="shared" si="8"/>
        <v>1.01E-2</v>
      </c>
      <c r="R12" s="2443"/>
      <c r="S12" s="2444"/>
      <c r="T12" s="2445"/>
      <c r="U12" s="2445"/>
      <c r="V12" s="2445"/>
      <c r="W12" s="2437"/>
      <c r="X12" s="2437">
        <f>ROUND(IF(项目基本情况!B4="出让",SUMPRODUCT(PRODUCT(1+N12:N$41)),SUMPRODUCT(PRODUCT(1+N12:N$40))),4)</f>
        <v>1.6338999999999999</v>
      </c>
      <c r="Y12" s="2437">
        <f>ROUND(IF(项目基本情况!B4="出让",SUMPRODUCT(PRODUCT(1+O12:O$41)),SUMPRODUCT(PRODUCT(1+O12:O$40))),4)</f>
        <v>1.3588</v>
      </c>
      <c r="Z12" s="2437">
        <f t="shared" si="9"/>
        <v>1.3588</v>
      </c>
      <c r="AA12" s="2437">
        <f>ROUND(IF(项目基本情况!B4="出让",SUMPRODUCT(PRODUCT(1+P12:P$41)),SUMPRODUCT(PRODUCT(1+P12:P$40))),4)</f>
        <v>1.7150000000000001</v>
      </c>
      <c r="AB12" s="2437">
        <f>ROUND(IF(项目基本情况!B4="出让",SUMPRODUCT(PRODUCT(1+Q12:Q$41)),SUMPRODUCT(PRODUCT(1+Q12:Q$40))),4)</f>
        <v>1.446</v>
      </c>
      <c r="AC12" s="2437"/>
      <c r="AD12" s="2438">
        <f>ROUND(AVERAGE(I12:I$41)/100,4)</f>
        <v>1.7600000000000001E-2</v>
      </c>
      <c r="AE12" s="2438">
        <f>ROUND(AVERAGE(J12:J$41)/100,4)</f>
        <v>1.11E-2</v>
      </c>
      <c r="AF12" s="2438">
        <f t="shared" si="10"/>
        <v>1.11E-2</v>
      </c>
      <c r="AG12" s="2438">
        <f>ROUND(AVERAGE(K12:K$41)/100,4)</f>
        <v>1.9400000000000001E-2</v>
      </c>
      <c r="AH12" s="2438">
        <f>ROUND(AVERAGE(L12:L$41)/100,4)</f>
        <v>1.2800000000000001E-2</v>
      </c>
    </row>
    <row r="13" spans="1:34" s="2446" customFormat="1">
      <c r="A13" s="2439" t="s">
        <v>2283</v>
      </c>
      <c r="B13" s="2440">
        <f t="shared" si="0"/>
        <v>497.92799851020823</v>
      </c>
      <c r="C13" s="2440">
        <f t="shared" si="1"/>
        <v>347.77173663537445</v>
      </c>
      <c r="D13" s="2440">
        <f t="shared" si="2"/>
        <v>347.77173663537445</v>
      </c>
      <c r="E13" s="2440">
        <f t="shared" si="3"/>
        <v>718.44695593258189</v>
      </c>
      <c r="F13" s="2440">
        <f t="shared" si="4"/>
        <v>329.12600580153247</v>
      </c>
      <c r="G13" s="2434">
        <v>2021</v>
      </c>
      <c r="H13" s="2441">
        <v>1</v>
      </c>
      <c r="I13" s="2416">
        <v>0.97</v>
      </c>
      <c r="J13" s="2416">
        <v>0.16</v>
      </c>
      <c r="K13" s="2416">
        <v>1.1100000000000001</v>
      </c>
      <c r="L13" s="2417">
        <v>0.36</v>
      </c>
      <c r="M13" s="2437"/>
      <c r="N13" s="2442">
        <f t="shared" si="5"/>
        <v>9.7000000000000003E-3</v>
      </c>
      <c r="O13" s="2438">
        <f t="shared" si="6"/>
        <v>1.6000000000000001E-3</v>
      </c>
      <c r="P13" s="2438">
        <f t="shared" si="7"/>
        <v>1.11E-2</v>
      </c>
      <c r="Q13" s="2438">
        <f t="shared" si="8"/>
        <v>3.5999999999999999E-3</v>
      </c>
      <c r="R13" s="2443"/>
      <c r="S13" s="2444">
        <f>B13/B14-1</f>
        <v>9.7000000000000419E-3</v>
      </c>
      <c r="T13" s="2445">
        <f>C13/C14-1</f>
        <v>1.6000000000000458E-3</v>
      </c>
      <c r="U13" s="2445">
        <f>E13/E14-1</f>
        <v>1.110000000000011E-2</v>
      </c>
      <c r="V13" s="2445">
        <f>F13/F14-1</f>
        <v>3.6000000000000476E-3</v>
      </c>
      <c r="W13" s="2437"/>
      <c r="X13" s="2437">
        <f>ROUND(IF(项目基本情况!B5="出让",SUMPRODUCT(PRODUCT(1+N13:N$41)),SUMPRODUCT(PRODUCT(1+N13:N$40))),4)</f>
        <v>1.619</v>
      </c>
      <c r="Y13" s="2437">
        <f>ROUND(IF(项目基本情况!B5="出让",SUMPRODUCT(PRODUCT(1+O13:O$41)),SUMPRODUCT(PRODUCT(1+O13:O$40))),4)</f>
        <v>1.3491</v>
      </c>
      <c r="Z13" s="2437">
        <f t="shared" si="9"/>
        <v>1.3491</v>
      </c>
      <c r="AA13" s="2437">
        <f>ROUND(IF(项目基本情况!B5="出让",SUMPRODUCT(PRODUCT(1+P13:P$41)),SUMPRODUCT(PRODUCT(1+P13:P$40))),4)</f>
        <v>1.6988000000000001</v>
      </c>
      <c r="AB13" s="2437">
        <f>ROUND(IF(项目基本情况!B5="出让",SUMPRODUCT(PRODUCT(1+Q13:Q$41)),SUMPRODUCT(PRODUCT(1+Q13:Q$40))),4)</f>
        <v>1.4315</v>
      </c>
      <c r="AC13" s="2437"/>
      <c r="AD13" s="2438">
        <f>ROUND(AVERAGE(I13:I$41)/100,4)</f>
        <v>1.7899999999999999E-2</v>
      </c>
      <c r="AE13" s="2438">
        <f>ROUND(AVERAGE(J13:J$41)/100,4)</f>
        <v>1.12E-2</v>
      </c>
      <c r="AF13" s="2438">
        <f t="shared" si="10"/>
        <v>1.12E-2</v>
      </c>
      <c r="AG13" s="2438">
        <f>ROUND(AVERAGE(K13:K$41)/100,4)</f>
        <v>1.9699999999999999E-2</v>
      </c>
      <c r="AH13" s="2438">
        <f>ROUND(AVERAGE(L13:L$41)/100,4)</f>
        <v>1.29E-2</v>
      </c>
    </row>
    <row r="14" spans="1:34" s="2446" customFormat="1">
      <c r="A14" s="2439" t="s">
        <v>2280</v>
      </c>
      <c r="B14" s="2440">
        <f t="shared" si="0"/>
        <v>493.14449689037161</v>
      </c>
      <c r="C14" s="2440">
        <f t="shared" si="1"/>
        <v>347.21619073020611</v>
      </c>
      <c r="D14" s="2440">
        <f t="shared" si="2"/>
        <v>347.21619073020611</v>
      </c>
      <c r="E14" s="2440">
        <f t="shared" si="3"/>
        <v>710.55974278763904</v>
      </c>
      <c r="F14" s="2440">
        <f t="shared" si="4"/>
        <v>327.94540235306141</v>
      </c>
      <c r="G14" s="2434">
        <v>2020</v>
      </c>
      <c r="H14" s="2441">
        <v>4</v>
      </c>
      <c r="I14" s="2416">
        <v>2.0699999999999998</v>
      </c>
      <c r="J14" s="2416">
        <v>0.37</v>
      </c>
      <c r="K14" s="2416">
        <v>2.35</v>
      </c>
      <c r="L14" s="2417">
        <v>2.69</v>
      </c>
      <c r="M14" s="2437"/>
      <c r="N14" s="2442">
        <f t="shared" si="5"/>
        <v>2.07E-2</v>
      </c>
      <c r="O14" s="2438">
        <f t="shared" si="6"/>
        <v>3.7000000000000002E-3</v>
      </c>
      <c r="P14" s="2438">
        <f t="shared" si="7"/>
        <v>2.35E-2</v>
      </c>
      <c r="Q14" s="2438">
        <f t="shared" si="8"/>
        <v>2.69E-2</v>
      </c>
      <c r="R14" s="2443"/>
      <c r="S14" s="2444"/>
      <c r="T14" s="2445"/>
      <c r="U14" s="2445"/>
      <c r="V14" s="2445"/>
      <c r="W14" s="2437"/>
      <c r="X14" s="2437">
        <f>ROUND(IF(项目基本情况!B6="出让",SUMPRODUCT(PRODUCT(1+N14:N$41)),SUMPRODUCT(PRODUCT(1+N14:N$40))),4)</f>
        <v>1.6034999999999999</v>
      </c>
      <c r="Y14" s="2437">
        <f>ROUND(IF(项目基本情况!B6="出让",SUMPRODUCT(PRODUCT(1+O14:O$41)),SUMPRODUCT(PRODUCT(1+O14:O$40))),4)</f>
        <v>1.3469</v>
      </c>
      <c r="Z14" s="2437">
        <f t="shared" si="9"/>
        <v>1.3469</v>
      </c>
      <c r="AA14" s="2437">
        <f>ROUND(IF(项目基本情况!B6="出让",SUMPRODUCT(PRODUCT(1+P14:P$41)),SUMPRODUCT(PRODUCT(1+P14:P$40))),4)</f>
        <v>1.6801999999999999</v>
      </c>
      <c r="AB14" s="2437">
        <f>ROUND(IF(项目基本情况!B6="出让",SUMPRODUCT(PRODUCT(1+Q14:Q$41)),SUMPRODUCT(PRODUCT(1+Q14:Q$40))),4)</f>
        <v>1.4263999999999999</v>
      </c>
      <c r="AC14" s="2437"/>
      <c r="AD14" s="2438">
        <f>ROUND(AVERAGE(I14:I$41)/100,4)</f>
        <v>1.8200000000000001E-2</v>
      </c>
      <c r="AE14" s="2438">
        <f>ROUND(AVERAGE(J14:J$41)/100,4)</f>
        <v>1.1599999999999999E-2</v>
      </c>
      <c r="AF14" s="2438">
        <f t="shared" si="10"/>
        <v>1.1599999999999999E-2</v>
      </c>
      <c r="AG14" s="2438">
        <f>ROUND(AVERAGE(K14:K$41)/100,4)</f>
        <v>0.02</v>
      </c>
      <c r="AH14" s="2438">
        <f>ROUND(AVERAGE(L14:L$41)/100,4)</f>
        <v>1.3299999999999999E-2</v>
      </c>
    </row>
    <row r="15" spans="1:34" s="2446" customFormat="1">
      <c r="A15" s="2439" t="s">
        <v>2279</v>
      </c>
      <c r="B15" s="2440">
        <f t="shared" si="0"/>
        <v>483.1434279321756</v>
      </c>
      <c r="C15" s="2440">
        <f t="shared" si="1"/>
        <v>345.93622669144776</v>
      </c>
      <c r="D15" s="2440">
        <f t="shared" si="2"/>
        <v>345.93622669144776</v>
      </c>
      <c r="E15" s="2440">
        <f t="shared" si="3"/>
        <v>694.24498562544113</v>
      </c>
      <c r="F15" s="2440">
        <f t="shared" si="4"/>
        <v>319.35475932716082</v>
      </c>
      <c r="G15" s="2434">
        <v>2020</v>
      </c>
      <c r="H15" s="2441">
        <v>3</v>
      </c>
      <c r="I15" s="2416">
        <v>0.36</v>
      </c>
      <c r="J15" s="2416">
        <v>-0.39</v>
      </c>
      <c r="K15" s="2416">
        <v>0.49</v>
      </c>
      <c r="L15" s="2417">
        <v>7.0000000000000007E-2</v>
      </c>
      <c r="M15" s="2437"/>
      <c r="N15" s="2442">
        <f t="shared" si="5"/>
        <v>3.5999999999999999E-3</v>
      </c>
      <c r="O15" s="2438">
        <f t="shared" si="6"/>
        <v>-3.9000000000000003E-3</v>
      </c>
      <c r="P15" s="2438">
        <f t="shared" si="7"/>
        <v>4.8999999999999998E-3</v>
      </c>
      <c r="Q15" s="2438">
        <f t="shared" si="8"/>
        <v>7.000000000000001E-4</v>
      </c>
      <c r="R15" s="2443"/>
      <c r="S15" s="2444"/>
      <c r="T15" s="2445"/>
      <c r="U15" s="2445"/>
      <c r="V15" s="2445"/>
      <c r="W15" s="2437"/>
      <c r="X15" s="2437">
        <f>ROUND(IF(项目基本情况!B7="出让",SUMPRODUCT(PRODUCT(1+N15:N$41)),SUMPRODUCT(PRODUCT(1+N15:N$40))),4)</f>
        <v>1.571</v>
      </c>
      <c r="Y15" s="2437">
        <f>ROUND(IF(项目基本情况!B7="出让",SUMPRODUCT(PRODUCT(1+O15:O$41)),SUMPRODUCT(PRODUCT(1+O15:O$40))),4)</f>
        <v>1.3420000000000001</v>
      </c>
      <c r="Z15" s="2437">
        <f t="shared" si="9"/>
        <v>1.3420000000000001</v>
      </c>
      <c r="AA15" s="2437">
        <f>ROUND(IF(项目基本情况!B7="出让",SUMPRODUCT(PRODUCT(1+P15:P$41)),SUMPRODUCT(PRODUCT(1+P15:P$40))),4)</f>
        <v>1.6415999999999999</v>
      </c>
      <c r="AB15" s="2437">
        <f>ROUND(IF(项目基本情况!B7="出让",SUMPRODUCT(PRODUCT(1+Q15:Q$41)),SUMPRODUCT(PRODUCT(1+Q15:Q$40))),4)</f>
        <v>1.389</v>
      </c>
      <c r="AC15" s="2437"/>
      <c r="AD15" s="2438">
        <f>ROUND(AVERAGE(I15:I$41)/100,4)</f>
        <v>1.8100000000000002E-2</v>
      </c>
      <c r="AE15" s="2438">
        <f>ROUND(AVERAGE(J15:J$41)/100,4)</f>
        <v>1.1900000000000001E-2</v>
      </c>
      <c r="AF15" s="2438">
        <f t="shared" si="10"/>
        <v>1.1900000000000001E-2</v>
      </c>
      <c r="AG15" s="2438">
        <f>ROUND(AVERAGE(K15:K$41)/100,4)</f>
        <v>1.9900000000000001E-2</v>
      </c>
      <c r="AH15" s="2438">
        <f>ROUND(AVERAGE(L15:L$41)/100,4)</f>
        <v>1.2800000000000001E-2</v>
      </c>
    </row>
    <row r="16" spans="1:34" s="2446" customFormat="1">
      <c r="A16" s="2439" t="s">
        <v>2246</v>
      </c>
      <c r="B16" s="2440">
        <f t="shared" si="0"/>
        <v>481.4103506697644</v>
      </c>
      <c r="C16" s="2440">
        <f t="shared" si="1"/>
        <v>347.29066026648707</v>
      </c>
      <c r="D16" s="2440">
        <f t="shared" si="2"/>
        <v>347.29066026648707</v>
      </c>
      <c r="E16" s="2440">
        <f t="shared" si="3"/>
        <v>690.85977273901995</v>
      </c>
      <c r="F16" s="2440">
        <f t="shared" si="4"/>
        <v>319.13136737000184</v>
      </c>
      <c r="G16" s="2434">
        <v>2020</v>
      </c>
      <c r="H16" s="2441">
        <v>2</v>
      </c>
      <c r="I16" s="2416">
        <v>0.31</v>
      </c>
      <c r="J16" s="2416">
        <v>-0.78</v>
      </c>
      <c r="K16" s="2416">
        <v>0.5</v>
      </c>
      <c r="L16" s="2417">
        <v>0.47</v>
      </c>
      <c r="M16" s="2437"/>
      <c r="N16" s="2442">
        <f t="shared" si="5"/>
        <v>3.0999999999999999E-3</v>
      </c>
      <c r="O16" s="2438">
        <f t="shared" si="6"/>
        <v>-7.8000000000000005E-3</v>
      </c>
      <c r="P16" s="2438">
        <f t="shared" si="7"/>
        <v>5.0000000000000001E-3</v>
      </c>
      <c r="Q16" s="2438">
        <f t="shared" si="8"/>
        <v>4.6999999999999993E-3</v>
      </c>
      <c r="R16" s="2443"/>
      <c r="S16" s="2444"/>
      <c r="T16" s="2445"/>
      <c r="U16" s="2445"/>
      <c r="V16" s="2445"/>
      <c r="W16" s="2437"/>
      <c r="X16" s="2437">
        <f>ROUND(IF(项目基本情况!B8="出让",SUMPRODUCT(PRODUCT(1+N16:N$41)),SUMPRODUCT(PRODUCT(1+N16:N$40))),4)</f>
        <v>1.5652999999999999</v>
      </c>
      <c r="Y16" s="2437">
        <f>ROUND(IF(项目基本情况!B8="出让",SUMPRODUCT(PRODUCT(1+O16:O$41)),SUMPRODUCT(PRODUCT(1+O16:O$40))),4)</f>
        <v>1.3472</v>
      </c>
      <c r="Z16" s="2437">
        <f t="shared" si="9"/>
        <v>1.3472</v>
      </c>
      <c r="AA16" s="2437">
        <f>ROUND(IF(项目基本情况!B8="出让",SUMPRODUCT(PRODUCT(1+P16:P$41)),SUMPRODUCT(PRODUCT(1+P16:P$40))),4)</f>
        <v>1.6335999999999999</v>
      </c>
      <c r="AB16" s="2437">
        <f>ROUND(IF(项目基本情况!B8="出让",SUMPRODUCT(PRODUCT(1+Q16:Q$41)),SUMPRODUCT(PRODUCT(1+Q16:Q$40))),4)</f>
        <v>1.3880999999999999</v>
      </c>
      <c r="AC16" s="2437"/>
      <c r="AD16" s="2438">
        <f>ROUND(AVERAGE(I16:I$41)/100,4)</f>
        <v>1.8599999999999998E-2</v>
      </c>
      <c r="AE16" s="2438">
        <f>ROUND(AVERAGE(J16:J$41)/100,4)</f>
        <v>1.2500000000000001E-2</v>
      </c>
      <c r="AF16" s="2438">
        <f t="shared" si="10"/>
        <v>1.2500000000000001E-2</v>
      </c>
      <c r="AG16" s="2438">
        <f>ROUND(AVERAGE(K16:K$41)/100,4)</f>
        <v>2.0400000000000001E-2</v>
      </c>
      <c r="AH16" s="2438">
        <f>ROUND(AVERAGE(L16:L$41)/100,4)</f>
        <v>1.32E-2</v>
      </c>
    </row>
    <row r="17" spans="1:34" s="2446" customFormat="1">
      <c r="A17" s="2439" t="s">
        <v>2244</v>
      </c>
      <c r="B17" s="2440">
        <f t="shared" si="0"/>
        <v>479.92259063878413</v>
      </c>
      <c r="C17" s="2440">
        <f t="shared" si="1"/>
        <v>350.02082268341775</v>
      </c>
      <c r="D17" s="2440">
        <f t="shared" si="2"/>
        <v>350.02082268341775</v>
      </c>
      <c r="E17" s="2440">
        <f t="shared" si="3"/>
        <v>687.42265944181099</v>
      </c>
      <c r="F17" s="2440">
        <f t="shared" si="4"/>
        <v>317.63846657708956</v>
      </c>
      <c r="G17" s="2434">
        <v>2020</v>
      </c>
      <c r="H17" s="2441">
        <v>1</v>
      </c>
      <c r="I17" s="2416">
        <v>0.12</v>
      </c>
      <c r="J17" s="2416">
        <v>-0.4</v>
      </c>
      <c r="K17" s="2416">
        <v>0.21</v>
      </c>
      <c r="L17" s="2417">
        <v>0.27</v>
      </c>
      <c r="M17" s="2437"/>
      <c r="N17" s="2442">
        <f t="shared" si="5"/>
        <v>1.1999999999999999E-3</v>
      </c>
      <c r="O17" s="2438">
        <f t="shared" si="6"/>
        <v>-4.0000000000000001E-3</v>
      </c>
      <c r="P17" s="2438">
        <f t="shared" si="7"/>
        <v>2.0999999999999999E-3</v>
      </c>
      <c r="Q17" s="2438">
        <f t="shared" si="8"/>
        <v>2.7000000000000001E-3</v>
      </c>
      <c r="R17" s="2443"/>
      <c r="S17" s="2444">
        <f>B17/B18-1</f>
        <v>1.2000000000000899E-3</v>
      </c>
      <c r="T17" s="2445">
        <f>C17/C18-1</f>
        <v>-4.0000000000000036E-3</v>
      </c>
      <c r="U17" s="2445">
        <f>E17/E18-1</f>
        <v>2.0999999999999908E-3</v>
      </c>
      <c r="V17" s="2445">
        <f>F17/F18-1</f>
        <v>2.6999999999999247E-3</v>
      </c>
      <c r="W17" s="2437"/>
      <c r="X17" s="2437">
        <f>ROUND(IF(项目基本情况!B8="出让",SUMPRODUCT(PRODUCT(1+N17:N$41)),SUMPRODUCT(PRODUCT(1+N17:N$40))),4)</f>
        <v>1.5605</v>
      </c>
      <c r="Y17" s="2437">
        <f>ROUND(IF(项目基本情况!B8="出让",SUMPRODUCT(PRODUCT(1+O17:O$41)),SUMPRODUCT(PRODUCT(1+O17:O$40))),4)</f>
        <v>1.3577999999999999</v>
      </c>
      <c r="Z17" s="2437">
        <f t="shared" si="9"/>
        <v>1.3577999999999999</v>
      </c>
      <c r="AA17" s="2437">
        <f>ROUND(IF(项目基本情况!B8="出让",SUMPRODUCT(PRODUCT(1+P17:P$41)),SUMPRODUCT(PRODUCT(1+P17:P$40))),4)</f>
        <v>1.6254999999999999</v>
      </c>
      <c r="AB17" s="2437">
        <f>ROUND(IF(项目基本情况!B8="出让",SUMPRODUCT(PRODUCT(1+Q17:Q$41)),SUMPRODUCT(PRODUCT(1+Q17:Q$40))),4)</f>
        <v>1.3815999999999999</v>
      </c>
      <c r="AC17" s="2437"/>
      <c r="AD17" s="2438">
        <f>ROUND(AVERAGE(I17:I$41)/100,4)</f>
        <v>1.9199999999999998E-2</v>
      </c>
      <c r="AE17" s="2438">
        <f>ROUND(AVERAGE(J17:J$41)/100,4)</f>
        <v>1.3299999999999999E-2</v>
      </c>
      <c r="AF17" s="2438">
        <f t="shared" si="10"/>
        <v>1.3299999999999999E-2</v>
      </c>
      <c r="AG17" s="2438">
        <f>ROUND(AVERAGE(K17:K$41)/100,4)</f>
        <v>2.1100000000000001E-2</v>
      </c>
      <c r="AH17" s="2438">
        <f>ROUND(AVERAGE(L17:L$41)/100,4)</f>
        <v>1.3599999999999999E-2</v>
      </c>
    </row>
    <row r="18" spans="1:34" s="2446" customFormat="1">
      <c r="A18" s="2439" t="s">
        <v>2242</v>
      </c>
      <c r="B18" s="2440">
        <f t="shared" si="0"/>
        <v>479.34737379023579</v>
      </c>
      <c r="C18" s="2440">
        <f t="shared" si="1"/>
        <v>351.4265287986122</v>
      </c>
      <c r="D18" s="2440">
        <f t="shared" si="2"/>
        <v>351.4265287986122</v>
      </c>
      <c r="E18" s="2440">
        <f t="shared" si="3"/>
        <v>685.98209703803116</v>
      </c>
      <c r="F18" s="2440">
        <f t="shared" si="4"/>
        <v>316.78315206651001</v>
      </c>
      <c r="G18" s="2434">
        <v>2019</v>
      </c>
      <c r="H18" s="2441">
        <v>4</v>
      </c>
      <c r="I18" s="2441">
        <v>0.45</v>
      </c>
      <c r="J18" s="2441">
        <v>-0.12</v>
      </c>
      <c r="K18" s="2441">
        <v>0.54</v>
      </c>
      <c r="L18" s="2447">
        <v>0.48</v>
      </c>
      <c r="M18" s="2437"/>
      <c r="N18" s="2442">
        <f t="shared" si="5"/>
        <v>4.5000000000000005E-3</v>
      </c>
      <c r="O18" s="2438">
        <f t="shared" si="6"/>
        <v>-1.1999999999999999E-3</v>
      </c>
      <c r="P18" s="2438">
        <f t="shared" si="7"/>
        <v>5.4000000000000003E-3</v>
      </c>
      <c r="Q18" s="2438">
        <f t="shared" si="8"/>
        <v>4.7999999999999996E-3</v>
      </c>
      <c r="R18" s="2443"/>
      <c r="S18" s="2444"/>
      <c r="T18" s="2445"/>
      <c r="U18" s="2445"/>
      <c r="V18" s="2445"/>
      <c r="W18" s="2437"/>
      <c r="X18" s="2437">
        <f>ROUND(IF(项目基本情况!B8="出让",SUMPRODUCT(PRODUCT(1+N18:N$41)),SUMPRODUCT(PRODUCT(1+N18:N$40))),4)</f>
        <v>1.5586</v>
      </c>
      <c r="Y18" s="2437">
        <f>ROUND(IF(项目基本情况!B8="出让",SUMPRODUCT(PRODUCT(1+O18:O$41)),SUMPRODUCT(PRODUCT(1+O18:O$40))),4)</f>
        <v>1.3633</v>
      </c>
      <c r="Z18" s="2437">
        <f t="shared" si="9"/>
        <v>1.3633</v>
      </c>
      <c r="AA18" s="2437">
        <f>ROUND(IF(项目基本情况!B8="出让",SUMPRODUCT(PRODUCT(1+P18:P$41)),SUMPRODUCT(PRODUCT(1+P18:P$40))),4)</f>
        <v>1.6221000000000001</v>
      </c>
      <c r="AB18" s="2437">
        <f>ROUND(IF(项目基本情况!B8="出让",SUMPRODUCT(PRODUCT(1+Q18:Q$41)),SUMPRODUCT(PRODUCT(1+Q18:Q$40))),4)</f>
        <v>1.3777999999999999</v>
      </c>
      <c r="AC18" s="2437"/>
      <c r="AD18" s="2438">
        <f>ROUND(AVERAGE(I18:I$41)/100,4)</f>
        <v>0.02</v>
      </c>
      <c r="AE18" s="2438">
        <f>ROUND(AVERAGE(J18:J$41)/100,4)</f>
        <v>1.4E-2</v>
      </c>
      <c r="AF18" s="2438">
        <f t="shared" si="10"/>
        <v>1.4E-2</v>
      </c>
      <c r="AG18" s="2438">
        <f>ROUND(AVERAGE(K18:K$41)/100,4)</f>
        <v>2.1899999999999999E-2</v>
      </c>
      <c r="AH18" s="2438">
        <f>ROUND(AVERAGE(L18:L$41)/100,4)</f>
        <v>1.4E-2</v>
      </c>
    </row>
    <row r="19" spans="1:34" s="2446" customFormat="1" ht="13.5" thickBot="1">
      <c r="A19" s="2439" t="s">
        <v>2241</v>
      </c>
      <c r="B19" s="2440">
        <f t="shared" si="0"/>
        <v>477.19997390765138</v>
      </c>
      <c r="C19" s="2440">
        <f t="shared" si="1"/>
        <v>351.84874729536665</v>
      </c>
      <c r="D19" s="2440">
        <f t="shared" si="2"/>
        <v>351.84874729536665</v>
      </c>
      <c r="E19" s="2440">
        <f t="shared" si="3"/>
        <v>682.29768951465201</v>
      </c>
      <c r="F19" s="2440">
        <f t="shared" si="4"/>
        <v>315.26985675409043</v>
      </c>
      <c r="G19" s="2434">
        <v>2019</v>
      </c>
      <c r="H19" s="2441">
        <v>3</v>
      </c>
      <c r="I19" s="2441">
        <v>0.61</v>
      </c>
      <c r="J19" s="2441">
        <v>0.67</v>
      </c>
      <c r="K19" s="2441">
        <v>0.6</v>
      </c>
      <c r="L19" s="2447">
        <v>1.03</v>
      </c>
      <c r="M19" s="2437"/>
      <c r="N19" s="2442">
        <f t="shared" si="5"/>
        <v>6.0999999999999995E-3</v>
      </c>
      <c r="O19" s="2438">
        <f t="shared" si="6"/>
        <v>6.7000000000000002E-3</v>
      </c>
      <c r="P19" s="2438">
        <f t="shared" si="7"/>
        <v>6.0000000000000001E-3</v>
      </c>
      <c r="Q19" s="2438">
        <f t="shared" si="8"/>
        <v>1.03E-2</v>
      </c>
      <c r="R19" s="2443"/>
      <c r="S19" s="2444"/>
      <c r="T19" s="2445"/>
      <c r="U19" s="2445"/>
      <c r="V19" s="2445"/>
      <c r="W19" s="2437"/>
      <c r="X19" s="2437">
        <f>ROUND(IF(项目基本情况!B8="出让",SUMPRODUCT(PRODUCT(1+N19:N$41)),SUMPRODUCT(PRODUCT(1+N19:N$40))),4)</f>
        <v>1.5516000000000001</v>
      </c>
      <c r="Y19" s="2437">
        <f>ROUND(IF(项目基本情况!B8="出让",SUMPRODUCT(PRODUCT(1+O19:O$41)),SUMPRODUCT(PRODUCT(1+O19:O$40))),4)</f>
        <v>1.3649</v>
      </c>
      <c r="Z19" s="2437">
        <f t="shared" si="9"/>
        <v>1.3649</v>
      </c>
      <c r="AA19" s="2437">
        <f>ROUND(IF(项目基本情况!B8="出让",SUMPRODUCT(PRODUCT(1+P19:P$41)),SUMPRODUCT(PRODUCT(1+P19:P$40))),4)</f>
        <v>1.6133999999999999</v>
      </c>
      <c r="AB19" s="2437">
        <f>ROUND(IF(项目基本情况!B8="出让",SUMPRODUCT(PRODUCT(1+Q19:Q$41)),SUMPRODUCT(PRODUCT(1+Q19:Q$40))),4)</f>
        <v>1.3713</v>
      </c>
      <c r="AC19" s="2437"/>
      <c r="AD19" s="2438">
        <f>ROUND(AVERAGE(I19:I$41)/100,4)</f>
        <v>2.07E-2</v>
      </c>
      <c r="AE19" s="2438">
        <f>ROUND(AVERAGE(J19:J$41)/100,4)</f>
        <v>1.47E-2</v>
      </c>
      <c r="AF19" s="2438">
        <f t="shared" si="10"/>
        <v>1.47E-2</v>
      </c>
      <c r="AG19" s="2438">
        <f>ROUND(AVERAGE(K19:K$41)/100,4)</f>
        <v>2.2599999999999999E-2</v>
      </c>
      <c r="AH19" s="2438">
        <f>ROUND(AVERAGE(L19:L$41)/100,4)</f>
        <v>1.44E-2</v>
      </c>
    </row>
    <row r="20" spans="1:34" s="2446" customFormat="1">
      <c r="A20" s="2439" t="s">
        <v>2239</v>
      </c>
      <c r="B20" s="2440">
        <f t="shared" ref="B20:B25" si="11">B21*(1+N20)</f>
        <v>474.30670301923408</v>
      </c>
      <c r="C20" s="2440">
        <f t="shared" ref="C20:C25" si="12">C21*(1+O20)</f>
        <v>349.50705005996491</v>
      </c>
      <c r="D20" s="2440">
        <f t="shared" si="2"/>
        <v>349.50705005996491</v>
      </c>
      <c r="E20" s="2440">
        <f t="shared" si="3"/>
        <v>678.22831959706957</v>
      </c>
      <c r="F20" s="2440">
        <f t="shared" si="4"/>
        <v>312.0556832169558</v>
      </c>
      <c r="G20" s="2434">
        <v>2019</v>
      </c>
      <c r="H20" s="2448">
        <v>2</v>
      </c>
      <c r="I20" s="2448">
        <v>1.53</v>
      </c>
      <c r="J20" s="2448">
        <v>1.01</v>
      </c>
      <c r="K20" s="2448">
        <v>1.62</v>
      </c>
      <c r="L20" s="2449">
        <v>1.25</v>
      </c>
      <c r="M20" s="2437"/>
      <c r="N20" s="2442">
        <f t="shared" si="5"/>
        <v>1.5300000000000001E-2</v>
      </c>
      <c r="O20" s="2438">
        <f t="shared" si="6"/>
        <v>1.01E-2</v>
      </c>
      <c r="P20" s="2438">
        <f t="shared" si="7"/>
        <v>1.6200000000000003E-2</v>
      </c>
      <c r="Q20" s="2438">
        <f t="shared" si="8"/>
        <v>1.2500000000000001E-2</v>
      </c>
      <c r="R20" s="2443"/>
      <c r="S20" s="2444"/>
      <c r="T20" s="2445"/>
      <c r="U20" s="2445"/>
      <c r="V20" s="2445"/>
      <c r="W20" s="2437"/>
      <c r="X20" s="2437">
        <f>ROUND(IF(项目基本情况!B8="出让",SUMPRODUCT(PRODUCT(1+N20:N$41)),SUMPRODUCT(PRODUCT(1+N20:N$40))),4)</f>
        <v>1.5422</v>
      </c>
      <c r="Y20" s="2437">
        <f>ROUND(IF(项目基本情况!B8="出让",SUMPRODUCT(PRODUCT(1+O20:O$41)),SUMPRODUCT(PRODUCT(1+O20:O$40))),4)</f>
        <v>1.3557999999999999</v>
      </c>
      <c r="Z20" s="2437">
        <f t="shared" si="9"/>
        <v>1.3557999999999999</v>
      </c>
      <c r="AA20" s="2437">
        <f>ROUND(IF(项目基本情况!B8="出让",SUMPRODUCT(PRODUCT(1+P20:P$41)),SUMPRODUCT(PRODUCT(1+P20:P$40))),4)</f>
        <v>1.6036999999999999</v>
      </c>
      <c r="AB20" s="2437">
        <f>ROUND(IF(项目基本情况!B8="出让",SUMPRODUCT(PRODUCT(1+Q20:Q$41)),SUMPRODUCT(PRODUCT(1+Q20:Q$40))),4)</f>
        <v>1.3573</v>
      </c>
      <c r="AC20" s="2437"/>
      <c r="AD20" s="2438">
        <f>ROUND(AVERAGE(I20:I$41)/100,4)</f>
        <v>2.1299999999999999E-2</v>
      </c>
      <c r="AE20" s="2438">
        <f>ROUND(AVERAGE(J20:J$41)/100,4)</f>
        <v>1.4999999999999999E-2</v>
      </c>
      <c r="AF20" s="2438">
        <f t="shared" si="10"/>
        <v>1.4999999999999999E-2</v>
      </c>
      <c r="AG20" s="2438">
        <f>ROUND(AVERAGE(K20:K$41)/100,4)</f>
        <v>2.3300000000000001E-2</v>
      </c>
      <c r="AH20" s="2438">
        <f>ROUND(AVERAGE(L20:L$41)/100,4)</f>
        <v>1.46E-2</v>
      </c>
    </row>
    <row r="21" spans="1:34" s="2446" customFormat="1" ht="13.5" thickBot="1">
      <c r="A21" s="2439" t="s">
        <v>2238</v>
      </c>
      <c r="B21" s="2440">
        <f t="shared" si="11"/>
        <v>467.15916775261894</v>
      </c>
      <c r="C21" s="2440">
        <f t="shared" si="12"/>
        <v>346.01232557169084</v>
      </c>
      <c r="D21" s="2440">
        <f t="shared" si="2"/>
        <v>346.01232557169084</v>
      </c>
      <c r="E21" s="2440">
        <f t="shared" si="3"/>
        <v>667.41617752122568</v>
      </c>
      <c r="F21" s="2440">
        <f t="shared" si="4"/>
        <v>308.20314391798104</v>
      </c>
      <c r="G21" s="2434">
        <v>2019</v>
      </c>
      <c r="H21" s="2441">
        <v>1</v>
      </c>
      <c r="I21" s="2441">
        <v>0.6</v>
      </c>
      <c r="J21" s="2441">
        <v>0.37</v>
      </c>
      <c r="K21" s="2441">
        <v>0.63</v>
      </c>
      <c r="L21" s="2447">
        <v>1.1299999999999999</v>
      </c>
      <c r="M21" s="2437"/>
      <c r="N21" s="2442">
        <f t="shared" si="5"/>
        <v>6.0000000000000001E-3</v>
      </c>
      <c r="O21" s="2438">
        <f t="shared" si="6"/>
        <v>3.7000000000000002E-3</v>
      </c>
      <c r="P21" s="2438">
        <f t="shared" si="7"/>
        <v>6.3E-3</v>
      </c>
      <c r="Q21" s="2438">
        <f t="shared" si="8"/>
        <v>1.1299999999999999E-2</v>
      </c>
      <c r="R21" s="2443"/>
      <c r="S21" s="2444">
        <f>B21/B22-1</f>
        <v>6.0000000000000053E-3</v>
      </c>
      <c r="T21" s="2445">
        <f>C21/C22-1</f>
        <v>3.7000000000000366E-3</v>
      </c>
      <c r="U21" s="2445">
        <f>E21/E22-1</f>
        <v>6.2999999999999723E-3</v>
      </c>
      <c r="V21" s="2445">
        <f>F21/F22-1</f>
        <v>1.1300000000000088E-2</v>
      </c>
      <c r="W21" s="2437"/>
      <c r="X21" s="2437">
        <f>ROUND(IF(项目基本情况!B8="出让",SUMPRODUCT(PRODUCT(1+N21:N$41)),SUMPRODUCT(PRODUCT(1+N21:N$40))),4)</f>
        <v>1.5189999999999999</v>
      </c>
      <c r="Y21" s="2437">
        <f>ROUND(IF(项目基本情况!B8="出让",SUMPRODUCT(PRODUCT(1+O21:O$41)),SUMPRODUCT(PRODUCT(1+O21:O$40))),4)</f>
        <v>1.3423</v>
      </c>
      <c r="Z21" s="2437">
        <f t="shared" si="9"/>
        <v>1.3423</v>
      </c>
      <c r="AA21" s="2437">
        <f>ROUND(IF(项目基本情况!B8="出让",SUMPRODUCT(PRODUCT(1+P21:P$41)),SUMPRODUCT(PRODUCT(1+P21:P$40))),4)</f>
        <v>1.5782</v>
      </c>
      <c r="AB21" s="2437">
        <f>ROUND(IF(项目基本情况!B8="出让",SUMPRODUCT(PRODUCT(1+Q21:Q$41)),SUMPRODUCT(PRODUCT(1+Q21:Q$40))),4)</f>
        <v>1.3405</v>
      </c>
      <c r="AC21" s="2437"/>
      <c r="AD21" s="2438">
        <f>ROUND(AVERAGE(I21:I$41)/100,4)</f>
        <v>2.1600000000000001E-2</v>
      </c>
      <c r="AE21" s="2438">
        <f>ROUND(AVERAGE(J21:J$41)/100,4)</f>
        <v>1.5299999999999999E-2</v>
      </c>
      <c r="AF21" s="2438">
        <f t="shared" si="10"/>
        <v>1.5299999999999999E-2</v>
      </c>
      <c r="AG21" s="2438">
        <f>ROUND(AVERAGE(K21:K$41)/100,4)</f>
        <v>2.3699999999999999E-2</v>
      </c>
      <c r="AH21" s="2438">
        <f>ROUND(AVERAGE(L21:L$41)/100,4)</f>
        <v>1.47E-2</v>
      </c>
    </row>
    <row r="22" spans="1:34" s="2446" customFormat="1">
      <c r="A22" s="2439" t="s">
        <v>2237</v>
      </c>
      <c r="B22" s="2450">
        <f t="shared" si="11"/>
        <v>464.37293017158942</v>
      </c>
      <c r="C22" s="2450">
        <f t="shared" si="12"/>
        <v>344.73679941385956</v>
      </c>
      <c r="D22" s="2450">
        <f t="shared" si="2"/>
        <v>344.73679941385956</v>
      </c>
      <c r="E22" s="2450">
        <f t="shared" si="3"/>
        <v>663.2377795103107</v>
      </c>
      <c r="F22" s="2451">
        <f t="shared" si="4"/>
        <v>304.75936311478398</v>
      </c>
      <c r="G22" s="3761">
        <v>2018</v>
      </c>
      <c r="H22" s="2448">
        <v>4</v>
      </c>
      <c r="I22" s="2448">
        <v>0.96</v>
      </c>
      <c r="J22" s="2448">
        <v>1.03</v>
      </c>
      <c r="K22" s="2448">
        <v>0.92</v>
      </c>
      <c r="L22" s="2449">
        <v>1.29</v>
      </c>
      <c r="M22" s="2437"/>
      <c r="N22" s="2442">
        <f t="shared" si="5"/>
        <v>9.5999999999999992E-3</v>
      </c>
      <c r="O22" s="2438">
        <f t="shared" si="6"/>
        <v>1.03E-2</v>
      </c>
      <c r="P22" s="2438">
        <f t="shared" si="7"/>
        <v>9.1999999999999998E-3</v>
      </c>
      <c r="Q22" s="2438">
        <f t="shared" si="8"/>
        <v>1.29E-2</v>
      </c>
      <c r="R22" s="2443"/>
      <c r="S22" s="2452"/>
      <c r="T22" s="2453"/>
      <c r="U22" s="2453"/>
      <c r="V22" s="2453"/>
      <c r="W22" s="2437"/>
      <c r="X22" s="2437">
        <f>ROUND(SUMPRODUCT(PRODUCT(1+N22:N$40)),4)</f>
        <v>1.5099</v>
      </c>
      <c r="Y22" s="2437">
        <f>ROUND(SUMPRODUCT(PRODUCT(1+O22:O$40)),4)</f>
        <v>1.3372999999999999</v>
      </c>
      <c r="Z22" s="2437">
        <f t="shared" si="9"/>
        <v>1.3372999999999999</v>
      </c>
      <c r="AA22" s="2437">
        <f>ROUND(SUMPRODUCT(PRODUCT(1+P22:P$40)),4)</f>
        <v>1.5683</v>
      </c>
      <c r="AB22" s="2437">
        <f>ROUND(SUMPRODUCT(PRODUCT(1+Q22:Q$40)),4)</f>
        <v>1.3255999999999999</v>
      </c>
      <c r="AC22" s="2437"/>
      <c r="AD22" s="2438">
        <f>ROUND(AVERAGE(I22:I$41)/100,4)</f>
        <v>2.24E-2</v>
      </c>
      <c r="AE22" s="2438">
        <f>ROUND(AVERAGE(J22:J$41)/100,4)</f>
        <v>1.5800000000000002E-2</v>
      </c>
      <c r="AF22" s="2438">
        <f t="shared" si="10"/>
        <v>1.5800000000000002E-2</v>
      </c>
      <c r="AG22" s="2438">
        <f>ROUND(AVERAGE(K22:K$41)/100,4)</f>
        <v>2.4500000000000001E-2</v>
      </c>
      <c r="AH22" s="2438">
        <f>ROUND(AVERAGE(L22:L$41)/100,4)</f>
        <v>1.49E-2</v>
      </c>
    </row>
    <row r="23" spans="1:34" s="2446" customFormat="1" ht="14.45" customHeight="1">
      <c r="A23" s="2439" t="s">
        <v>2230</v>
      </c>
      <c r="B23" s="2440">
        <f t="shared" si="11"/>
        <v>459.95733971036987</v>
      </c>
      <c r="C23" s="2440">
        <f t="shared" si="12"/>
        <v>341.22221064422405</v>
      </c>
      <c r="D23" s="2440">
        <f t="shared" si="2"/>
        <v>341.22221064422405</v>
      </c>
      <c r="E23" s="2440">
        <f t="shared" si="3"/>
        <v>657.19161663724799</v>
      </c>
      <c r="F23" s="2440">
        <f t="shared" si="4"/>
        <v>300.87803644464805</v>
      </c>
      <c r="G23" s="3761"/>
      <c r="H23" s="2441">
        <v>3</v>
      </c>
      <c r="I23" s="2441">
        <v>1.51</v>
      </c>
      <c r="J23" s="2441">
        <v>1.41</v>
      </c>
      <c r="K23" s="2441">
        <v>1.52</v>
      </c>
      <c r="L23" s="2447">
        <v>1.74</v>
      </c>
      <c r="M23" s="2437"/>
      <c r="N23" s="2442">
        <f t="shared" si="5"/>
        <v>1.5100000000000001E-2</v>
      </c>
      <c r="O23" s="2438">
        <f t="shared" si="6"/>
        <v>1.41E-2</v>
      </c>
      <c r="P23" s="2438">
        <f t="shared" si="7"/>
        <v>1.52E-2</v>
      </c>
      <c r="Q23" s="2438">
        <f t="shared" si="8"/>
        <v>1.7399999999999999E-2</v>
      </c>
      <c r="R23" s="2443"/>
      <c r="S23" s="2442"/>
      <c r="T23" s="2438"/>
      <c r="U23" s="2438"/>
      <c r="V23" s="2438"/>
      <c r="W23" s="2437"/>
      <c r="X23" s="2437">
        <f>ROUND(SUMPRODUCT(PRODUCT(1+N23:N$40)),4)</f>
        <v>1.4956</v>
      </c>
      <c r="Y23" s="2437">
        <f>ROUND(SUMPRODUCT(PRODUCT(1+O23:O$40)),4)</f>
        <v>1.3237000000000001</v>
      </c>
      <c r="Z23" s="2437">
        <f t="shared" si="9"/>
        <v>1.3237000000000001</v>
      </c>
      <c r="AA23" s="2437">
        <f>ROUND(SUMPRODUCT(PRODUCT(1+P23:P$40)),4)</f>
        <v>1.554</v>
      </c>
      <c r="AB23" s="2437">
        <f>ROUND(SUMPRODUCT(PRODUCT(1+Q23:Q$40)),4)</f>
        <v>1.3087</v>
      </c>
      <c r="AC23" s="2437"/>
      <c r="AD23" s="2438">
        <f>ROUND(AVERAGE(I23:I$41)/100,4)</f>
        <v>2.3099999999999999E-2</v>
      </c>
      <c r="AE23" s="2438">
        <f>ROUND(AVERAGE(J23:J$41)/100,4)</f>
        <v>1.61E-2</v>
      </c>
      <c r="AF23" s="2438">
        <f t="shared" si="10"/>
        <v>1.61E-2</v>
      </c>
      <c r="AG23" s="2438">
        <f>ROUND(AVERAGE(K23:K$41)/100,4)</f>
        <v>2.53E-2</v>
      </c>
      <c r="AH23" s="2438">
        <f>ROUND(AVERAGE(L23:L$41)/100,4)</f>
        <v>1.4999999999999999E-2</v>
      </c>
    </row>
    <row r="24" spans="1:34" s="2446" customFormat="1" ht="14.45" customHeight="1">
      <c r="A24" s="2439" t="s">
        <v>2231</v>
      </c>
      <c r="B24" s="2440">
        <f t="shared" si="11"/>
        <v>453.11529869999993</v>
      </c>
      <c r="C24" s="2440">
        <f t="shared" si="12"/>
        <v>336.47787264000004</v>
      </c>
      <c r="D24" s="2440">
        <f t="shared" si="2"/>
        <v>336.47787264000004</v>
      </c>
      <c r="E24" s="2440">
        <f t="shared" si="3"/>
        <v>647.35186823999993</v>
      </c>
      <c r="F24" s="2440">
        <f t="shared" si="4"/>
        <v>295.73229452000004</v>
      </c>
      <c r="G24" s="3761"/>
      <c r="H24" s="2454">
        <v>2</v>
      </c>
      <c r="I24" s="2454">
        <v>1.49</v>
      </c>
      <c r="J24" s="2454">
        <v>0.96</v>
      </c>
      <c r="K24" s="2454">
        <v>1.58</v>
      </c>
      <c r="L24" s="2455">
        <v>2.44</v>
      </c>
      <c r="M24" s="2437"/>
      <c r="N24" s="2442">
        <f t="shared" si="5"/>
        <v>1.49E-2</v>
      </c>
      <c r="O24" s="2438">
        <f t="shared" si="6"/>
        <v>9.5999999999999992E-3</v>
      </c>
      <c r="P24" s="2438">
        <f t="shared" si="7"/>
        <v>1.5800000000000002E-2</v>
      </c>
      <c r="Q24" s="2438">
        <f t="shared" si="8"/>
        <v>2.4399999999999998E-2</v>
      </c>
      <c r="R24" s="2443"/>
      <c r="S24" s="2442"/>
      <c r="T24" s="2438"/>
      <c r="U24" s="2438"/>
      <c r="V24" s="2438"/>
      <c r="W24" s="2437"/>
      <c r="X24" s="2437">
        <f>ROUND(SUMPRODUCT(PRODUCT(1+N24:N$40)),4)</f>
        <v>1.4733000000000001</v>
      </c>
      <c r="Y24" s="2437">
        <f>ROUND(SUMPRODUCT(PRODUCT(1+O24:O$40)),4)</f>
        <v>1.3052999999999999</v>
      </c>
      <c r="Z24" s="2437">
        <f t="shared" si="9"/>
        <v>1.3052999999999999</v>
      </c>
      <c r="AA24" s="2437">
        <f>ROUND(SUMPRODUCT(PRODUCT(1+P24:P$40)),4)</f>
        <v>1.5306999999999999</v>
      </c>
      <c r="AB24" s="2437">
        <f>ROUND(SUMPRODUCT(PRODUCT(1+Q24:Q$40)),4)</f>
        <v>1.2863</v>
      </c>
      <c r="AC24" s="2437"/>
      <c r="AD24" s="2438">
        <f>ROUND(AVERAGE(I24:I$41)/100,4)</f>
        <v>2.35E-2</v>
      </c>
      <c r="AE24" s="2438">
        <f>ROUND(AVERAGE(J24:J$41)/100,4)</f>
        <v>1.6199999999999999E-2</v>
      </c>
      <c r="AF24" s="2438">
        <f t="shared" si="10"/>
        <v>1.6199999999999999E-2</v>
      </c>
      <c r="AG24" s="2438">
        <f>ROUND(AVERAGE(K24:K$41)/100,4)</f>
        <v>2.5899999999999999E-2</v>
      </c>
      <c r="AH24" s="2438">
        <f>ROUND(AVERAGE(L24:L$41)/100,4)</f>
        <v>1.49E-2</v>
      </c>
    </row>
    <row r="25" spans="1:34" s="2446" customFormat="1" ht="15" customHeight="1" thickBot="1">
      <c r="A25" s="2439" t="s">
        <v>2227</v>
      </c>
      <c r="B25" s="2440">
        <f t="shared" si="11"/>
        <v>446.46299999999997</v>
      </c>
      <c r="C25" s="2440">
        <f t="shared" si="12"/>
        <v>333.27840000000003</v>
      </c>
      <c r="D25" s="2440">
        <f t="shared" ref="D25:D30" si="13">C25</f>
        <v>333.27840000000003</v>
      </c>
      <c r="E25" s="2440">
        <f t="shared" si="3"/>
        <v>637.28279999999995</v>
      </c>
      <c r="F25" s="2440">
        <f t="shared" si="4"/>
        <v>288.68830000000003</v>
      </c>
      <c r="G25" s="3762"/>
      <c r="H25" s="2441">
        <v>1</v>
      </c>
      <c r="I25" s="2441">
        <v>1.7</v>
      </c>
      <c r="J25" s="2441">
        <v>1.92</v>
      </c>
      <c r="K25" s="2441">
        <v>1.64</v>
      </c>
      <c r="L25" s="2447">
        <v>2.0099999999999998</v>
      </c>
      <c r="M25" s="2437"/>
      <c r="N25" s="2442">
        <f t="shared" ref="N25:N30" si="14">I25/100</f>
        <v>1.7000000000000001E-2</v>
      </c>
      <c r="O25" s="2438">
        <f t="shared" ref="O25:Q29" si="15">J25/100</f>
        <v>1.9199999999999998E-2</v>
      </c>
      <c r="P25" s="2438">
        <f t="shared" si="15"/>
        <v>1.6399999999999998E-2</v>
      </c>
      <c r="Q25" s="2438">
        <f t="shared" si="15"/>
        <v>2.0099999999999996E-2</v>
      </c>
      <c r="R25" s="2443"/>
      <c r="S25" s="2444">
        <f>B25/B26-1</f>
        <v>1.6999999999999904E-2</v>
      </c>
      <c r="T25" s="2445">
        <f>C25/C26-1</f>
        <v>1.9200000000000106E-2</v>
      </c>
      <c r="U25" s="2445">
        <f>E25/E26-1</f>
        <v>1.639999999999997E-2</v>
      </c>
      <c r="V25" s="2445">
        <f>F25/F26-1</f>
        <v>2.0100000000000007E-2</v>
      </c>
      <c r="W25" s="2437"/>
      <c r="X25" s="2437">
        <f>ROUND(SUMPRODUCT(PRODUCT(1+N25:N$40)),4)</f>
        <v>1.4517</v>
      </c>
      <c r="Y25" s="2437">
        <f>ROUND(SUMPRODUCT(PRODUCT(1+O25:O$40)),4)</f>
        <v>1.2928999999999999</v>
      </c>
      <c r="Z25" s="2437">
        <f t="shared" si="9"/>
        <v>1.2928999999999999</v>
      </c>
      <c r="AA25" s="2437">
        <f>ROUND(SUMPRODUCT(PRODUCT(1+P25:P$40)),4)</f>
        <v>1.5068999999999999</v>
      </c>
      <c r="AB25" s="2437">
        <f>ROUND(SUMPRODUCT(PRODUCT(1+Q25:Q$40)),4)</f>
        <v>1.2557</v>
      </c>
      <c r="AC25" s="2437"/>
      <c r="AD25" s="2438">
        <f>ROUND(AVERAGE(I25:I$41)/100,4)</f>
        <v>2.4E-2</v>
      </c>
      <c r="AE25" s="2438">
        <f>ROUND(AVERAGE(J25:J$41)/100,4)</f>
        <v>1.66E-2</v>
      </c>
      <c r="AF25" s="2438">
        <f t="shared" si="10"/>
        <v>1.66E-2</v>
      </c>
      <c r="AG25" s="2438">
        <f>ROUND(AVERAGE(K25:K$41)/100,4)</f>
        <v>2.6499999999999999E-2</v>
      </c>
      <c r="AH25" s="2438">
        <f>ROUND(AVERAGE(L25:L$41)/100,4)</f>
        <v>1.43E-2</v>
      </c>
    </row>
    <row r="26" spans="1:34">
      <c r="A26" s="2439" t="s">
        <v>2220</v>
      </c>
      <c r="B26" s="2450">
        <v>439</v>
      </c>
      <c r="C26" s="2450">
        <v>327</v>
      </c>
      <c r="D26" s="2450">
        <f t="shared" si="13"/>
        <v>327</v>
      </c>
      <c r="E26" s="2450">
        <v>627</v>
      </c>
      <c r="F26" s="2451">
        <v>283</v>
      </c>
      <c r="G26" s="3760">
        <v>2017</v>
      </c>
      <c r="H26" s="2448">
        <v>4</v>
      </c>
      <c r="I26" s="2448">
        <v>1.71</v>
      </c>
      <c r="J26" s="2448">
        <v>1.78</v>
      </c>
      <c r="K26" s="2448">
        <v>1.71</v>
      </c>
      <c r="L26" s="2449">
        <v>1.43</v>
      </c>
      <c r="N26" s="2456">
        <f t="shared" si="14"/>
        <v>1.7100000000000001E-2</v>
      </c>
      <c r="O26" s="2457">
        <f t="shared" si="15"/>
        <v>1.78E-2</v>
      </c>
      <c r="P26" s="2457">
        <f t="shared" si="15"/>
        <v>1.7100000000000001E-2</v>
      </c>
      <c r="Q26" s="2457">
        <f t="shared" si="15"/>
        <v>1.43E-2</v>
      </c>
      <c r="R26" s="2443"/>
      <c r="S26" s="2452"/>
      <c r="T26" s="2453"/>
      <c r="U26" s="2453"/>
      <c r="V26" s="2453"/>
      <c r="X26" s="2437">
        <f>ROUND(SUMPRODUCT(PRODUCT(1+N26:N$40)),4)</f>
        <v>1.4274</v>
      </c>
      <c r="Y26" s="2437">
        <f>ROUND(SUMPRODUCT(PRODUCT(1+O26:O$40)),4)</f>
        <v>1.2685</v>
      </c>
      <c r="Z26" s="2437">
        <f t="shared" si="9"/>
        <v>1.2685</v>
      </c>
      <c r="AA26" s="2437">
        <f>ROUND(SUMPRODUCT(PRODUCT(1+P26:P$40)),4)</f>
        <v>1.4825999999999999</v>
      </c>
      <c r="AB26" s="2437">
        <f>ROUND(SUMPRODUCT(PRODUCT(1+Q26:Q$40)),4)</f>
        <v>1.2309000000000001</v>
      </c>
      <c r="AD26" s="2438">
        <f>ROUND(AVERAGE(I26:I$41)/100,4)</f>
        <v>2.4500000000000001E-2</v>
      </c>
      <c r="AE26" s="2438">
        <f>ROUND(AVERAGE(J26:J$41)/100,4)</f>
        <v>1.6500000000000001E-2</v>
      </c>
      <c r="AF26" s="2438">
        <f t="shared" si="10"/>
        <v>1.6500000000000001E-2</v>
      </c>
      <c r="AG26" s="2438">
        <f>ROUND(AVERAGE(K26:K$41)/100,4)</f>
        <v>2.7099999999999999E-2</v>
      </c>
      <c r="AH26" s="2438">
        <f>ROUND(AVERAGE(L26:L$41)/100,4)</f>
        <v>1.3899999999999999E-2</v>
      </c>
    </row>
    <row r="27" spans="1:34" s="2446" customFormat="1" ht="14.45" customHeight="1">
      <c r="A27" s="2439" t="s">
        <v>2222</v>
      </c>
      <c r="B27" s="2440">
        <f t="shared" ref="B27:C29" si="16">B28*(1+N27)</f>
        <v>431.80730811680002</v>
      </c>
      <c r="C27" s="2440">
        <f t="shared" si="16"/>
        <v>320.57880516480003</v>
      </c>
      <c r="D27" s="2440">
        <f t="shared" si="13"/>
        <v>320.57880516480003</v>
      </c>
      <c r="E27" s="2440">
        <f t="shared" ref="E27:F29" si="17">E28*(1+P27)</f>
        <v>615.96110553196797</v>
      </c>
      <c r="F27" s="2440">
        <f t="shared" si="17"/>
        <v>279.46777300108801</v>
      </c>
      <c r="G27" s="3761"/>
      <c r="H27" s="2441">
        <v>3</v>
      </c>
      <c r="I27" s="2441">
        <v>2.98</v>
      </c>
      <c r="J27" s="2441">
        <v>2.11</v>
      </c>
      <c r="K27" s="2441">
        <v>3.24</v>
      </c>
      <c r="L27" s="2447">
        <v>1.72</v>
      </c>
      <c r="M27" s="2437"/>
      <c r="N27" s="2442">
        <f t="shared" si="14"/>
        <v>2.98E-2</v>
      </c>
      <c r="O27" s="2438">
        <f t="shared" si="15"/>
        <v>2.1099999999999997E-2</v>
      </c>
      <c r="P27" s="2438">
        <f t="shared" si="15"/>
        <v>3.2400000000000005E-2</v>
      </c>
      <c r="Q27" s="2438">
        <f t="shared" si="15"/>
        <v>1.72E-2</v>
      </c>
      <c r="R27" s="2443"/>
      <c r="S27" s="2442"/>
      <c r="T27" s="2438"/>
      <c r="U27" s="2438"/>
      <c r="V27" s="2438"/>
      <c r="W27" s="2437"/>
      <c r="X27" s="2437">
        <f>ROUND(SUMPRODUCT(PRODUCT(1+N27:N$40)),4)</f>
        <v>1.4034</v>
      </c>
      <c r="Y27" s="2437">
        <f>ROUND(SUMPRODUCT(PRODUCT(1+O27:O$40)),4)</f>
        <v>1.2463</v>
      </c>
      <c r="Z27" s="2437">
        <f t="shared" si="9"/>
        <v>1.2463</v>
      </c>
      <c r="AA27" s="2437">
        <f>ROUND(SUMPRODUCT(PRODUCT(1+P27:P$40)),4)</f>
        <v>1.4577</v>
      </c>
      <c r="AB27" s="2437">
        <f>ROUND(SUMPRODUCT(PRODUCT(1+Q27:Q$40)),4)</f>
        <v>1.2136</v>
      </c>
      <c r="AC27" s="2437"/>
      <c r="AD27" s="2438">
        <f>ROUND(AVERAGE(I27:I$41)/100,4)</f>
        <v>2.4899999999999999E-2</v>
      </c>
      <c r="AE27" s="2438">
        <f>ROUND(AVERAGE(J27:J$41)/100,4)</f>
        <v>1.6400000000000001E-2</v>
      </c>
      <c r="AF27" s="2438">
        <f t="shared" si="10"/>
        <v>1.6400000000000001E-2</v>
      </c>
      <c r="AG27" s="2438">
        <f>ROUND(AVERAGE(K27:K$41)/100,4)</f>
        <v>2.7799999999999998E-2</v>
      </c>
      <c r="AH27" s="2438">
        <f>ROUND(AVERAGE(L27:L$41)/100,4)</f>
        <v>1.3899999999999999E-2</v>
      </c>
    </row>
    <row r="28" spans="1:34" s="2418" customFormat="1" ht="14.45" customHeight="1">
      <c r="A28" s="2439" t="s">
        <v>1861</v>
      </c>
      <c r="B28" s="2440">
        <f t="shared" si="16"/>
        <v>419.31181600000002</v>
      </c>
      <c r="C28" s="2440">
        <f t="shared" si="16"/>
        <v>313.95436800000004</v>
      </c>
      <c r="D28" s="2440">
        <f t="shared" si="13"/>
        <v>313.95436800000004</v>
      </c>
      <c r="E28" s="2440">
        <f t="shared" si="17"/>
        <v>596.63028431999999</v>
      </c>
      <c r="F28" s="2440">
        <f t="shared" si="17"/>
        <v>274.74220703999998</v>
      </c>
      <c r="G28" s="3761"/>
      <c r="H28" s="2454">
        <v>2</v>
      </c>
      <c r="I28" s="2454">
        <v>3.4</v>
      </c>
      <c r="J28" s="2454">
        <v>2</v>
      </c>
      <c r="K28" s="2454">
        <v>3.82</v>
      </c>
      <c r="L28" s="2455">
        <v>1.68</v>
      </c>
      <c r="N28" s="2442">
        <f t="shared" si="14"/>
        <v>3.4000000000000002E-2</v>
      </c>
      <c r="O28" s="2438">
        <f t="shared" si="15"/>
        <v>0.02</v>
      </c>
      <c r="P28" s="2438">
        <f t="shared" si="15"/>
        <v>3.8199999999999998E-2</v>
      </c>
      <c r="Q28" s="2438">
        <f t="shared" si="15"/>
        <v>1.6799999999999999E-2</v>
      </c>
      <c r="S28" s="2442"/>
      <c r="T28" s="2438"/>
      <c r="U28" s="2438"/>
      <c r="V28" s="2438"/>
      <c r="X28" s="2437">
        <f>ROUND(SUMPRODUCT(PRODUCT(1+N28:N$40)),4)</f>
        <v>1.3628</v>
      </c>
      <c r="Y28" s="2437">
        <f>ROUND(SUMPRODUCT(PRODUCT(1+O28:O$40)),4)</f>
        <v>1.2205999999999999</v>
      </c>
      <c r="Z28" s="2437">
        <f t="shared" si="9"/>
        <v>1.2205999999999999</v>
      </c>
      <c r="AA28" s="2437">
        <f>ROUND(SUMPRODUCT(PRODUCT(1+P28:P$40)),4)</f>
        <v>1.4118999999999999</v>
      </c>
      <c r="AB28" s="2437">
        <f>ROUND(SUMPRODUCT(PRODUCT(1+Q28:Q$40)),4)</f>
        <v>1.1930000000000001</v>
      </c>
      <c r="AD28" s="2438">
        <f>ROUND(AVERAGE(I28:I$41)/100,4)</f>
        <v>2.46E-2</v>
      </c>
      <c r="AE28" s="2438">
        <f>ROUND(AVERAGE(J28:J$41)/100,4)</f>
        <v>1.6E-2</v>
      </c>
      <c r="AF28" s="2438">
        <f t="shared" si="10"/>
        <v>1.6E-2</v>
      </c>
      <c r="AG28" s="2438">
        <f>ROUND(AVERAGE(K28:K$41)/100,4)</f>
        <v>2.75E-2</v>
      </c>
      <c r="AH28" s="2438">
        <f>ROUND(AVERAGE(L28:L$41)/100,4)</f>
        <v>1.37E-2</v>
      </c>
    </row>
    <row r="29" spans="1:34" s="2446" customFormat="1" ht="15" customHeight="1" thickBot="1">
      <c r="A29" s="2439" t="s">
        <v>1862</v>
      </c>
      <c r="B29" s="2440">
        <f t="shared" si="16"/>
        <v>405.524</v>
      </c>
      <c r="C29" s="2440">
        <f t="shared" si="16"/>
        <v>307.79840000000002</v>
      </c>
      <c r="D29" s="2440">
        <f t="shared" si="13"/>
        <v>307.79840000000002</v>
      </c>
      <c r="E29" s="2440">
        <f t="shared" si="17"/>
        <v>574.67759999999998</v>
      </c>
      <c r="F29" s="2440">
        <f t="shared" si="17"/>
        <v>270.20280000000002</v>
      </c>
      <c r="G29" s="3762"/>
      <c r="H29" s="2441">
        <v>1</v>
      </c>
      <c r="I29" s="2441">
        <v>3.45</v>
      </c>
      <c r="J29" s="2441">
        <v>1.92</v>
      </c>
      <c r="K29" s="2441">
        <v>3.92</v>
      </c>
      <c r="L29" s="2447">
        <v>1.58</v>
      </c>
      <c r="M29" s="2437"/>
      <c r="N29" s="2444">
        <f t="shared" si="14"/>
        <v>3.4500000000000003E-2</v>
      </c>
      <c r="O29" s="2445">
        <f t="shared" si="15"/>
        <v>1.9199999999999998E-2</v>
      </c>
      <c r="P29" s="2445">
        <f t="shared" si="15"/>
        <v>3.9199999999999999E-2</v>
      </c>
      <c r="Q29" s="2445">
        <f t="shared" si="15"/>
        <v>1.5800000000000002E-2</v>
      </c>
      <c r="R29" s="2443"/>
      <c r="S29" s="2444">
        <f>B29/B30-1</f>
        <v>3.4499999999999975E-2</v>
      </c>
      <c r="T29" s="2445">
        <f>C29/C30-1</f>
        <v>1.9200000000000106E-2</v>
      </c>
      <c r="U29" s="2445">
        <f>E29/E30-1</f>
        <v>3.9199999999999902E-2</v>
      </c>
      <c r="V29" s="2445">
        <f>F29/F30-1</f>
        <v>1.5800000000000036E-2</v>
      </c>
      <c r="W29" s="2437"/>
      <c r="X29" s="2437">
        <f>ROUND(SUMPRODUCT(PRODUCT(1+N29:N$40)),4)</f>
        <v>1.3180000000000001</v>
      </c>
      <c r="Y29" s="2437">
        <f>ROUND(SUMPRODUCT(PRODUCT(1+O29:O$40)),4)</f>
        <v>1.1966000000000001</v>
      </c>
      <c r="Z29" s="2437">
        <f t="shared" si="9"/>
        <v>1.1966000000000001</v>
      </c>
      <c r="AA29" s="2437">
        <f>ROUND(SUMPRODUCT(PRODUCT(1+P29:P$40)),4)</f>
        <v>1.36</v>
      </c>
      <c r="AB29" s="2437">
        <f>ROUND(SUMPRODUCT(PRODUCT(1+Q29:Q$40)),4)</f>
        <v>1.1733</v>
      </c>
      <c r="AC29" s="2437"/>
      <c r="AD29" s="2438">
        <f>ROUND(AVERAGE(I29:I$41)/100,4)</f>
        <v>2.3900000000000001E-2</v>
      </c>
      <c r="AE29" s="2438">
        <f>ROUND(AVERAGE(J29:J$41)/100,4)</f>
        <v>1.5699999999999999E-2</v>
      </c>
      <c r="AF29" s="2438">
        <f t="shared" si="10"/>
        <v>1.5699999999999999E-2</v>
      </c>
      <c r="AG29" s="2438">
        <f>ROUND(AVERAGE(K29:K$41)/100,4)</f>
        <v>2.6599999999999999E-2</v>
      </c>
      <c r="AH29" s="2438">
        <f>ROUND(AVERAGE(L29:L$41)/100,4)</f>
        <v>1.34E-2</v>
      </c>
    </row>
    <row r="30" spans="1:34">
      <c r="A30" s="2439" t="s">
        <v>895</v>
      </c>
      <c r="B30" s="2458">
        <v>392</v>
      </c>
      <c r="C30" s="2458">
        <v>302</v>
      </c>
      <c r="D30" s="2458">
        <f t="shared" si="13"/>
        <v>302</v>
      </c>
      <c r="E30" s="2458">
        <v>553</v>
      </c>
      <c r="F30" s="2459">
        <v>266</v>
      </c>
      <c r="G30" s="3760">
        <v>2016</v>
      </c>
      <c r="H30" s="2448">
        <v>4</v>
      </c>
      <c r="I30" s="2448">
        <v>4.5599999999999996</v>
      </c>
      <c r="J30" s="2448">
        <v>2.15</v>
      </c>
      <c r="K30" s="2448">
        <v>5.32</v>
      </c>
      <c r="L30" s="2449">
        <v>1.57</v>
      </c>
      <c r="N30" s="2442">
        <f t="shared" si="14"/>
        <v>4.5599999999999995E-2</v>
      </c>
      <c r="O30" s="2438">
        <f t="shared" ref="O30:Q45" si="18">J30/100</f>
        <v>2.1499999999999998E-2</v>
      </c>
      <c r="P30" s="2438">
        <f t="shared" si="18"/>
        <v>5.3200000000000004E-2</v>
      </c>
      <c r="Q30" s="2438">
        <f t="shared" si="18"/>
        <v>1.5700000000000002E-2</v>
      </c>
      <c r="R30" s="2443"/>
      <c r="S30" s="2452"/>
      <c r="T30" s="2453"/>
      <c r="U30" s="2453"/>
      <c r="V30" s="2453"/>
      <c r="X30" s="2437">
        <f>ROUND(SUMPRODUCT(PRODUCT(1+N30:N$40)),4)</f>
        <v>1.274</v>
      </c>
      <c r="Y30" s="2437">
        <f>ROUND(SUMPRODUCT(PRODUCT(1+O30:O$40)),4)</f>
        <v>1.1740999999999999</v>
      </c>
      <c r="Z30" s="2437">
        <f t="shared" si="9"/>
        <v>1.1740999999999999</v>
      </c>
      <c r="AA30" s="2437">
        <f>ROUND(SUMPRODUCT(PRODUCT(1+P30:P$40)),4)</f>
        <v>1.3087</v>
      </c>
      <c r="AB30" s="2437">
        <f>ROUND(SUMPRODUCT(PRODUCT(1+Q30:Q$40)),4)</f>
        <v>1.1551</v>
      </c>
      <c r="AD30" s="2438">
        <f>ROUND(AVERAGE(I30:I$41)/100,4)</f>
        <v>2.3E-2</v>
      </c>
      <c r="AE30" s="2438">
        <f>ROUND(AVERAGE(J30:J$41)/100,4)</f>
        <v>1.55E-2</v>
      </c>
      <c r="AF30" s="2438">
        <f t="shared" si="10"/>
        <v>1.55E-2</v>
      </c>
      <c r="AG30" s="2438">
        <f>ROUND(AVERAGE(K30:K$41)/100,4)</f>
        <v>2.5600000000000001E-2</v>
      </c>
      <c r="AH30" s="2438">
        <f>ROUND(AVERAGE(L30:L$41)/100,4)</f>
        <v>1.32E-2</v>
      </c>
    </row>
    <row r="31" spans="1:34">
      <c r="A31" s="2439" t="s">
        <v>894</v>
      </c>
      <c r="B31" s="2440">
        <f t="shared" ref="B31:C33" si="19">B30/(1+N30)</f>
        <v>374.90436113236416</v>
      </c>
      <c r="C31" s="2440">
        <f t="shared" si="19"/>
        <v>295.64366128242779</v>
      </c>
      <c r="D31" s="2440">
        <f t="shared" ref="D31:D90" si="20">C31</f>
        <v>295.64366128242779</v>
      </c>
      <c r="E31" s="2440">
        <f t="shared" ref="E31:F33" si="21">E30/(1+P30)</f>
        <v>525.06646410938095</v>
      </c>
      <c r="F31" s="2440">
        <f t="shared" si="21"/>
        <v>261.88835286009646</v>
      </c>
      <c r="G31" s="3761"/>
      <c r="H31" s="2441">
        <v>3</v>
      </c>
      <c r="I31" s="2441">
        <v>4.12</v>
      </c>
      <c r="J31" s="2441">
        <v>2</v>
      </c>
      <c r="K31" s="2441">
        <v>4.79</v>
      </c>
      <c r="L31" s="2447">
        <v>1.97</v>
      </c>
      <c r="N31" s="2442">
        <f t="shared" ref="N31:Q65" si="22">I31/100</f>
        <v>4.1200000000000001E-2</v>
      </c>
      <c r="O31" s="2438">
        <f t="shared" si="18"/>
        <v>0.02</v>
      </c>
      <c r="P31" s="2438">
        <f t="shared" si="18"/>
        <v>4.7899999999999998E-2</v>
      </c>
      <c r="Q31" s="2438">
        <f t="shared" si="18"/>
        <v>1.9699999999999999E-2</v>
      </c>
      <c r="R31" s="2443"/>
      <c r="S31" s="2442"/>
      <c r="T31" s="2438"/>
      <c r="U31" s="2438"/>
      <c r="V31" s="2438"/>
      <c r="X31" s="2437">
        <f>ROUND(SUMPRODUCT(PRODUCT(1+N31:N$40)),4)</f>
        <v>1.2184999999999999</v>
      </c>
      <c r="Y31" s="2437">
        <f>ROUND(SUMPRODUCT(PRODUCT(1+O31:O$40)),4)</f>
        <v>1.1494</v>
      </c>
      <c r="Z31" s="2437">
        <f t="shared" si="9"/>
        <v>1.1494</v>
      </c>
      <c r="AA31" s="2437">
        <f>ROUND(SUMPRODUCT(PRODUCT(1+P31:P$40)),4)</f>
        <v>1.2425999999999999</v>
      </c>
      <c r="AB31" s="2437">
        <f>ROUND(SUMPRODUCT(PRODUCT(1+Q31:Q$40)),4)</f>
        <v>1.1372</v>
      </c>
      <c r="AD31" s="2438">
        <f>ROUND(AVERAGE(I31:I$41)/100,4)</f>
        <v>2.0899999999999998E-2</v>
      </c>
      <c r="AE31" s="2438">
        <f>ROUND(AVERAGE(J31:J$41)/100,4)</f>
        <v>1.49E-2</v>
      </c>
      <c r="AF31" s="2438">
        <f t="shared" si="10"/>
        <v>1.49E-2</v>
      </c>
      <c r="AG31" s="2438">
        <f>ROUND(AVERAGE(K31:K$41)/100,4)</f>
        <v>2.3099999999999999E-2</v>
      </c>
      <c r="AH31" s="2438">
        <f>ROUND(AVERAGE(L31:L$41)/100,4)</f>
        <v>1.2999999999999999E-2</v>
      </c>
    </row>
    <row r="32" spans="1:34">
      <c r="A32" s="2439" t="s">
        <v>884</v>
      </c>
      <c r="B32" s="2440">
        <f t="shared" si="19"/>
        <v>360.06949782209392</v>
      </c>
      <c r="C32" s="2440">
        <f t="shared" si="19"/>
        <v>289.84672674747821</v>
      </c>
      <c r="D32" s="2440">
        <f t="shared" si="20"/>
        <v>289.84672674747821</v>
      </c>
      <c r="E32" s="2440">
        <f t="shared" si="21"/>
        <v>501.06543001181495</v>
      </c>
      <c r="F32" s="2440">
        <f t="shared" si="21"/>
        <v>256.82882500744967</v>
      </c>
      <c r="G32" s="3761"/>
      <c r="H32" s="2454">
        <v>2</v>
      </c>
      <c r="I32" s="2454">
        <v>3.85</v>
      </c>
      <c r="J32" s="2454">
        <v>1.95</v>
      </c>
      <c r="K32" s="2454">
        <v>4.4800000000000004</v>
      </c>
      <c r="L32" s="2455">
        <v>1.41</v>
      </c>
      <c r="N32" s="2442">
        <f t="shared" si="22"/>
        <v>3.85E-2</v>
      </c>
      <c r="O32" s="2438">
        <f t="shared" si="18"/>
        <v>1.95E-2</v>
      </c>
      <c r="P32" s="2438">
        <f t="shared" si="18"/>
        <v>4.4800000000000006E-2</v>
      </c>
      <c r="Q32" s="2438">
        <f t="shared" si="18"/>
        <v>1.41E-2</v>
      </c>
      <c r="R32" s="2443"/>
      <c r="S32" s="2442"/>
      <c r="T32" s="2438"/>
      <c r="U32" s="2438"/>
      <c r="V32" s="2438"/>
      <c r="X32" s="2437">
        <f>ROUND(SUMPRODUCT(PRODUCT(1+N32:N$40)),4)</f>
        <v>1.1702999999999999</v>
      </c>
      <c r="Y32" s="2437">
        <f>ROUND(SUMPRODUCT(PRODUCT(1+O32:O$40)),4)</f>
        <v>1.1269</v>
      </c>
      <c r="Z32" s="2437">
        <f t="shared" si="9"/>
        <v>1.1269</v>
      </c>
      <c r="AA32" s="2437">
        <f>ROUND(SUMPRODUCT(PRODUCT(1+P32:P$40)),4)</f>
        <v>1.1858</v>
      </c>
      <c r="AB32" s="2437">
        <f>ROUND(SUMPRODUCT(PRODUCT(1+Q32:Q$40)),4)</f>
        <v>1.1152</v>
      </c>
      <c r="AD32" s="2438">
        <f>ROUND(AVERAGE(I32:I$41)/100,4)</f>
        <v>1.89E-2</v>
      </c>
      <c r="AE32" s="2438">
        <f>ROUND(AVERAGE(J32:J$41)/100,4)</f>
        <v>1.44E-2</v>
      </c>
      <c r="AF32" s="2438">
        <f t="shared" si="10"/>
        <v>1.44E-2</v>
      </c>
      <c r="AG32" s="2438">
        <f>ROUND(AVERAGE(K32:K$41)/100,4)</f>
        <v>2.06E-2</v>
      </c>
      <c r="AH32" s="2438">
        <f>ROUND(AVERAGE(L32:L$41)/100,4)</f>
        <v>1.23E-2</v>
      </c>
    </row>
    <row r="33" spans="1:34" ht="13.5" thickBot="1">
      <c r="A33" s="2439" t="s">
        <v>893</v>
      </c>
      <c r="B33" s="2440">
        <f t="shared" si="19"/>
        <v>346.720748986128</v>
      </c>
      <c r="C33" s="2440">
        <f t="shared" si="19"/>
        <v>284.30282172386285</v>
      </c>
      <c r="D33" s="2440">
        <f t="shared" si="20"/>
        <v>284.30282172386285</v>
      </c>
      <c r="E33" s="2440">
        <f t="shared" si="21"/>
        <v>479.58023546306947</v>
      </c>
      <c r="F33" s="2440">
        <f t="shared" si="21"/>
        <v>253.25788877571213</v>
      </c>
      <c r="G33" s="3764"/>
      <c r="H33" s="2441">
        <v>1</v>
      </c>
      <c r="I33" s="2441">
        <v>4.09</v>
      </c>
      <c r="J33" s="2441">
        <v>2.93</v>
      </c>
      <c r="K33" s="2441">
        <v>4.54</v>
      </c>
      <c r="L33" s="2447">
        <v>1.48</v>
      </c>
      <c r="N33" s="2442">
        <f t="shared" si="22"/>
        <v>4.0899999999999999E-2</v>
      </c>
      <c r="O33" s="2438">
        <f t="shared" si="18"/>
        <v>2.9300000000000003E-2</v>
      </c>
      <c r="P33" s="2438">
        <f t="shared" si="18"/>
        <v>4.5400000000000003E-2</v>
      </c>
      <c r="Q33" s="2438">
        <f t="shared" si="18"/>
        <v>1.4800000000000001E-2</v>
      </c>
      <c r="R33" s="2443"/>
      <c r="S33" s="2444">
        <f>B33/B34-1</f>
        <v>4.1203450408792808E-2</v>
      </c>
      <c r="T33" s="2445">
        <f>C33/C34-1</f>
        <v>2.6363977342465095E-2</v>
      </c>
      <c r="U33" s="2445">
        <f>E33/E34-1</f>
        <v>4.4837114298626357E-2</v>
      </c>
      <c r="V33" s="2445">
        <f>F33/F34-1</f>
        <v>1.7099954922538574E-2</v>
      </c>
      <c r="X33" s="2437">
        <f>ROUND(SUMPRODUCT(PRODUCT(1+N33:N$40)),4)</f>
        <v>1.1269</v>
      </c>
      <c r="Y33" s="2437">
        <f>ROUND(SUMPRODUCT(PRODUCT(1+O33:O$40)),4)</f>
        <v>1.1052999999999999</v>
      </c>
      <c r="Z33" s="2437">
        <f t="shared" si="9"/>
        <v>1.1052999999999999</v>
      </c>
      <c r="AA33" s="2437">
        <f>ROUND(SUMPRODUCT(PRODUCT(1+P33:P$40)),4)</f>
        <v>1.1349</v>
      </c>
      <c r="AB33" s="2437">
        <f>ROUND(SUMPRODUCT(PRODUCT(1+Q33:Q$40)),4)</f>
        <v>1.0996999999999999</v>
      </c>
      <c r="AD33" s="2438">
        <f>ROUND(AVERAGE(I33:I$41)/100,4)</f>
        <v>1.67E-2</v>
      </c>
      <c r="AE33" s="2438">
        <f>ROUND(AVERAGE(J33:J$41)/100,4)</f>
        <v>1.38E-2</v>
      </c>
      <c r="AF33" s="2438">
        <f t="shared" si="10"/>
        <v>1.38E-2</v>
      </c>
      <c r="AG33" s="2438">
        <f>ROUND(AVERAGE(K33:K$41)/100,4)</f>
        <v>1.7899999999999999E-2</v>
      </c>
      <c r="AH33" s="2438">
        <f>ROUND(AVERAGE(L33:L$41)/100,4)</f>
        <v>1.21E-2</v>
      </c>
    </row>
    <row r="34" spans="1:34" ht="13.5" thickBot="1">
      <c r="A34" s="2439" t="s">
        <v>892</v>
      </c>
      <c r="B34" s="2458">
        <v>333</v>
      </c>
      <c r="C34" s="2458">
        <v>277</v>
      </c>
      <c r="D34" s="2458">
        <f t="shared" si="20"/>
        <v>277</v>
      </c>
      <c r="E34" s="2458">
        <v>459</v>
      </c>
      <c r="F34" s="2459">
        <v>249</v>
      </c>
      <c r="G34" s="3763">
        <v>2015</v>
      </c>
      <c r="H34" s="2460">
        <v>4</v>
      </c>
      <c r="I34" s="2460">
        <v>1.63</v>
      </c>
      <c r="J34" s="2460">
        <v>1.1100000000000001</v>
      </c>
      <c r="K34" s="2460">
        <v>1.77</v>
      </c>
      <c r="L34" s="2461">
        <v>1.89</v>
      </c>
      <c r="N34" s="2456">
        <f t="shared" si="22"/>
        <v>1.6299999999999999E-2</v>
      </c>
      <c r="O34" s="2457">
        <f t="shared" si="18"/>
        <v>1.11E-2</v>
      </c>
      <c r="P34" s="2457">
        <f t="shared" si="18"/>
        <v>1.77E-2</v>
      </c>
      <c r="Q34" s="2457">
        <f t="shared" si="18"/>
        <v>1.89E-2</v>
      </c>
      <c r="R34" s="2443"/>
      <c r="X34" s="2437">
        <f>ROUND(SUMPRODUCT(PRODUCT(1+N34:N$40)),4)</f>
        <v>1.0826</v>
      </c>
      <c r="Y34" s="2437">
        <f>ROUND(SUMPRODUCT(PRODUCT(1+O34:O$40)),4)</f>
        <v>1.0738000000000001</v>
      </c>
      <c r="Z34" s="2437">
        <f t="shared" si="9"/>
        <v>1.0738000000000001</v>
      </c>
      <c r="AA34" s="2437">
        <f>ROUND(SUMPRODUCT(PRODUCT(1+P34:P$40)),4)</f>
        <v>1.0855999999999999</v>
      </c>
      <c r="AB34" s="2437">
        <f>ROUND(SUMPRODUCT(PRODUCT(1+Q34:Q$40)),4)</f>
        <v>1.0837000000000001</v>
      </c>
      <c r="AD34" s="2438">
        <f>ROUND(AVERAGE(I34:I$41)/100,4)</f>
        <v>1.37E-2</v>
      </c>
      <c r="AE34" s="2438">
        <f>ROUND(AVERAGE(J34:J$41)/100,4)</f>
        <v>1.1900000000000001E-2</v>
      </c>
      <c r="AF34" s="2438">
        <f t="shared" si="10"/>
        <v>1.1900000000000001E-2</v>
      </c>
      <c r="AG34" s="2438">
        <f>ROUND(AVERAGE(K34:K$41)/100,4)</f>
        <v>1.4500000000000001E-2</v>
      </c>
      <c r="AH34" s="2438">
        <f>ROUND(AVERAGE(L34:L$41)/100,4)</f>
        <v>1.18E-2</v>
      </c>
    </row>
    <row r="35" spans="1:34">
      <c r="A35" s="2439" t="s">
        <v>891</v>
      </c>
      <c r="B35" s="2440">
        <f t="shared" ref="B35:C37" si="23">B34/(1+N34)</f>
        <v>327.65915576109415</v>
      </c>
      <c r="C35" s="2440">
        <f t="shared" si="23"/>
        <v>273.95905449510434</v>
      </c>
      <c r="D35" s="2440">
        <f t="shared" si="20"/>
        <v>273.95905449510434</v>
      </c>
      <c r="E35" s="2440">
        <f t="shared" ref="E35:F37" si="24">E34/(1+P34)</f>
        <v>451.01699911565294</v>
      </c>
      <c r="F35" s="2440">
        <f t="shared" si="24"/>
        <v>244.38119540681129</v>
      </c>
      <c r="G35" s="3761"/>
      <c r="H35" s="2463">
        <v>3</v>
      </c>
      <c r="I35" s="2463">
        <v>1.65</v>
      </c>
      <c r="J35" s="2463">
        <v>0.92</v>
      </c>
      <c r="K35" s="2463">
        <v>1.88</v>
      </c>
      <c r="L35" s="2464">
        <v>1.26</v>
      </c>
      <c r="N35" s="2442">
        <f t="shared" si="22"/>
        <v>1.6500000000000001E-2</v>
      </c>
      <c r="O35" s="2438">
        <f t="shared" si="18"/>
        <v>9.1999999999999998E-3</v>
      </c>
      <c r="P35" s="2438">
        <f t="shared" si="18"/>
        <v>1.8799999999999997E-2</v>
      </c>
      <c r="Q35" s="2438">
        <f t="shared" si="18"/>
        <v>1.26E-2</v>
      </c>
      <c r="R35" s="2443"/>
      <c r="S35" s="2442"/>
      <c r="T35" s="2438"/>
      <c r="U35" s="2438"/>
      <c r="V35" s="2438"/>
      <c r="X35" s="2437">
        <f>ROUND(SUMPRODUCT(PRODUCT(1+N35:N$40)),4)</f>
        <v>1.0651999999999999</v>
      </c>
      <c r="Y35" s="2437">
        <f>ROUND(SUMPRODUCT(PRODUCT(1+O35:O$40)),4)</f>
        <v>1.0621</v>
      </c>
      <c r="Z35" s="2437">
        <f t="shared" si="9"/>
        <v>1.0621</v>
      </c>
      <c r="AA35" s="2437">
        <f>ROUND(SUMPRODUCT(PRODUCT(1+P35:P$40)),4)</f>
        <v>1.0668</v>
      </c>
      <c r="AB35" s="2437">
        <f>ROUND(SUMPRODUCT(PRODUCT(1+Q35:Q$40)),4)</f>
        <v>1.0636000000000001</v>
      </c>
      <c r="AD35" s="2438">
        <f>ROUND(AVERAGE(I35:I$41)/100,4)</f>
        <v>1.3299999999999999E-2</v>
      </c>
      <c r="AE35" s="2438">
        <f>ROUND(AVERAGE(J35:J$41)/100,4)</f>
        <v>1.2E-2</v>
      </c>
      <c r="AF35" s="2438">
        <f t="shared" si="10"/>
        <v>1.2E-2</v>
      </c>
      <c r="AG35" s="2438">
        <f>ROUND(AVERAGE(K35:K$41)/100,4)</f>
        <v>1.4E-2</v>
      </c>
      <c r="AH35" s="2438">
        <f>ROUND(AVERAGE(L35:L$41)/100,4)</f>
        <v>1.0800000000000001E-2</v>
      </c>
    </row>
    <row r="36" spans="1:34">
      <c r="A36" s="2439" t="s">
        <v>890</v>
      </c>
      <c r="B36" s="2440">
        <f t="shared" si="23"/>
        <v>322.34053690220776</v>
      </c>
      <c r="C36" s="2440">
        <f t="shared" si="23"/>
        <v>271.46160770422546</v>
      </c>
      <c r="D36" s="2440">
        <f t="shared" si="20"/>
        <v>271.46160770422546</v>
      </c>
      <c r="E36" s="2440">
        <f t="shared" si="24"/>
        <v>442.69434542172456</v>
      </c>
      <c r="F36" s="2440">
        <f t="shared" si="24"/>
        <v>241.34030753190925</v>
      </c>
      <c r="G36" s="3761"/>
      <c r="H36" s="2454">
        <v>2</v>
      </c>
      <c r="I36" s="2454">
        <v>0.77</v>
      </c>
      <c r="J36" s="2454">
        <v>0.69</v>
      </c>
      <c r="K36" s="2454">
        <v>0.8</v>
      </c>
      <c r="L36" s="2455">
        <v>0.88</v>
      </c>
      <c r="N36" s="2442">
        <f t="shared" si="22"/>
        <v>7.7000000000000002E-3</v>
      </c>
      <c r="O36" s="2438">
        <f t="shared" si="18"/>
        <v>6.8999999999999999E-3</v>
      </c>
      <c r="P36" s="2438">
        <f t="shared" si="18"/>
        <v>8.0000000000000002E-3</v>
      </c>
      <c r="Q36" s="2438">
        <f t="shared" si="18"/>
        <v>8.8000000000000005E-3</v>
      </c>
      <c r="R36" s="2443"/>
      <c r="S36" s="2442"/>
      <c r="T36" s="2438"/>
      <c r="U36" s="2438"/>
      <c r="V36" s="2438"/>
      <c r="X36" s="2437">
        <f>ROUND(SUMPRODUCT(PRODUCT(1+N36:N$40)),4)</f>
        <v>1.048</v>
      </c>
      <c r="Y36" s="2437">
        <f>ROUND(SUMPRODUCT(PRODUCT(1+O36:O$40)),4)</f>
        <v>1.0524</v>
      </c>
      <c r="Z36" s="2437">
        <f t="shared" si="9"/>
        <v>1.0524</v>
      </c>
      <c r="AA36" s="2437">
        <f>ROUND(SUMPRODUCT(PRODUCT(1+P36:P$40)),4)</f>
        <v>1.0470999999999999</v>
      </c>
      <c r="AB36" s="2437">
        <f>ROUND(SUMPRODUCT(PRODUCT(1+Q36:Q$40)),4)</f>
        <v>1.0504</v>
      </c>
      <c r="AD36" s="2438">
        <f>ROUND(AVERAGE(I36:I$41)/100,4)</f>
        <v>1.2800000000000001E-2</v>
      </c>
      <c r="AE36" s="2438">
        <f>ROUND(AVERAGE(J36:J$41)/100,4)</f>
        <v>1.2500000000000001E-2</v>
      </c>
      <c r="AF36" s="2438">
        <f t="shared" si="10"/>
        <v>1.2500000000000001E-2</v>
      </c>
      <c r="AG36" s="2438">
        <f>ROUND(AVERAGE(K36:K$41)/100,4)</f>
        <v>1.32E-2</v>
      </c>
      <c r="AH36" s="2438">
        <f>ROUND(AVERAGE(L36:L$41)/100,4)</f>
        <v>1.0500000000000001E-2</v>
      </c>
    </row>
    <row r="37" spans="1:34">
      <c r="A37" s="2439" t="s">
        <v>889</v>
      </c>
      <c r="B37" s="2440">
        <f t="shared" si="23"/>
        <v>319.87748030386797</v>
      </c>
      <c r="C37" s="2440">
        <f t="shared" si="23"/>
        <v>269.60135833173649</v>
      </c>
      <c r="D37" s="2440">
        <f t="shared" si="20"/>
        <v>269.60135833173649</v>
      </c>
      <c r="E37" s="2440">
        <f t="shared" si="24"/>
        <v>439.18089823583784</v>
      </c>
      <c r="F37" s="2440">
        <f t="shared" si="24"/>
        <v>239.23503918706311</v>
      </c>
      <c r="G37" s="3764"/>
      <c r="H37" s="2441">
        <v>1</v>
      </c>
      <c r="I37" s="2441">
        <v>0.51</v>
      </c>
      <c r="J37" s="2441">
        <v>0.54</v>
      </c>
      <c r="K37" s="2441">
        <v>0.48</v>
      </c>
      <c r="L37" s="2447">
        <v>0.93</v>
      </c>
      <c r="N37" s="2444">
        <f t="shared" si="22"/>
        <v>5.1000000000000004E-3</v>
      </c>
      <c r="O37" s="2445">
        <f t="shared" si="18"/>
        <v>5.4000000000000003E-3</v>
      </c>
      <c r="P37" s="2445">
        <f t="shared" si="18"/>
        <v>4.7999999999999996E-3</v>
      </c>
      <c r="Q37" s="2445">
        <f t="shared" si="18"/>
        <v>9.300000000000001E-3</v>
      </c>
      <c r="R37" s="2443"/>
      <c r="S37" s="2444">
        <f>B37/B38-1</f>
        <v>5.9040261127922822E-3</v>
      </c>
      <c r="T37" s="2445">
        <f>C37/C38-1</f>
        <v>5.9752176557332781E-3</v>
      </c>
      <c r="U37" s="2445">
        <f>E37/E38-1</f>
        <v>4.9906138119859556E-3</v>
      </c>
      <c r="V37" s="2445">
        <f>F37/F38-1</f>
        <v>9.4305450930933787E-3</v>
      </c>
      <c r="X37" s="2437">
        <f>ROUND(SUMPRODUCT(PRODUCT(1+N37:N$40)),4)</f>
        <v>1.0399</v>
      </c>
      <c r="Y37" s="2437">
        <f>ROUND(SUMPRODUCT(PRODUCT(1+O37:O$40)),4)</f>
        <v>1.0451999999999999</v>
      </c>
      <c r="Z37" s="2437">
        <f t="shared" si="9"/>
        <v>1.0451999999999999</v>
      </c>
      <c r="AA37" s="2437">
        <f>ROUND(SUMPRODUCT(PRODUCT(1+P37:P$40)),4)</f>
        <v>1.0387999999999999</v>
      </c>
      <c r="AB37" s="2437">
        <f>ROUND(SUMPRODUCT(PRODUCT(1+Q37:Q$40)),4)</f>
        <v>1.0411999999999999</v>
      </c>
      <c r="AD37" s="2438">
        <f>ROUND(AVERAGE(I37:I$41)/100,4)</f>
        <v>1.38E-2</v>
      </c>
      <c r="AE37" s="2438">
        <f>ROUND(AVERAGE(J37:J$41)/100,4)</f>
        <v>1.3599999999999999E-2</v>
      </c>
      <c r="AF37" s="2438">
        <f t="shared" si="10"/>
        <v>1.3599999999999999E-2</v>
      </c>
      <c r="AG37" s="2438">
        <f>ROUND(AVERAGE(K37:K$41)/100,4)</f>
        <v>1.4200000000000001E-2</v>
      </c>
      <c r="AH37" s="2438">
        <f>ROUND(AVERAGE(L37:L$41)/100,4)</f>
        <v>1.0800000000000001E-2</v>
      </c>
    </row>
    <row r="38" spans="1:34" ht="13.5" thickBot="1">
      <c r="A38" s="2439" t="s">
        <v>888</v>
      </c>
      <c r="B38" s="2465">
        <v>318</v>
      </c>
      <c r="C38" s="2465">
        <v>268</v>
      </c>
      <c r="D38" s="2465">
        <f t="shared" si="20"/>
        <v>268</v>
      </c>
      <c r="E38" s="2465">
        <v>437</v>
      </c>
      <c r="F38" s="2466">
        <v>237</v>
      </c>
      <c r="G38" s="3763">
        <v>2014</v>
      </c>
      <c r="H38" s="2460">
        <v>4</v>
      </c>
      <c r="I38" s="2460">
        <v>0.21</v>
      </c>
      <c r="J38" s="2460">
        <v>0.41</v>
      </c>
      <c r="K38" s="2460">
        <v>0.12</v>
      </c>
      <c r="L38" s="2461">
        <v>0.89</v>
      </c>
      <c r="N38" s="2442">
        <f t="shared" si="22"/>
        <v>2.0999999999999999E-3</v>
      </c>
      <c r="O38" s="2438">
        <f t="shared" si="18"/>
        <v>4.0999999999999995E-3</v>
      </c>
      <c r="P38" s="2438">
        <f t="shared" si="18"/>
        <v>1.1999999999999999E-3</v>
      </c>
      <c r="Q38" s="2438">
        <f t="shared" si="18"/>
        <v>8.8999999999999999E-3</v>
      </c>
      <c r="R38" s="2443"/>
      <c r="S38" s="2452"/>
      <c r="T38" s="2453"/>
      <c r="U38" s="2453"/>
      <c r="V38" s="2453"/>
      <c r="X38" s="2437">
        <f>ROUND(SUMPRODUCT(PRODUCT(1+N38:N$40)),4)</f>
        <v>1.0347</v>
      </c>
      <c r="Y38" s="2437">
        <f>ROUND(SUMPRODUCT(PRODUCT(1+O38:O$40)),4)</f>
        <v>1.0395000000000001</v>
      </c>
      <c r="Z38" s="2437">
        <f t="shared" si="9"/>
        <v>1.0395000000000001</v>
      </c>
      <c r="AA38" s="2437">
        <f>ROUND(SUMPRODUCT(PRODUCT(1+P38:P$40)),4)</f>
        <v>1.0338000000000001</v>
      </c>
      <c r="AB38" s="2437">
        <f>ROUND(SUMPRODUCT(PRODUCT(1+Q38:Q$40)),4)</f>
        <v>1.0316000000000001</v>
      </c>
      <c r="AD38" s="2438">
        <f>ROUND(AVERAGE(I38:I$41)/100,4)</f>
        <v>1.6E-2</v>
      </c>
      <c r="AE38" s="2438">
        <f>ROUND(AVERAGE(J38:J$41)/100,4)</f>
        <v>1.5599999999999999E-2</v>
      </c>
      <c r="AF38" s="2438">
        <f t="shared" si="10"/>
        <v>1.5599999999999999E-2</v>
      </c>
      <c r="AG38" s="2438">
        <f>ROUND(AVERAGE(K38:K$41)/100,4)</f>
        <v>1.66E-2</v>
      </c>
      <c r="AH38" s="2438">
        <f>ROUND(AVERAGE(L38:L$41)/100,4)</f>
        <v>1.12E-2</v>
      </c>
    </row>
    <row r="39" spans="1:34">
      <c r="A39" s="2439" t="s">
        <v>887</v>
      </c>
      <c r="B39" s="2440">
        <f t="shared" ref="B39:C41" si="25">B38/(1+N38)</f>
        <v>317.33359944117353</v>
      </c>
      <c r="C39" s="2440">
        <f t="shared" si="25"/>
        <v>266.90568668459315</v>
      </c>
      <c r="D39" s="2440">
        <f t="shared" si="20"/>
        <v>266.90568668459315</v>
      </c>
      <c r="E39" s="2440">
        <f t="shared" ref="E39:F41" si="26">E38/(1+P38)</f>
        <v>436.47622852576905</v>
      </c>
      <c r="F39" s="2440">
        <f t="shared" si="26"/>
        <v>234.90930716622066</v>
      </c>
      <c r="G39" s="3761"/>
      <c r="H39" s="2467">
        <v>3</v>
      </c>
      <c r="I39" s="2467">
        <v>0.83</v>
      </c>
      <c r="J39" s="2467">
        <v>1.47</v>
      </c>
      <c r="K39" s="2467">
        <v>0.65</v>
      </c>
      <c r="L39" s="2468">
        <v>0.72</v>
      </c>
      <c r="N39" s="2442">
        <f t="shared" si="22"/>
        <v>8.3000000000000001E-3</v>
      </c>
      <c r="O39" s="2438">
        <f t="shared" si="18"/>
        <v>1.47E-2</v>
      </c>
      <c r="P39" s="2438">
        <f t="shared" si="18"/>
        <v>6.5000000000000006E-3</v>
      </c>
      <c r="Q39" s="2438">
        <f t="shared" si="18"/>
        <v>7.1999999999999998E-3</v>
      </c>
      <c r="R39" s="2443"/>
      <c r="S39" s="2442"/>
      <c r="T39" s="2438"/>
      <c r="U39" s="2438"/>
      <c r="V39" s="2438"/>
      <c r="X39" s="2437">
        <f>ROUND(SUMPRODUCT(PRODUCT(1+N39:N$40)),4)</f>
        <v>1.0325</v>
      </c>
      <c r="Y39" s="2437">
        <f>ROUND(SUMPRODUCT(PRODUCT(1+O39:O$40)),4)</f>
        <v>1.0353000000000001</v>
      </c>
      <c r="Z39" s="2437">
        <f t="shared" si="9"/>
        <v>1.0353000000000001</v>
      </c>
      <c r="AA39" s="2437">
        <f>ROUND(SUMPRODUCT(PRODUCT(1+P39:P$40)),4)</f>
        <v>1.0326</v>
      </c>
      <c r="AB39" s="2437">
        <f>ROUND(SUMPRODUCT(PRODUCT(1+Q39:Q$40)),4)</f>
        <v>1.0225</v>
      </c>
      <c r="AD39" s="2438">
        <f>ROUND(AVERAGE(I39:I$41)/100,4)</f>
        <v>2.07E-2</v>
      </c>
      <c r="AE39" s="2438">
        <f>ROUND(AVERAGE(J39:J$41)/100,4)</f>
        <v>1.95E-2</v>
      </c>
      <c r="AF39" s="2438">
        <f t="shared" si="10"/>
        <v>1.95E-2</v>
      </c>
      <c r="AG39" s="2438">
        <f>ROUND(AVERAGE(K39:K$41)/100,4)</f>
        <v>2.1700000000000001E-2</v>
      </c>
      <c r="AH39" s="2438">
        <f>ROUND(AVERAGE(L39:L$41)/100,4)</f>
        <v>1.2E-2</v>
      </c>
    </row>
    <row r="40" spans="1:34" ht="13.5" thickBot="1">
      <c r="A40" s="2439" t="s">
        <v>886</v>
      </c>
      <c r="B40" s="2440">
        <f t="shared" si="25"/>
        <v>314.72141172386546</v>
      </c>
      <c r="C40" s="2440">
        <f t="shared" si="25"/>
        <v>263.03901319069001</v>
      </c>
      <c r="D40" s="2440">
        <f t="shared" si="20"/>
        <v>263.03901319069001</v>
      </c>
      <c r="E40" s="2440">
        <f t="shared" si="26"/>
        <v>433.65745506782821</v>
      </c>
      <c r="F40" s="2440">
        <f t="shared" si="26"/>
        <v>233.23005080045735</v>
      </c>
      <c r="G40" s="3761"/>
      <c r="H40" s="2460">
        <v>2</v>
      </c>
      <c r="I40" s="2460">
        <v>2.4</v>
      </c>
      <c r="J40" s="2460">
        <v>2.0299999999999998</v>
      </c>
      <c r="K40" s="2460">
        <v>2.59</v>
      </c>
      <c r="L40" s="2461">
        <v>1.52</v>
      </c>
      <c r="N40" s="2442">
        <f t="shared" si="22"/>
        <v>2.4E-2</v>
      </c>
      <c r="O40" s="2438">
        <f t="shared" si="18"/>
        <v>2.0299999999999999E-2</v>
      </c>
      <c r="P40" s="2438">
        <f t="shared" si="18"/>
        <v>2.5899999999999999E-2</v>
      </c>
      <c r="Q40" s="2438">
        <f t="shared" si="18"/>
        <v>1.52E-2</v>
      </c>
      <c r="R40" s="2443"/>
      <c r="S40" s="2442"/>
      <c r="T40" s="2438"/>
      <c r="U40" s="2438"/>
      <c r="V40" s="2438"/>
      <c r="X40" s="2437">
        <f>1+N40</f>
        <v>1.024</v>
      </c>
      <c r="Y40" s="2437">
        <f>1+O40</f>
        <v>1.0203</v>
      </c>
      <c r="Z40" s="2437">
        <f t="shared" si="9"/>
        <v>1.0203</v>
      </c>
      <c r="AA40" s="2437">
        <f>1+P40</f>
        <v>1.0259</v>
      </c>
      <c r="AB40" s="2437">
        <f>1+Q40</f>
        <v>1.0152000000000001</v>
      </c>
      <c r="AD40" s="2438">
        <f>ROUND(AVERAGE(I40:I$41)/100,4)</f>
        <v>2.69E-2</v>
      </c>
      <c r="AE40" s="2438">
        <f>ROUND(AVERAGE(J40:J$41)/100,4)</f>
        <v>2.1899999999999999E-2</v>
      </c>
      <c r="AF40" s="2438">
        <f t="shared" si="10"/>
        <v>2.1899999999999999E-2</v>
      </c>
      <c r="AG40" s="2438">
        <f>ROUND(AVERAGE(K40:K$41)/100,4)</f>
        <v>2.9399999999999999E-2</v>
      </c>
      <c r="AH40" s="2438">
        <f>ROUND(AVERAGE(L40:L$41)/100,4)</f>
        <v>1.44E-2</v>
      </c>
    </row>
    <row r="41" spans="1:34" s="2473" customFormat="1" ht="13.5" thickBot="1">
      <c r="A41" s="2469" t="s">
        <v>885</v>
      </c>
      <c r="B41" s="2470">
        <f t="shared" si="25"/>
        <v>307.34512863658733</v>
      </c>
      <c r="C41" s="2470">
        <f t="shared" si="25"/>
        <v>257.80556031626975</v>
      </c>
      <c r="D41" s="2470">
        <f t="shared" si="20"/>
        <v>257.80556031626975</v>
      </c>
      <c r="E41" s="2470">
        <f t="shared" si="26"/>
        <v>422.70928459677179</v>
      </c>
      <c r="F41" s="2470">
        <f t="shared" si="26"/>
        <v>229.73803270336617</v>
      </c>
      <c r="G41" s="3764"/>
      <c r="H41" s="2471">
        <v>1</v>
      </c>
      <c r="I41" s="2471">
        <v>2.97</v>
      </c>
      <c r="J41" s="2471">
        <v>2.34</v>
      </c>
      <c r="K41" s="2471">
        <v>3.28</v>
      </c>
      <c r="L41" s="2472">
        <v>1.36</v>
      </c>
      <c r="N41" s="2474">
        <f t="shared" si="22"/>
        <v>2.9700000000000001E-2</v>
      </c>
      <c r="O41" s="2475">
        <f t="shared" si="18"/>
        <v>2.3399999999999997E-2</v>
      </c>
      <c r="P41" s="2475">
        <f t="shared" si="18"/>
        <v>3.2799999999999996E-2</v>
      </c>
      <c r="Q41" s="2475">
        <f t="shared" si="18"/>
        <v>1.3600000000000001E-2</v>
      </c>
      <c r="R41" s="2476"/>
      <c r="S41" s="2477">
        <f>B41/B42-1</f>
        <v>2.7910129219355539E-2</v>
      </c>
      <c r="T41" s="2478">
        <f>C41/C42-1</f>
        <v>2.3037937762975247E-2</v>
      </c>
      <c r="U41" s="2478">
        <f>E41/E42-1</f>
        <v>3.3519033243940788E-2</v>
      </c>
      <c r="V41" s="2478">
        <f>F41/F42-1</f>
        <v>1.2061818076502862E-2</v>
      </c>
      <c r="W41" s="2479" t="s">
        <v>1920</v>
      </c>
      <c r="X41" s="2473">
        <v>1</v>
      </c>
      <c r="Y41" s="2473">
        <v>1</v>
      </c>
      <c r="Z41" s="2473">
        <v>1</v>
      </c>
      <c r="AA41" s="2473">
        <v>1</v>
      </c>
      <c r="AB41" s="2473">
        <v>1</v>
      </c>
      <c r="AD41" s="2475">
        <f>I41/100</f>
        <v>2.9700000000000001E-2</v>
      </c>
      <c r="AE41" s="2475">
        <f>J41/100</f>
        <v>2.3399999999999997E-2</v>
      </c>
      <c r="AF41" s="2475">
        <f t="shared" si="10"/>
        <v>2.3399999999999997E-2</v>
      </c>
      <c r="AG41" s="2475">
        <f>K41/100</f>
        <v>3.2799999999999996E-2</v>
      </c>
      <c r="AH41" s="2475">
        <f>L41/100</f>
        <v>1.3600000000000001E-2</v>
      </c>
    </row>
    <row r="42" spans="1:34" ht="13.5" thickBot="1">
      <c r="A42" s="2439" t="s">
        <v>1863</v>
      </c>
      <c r="B42" s="2458">
        <v>299</v>
      </c>
      <c r="C42" s="2458">
        <v>252</v>
      </c>
      <c r="D42" s="2458">
        <f t="shared" si="20"/>
        <v>252</v>
      </c>
      <c r="E42" s="2458">
        <v>409</v>
      </c>
      <c r="F42" s="2459">
        <v>227</v>
      </c>
      <c r="G42" s="3768">
        <v>2013</v>
      </c>
      <c r="H42" s="2480">
        <v>4</v>
      </c>
      <c r="I42" s="2480">
        <v>1.83</v>
      </c>
      <c r="J42" s="2480">
        <v>1.68</v>
      </c>
      <c r="K42" s="2480">
        <v>1.97</v>
      </c>
      <c r="L42" s="2481">
        <v>0.87</v>
      </c>
      <c r="N42" s="2456">
        <f t="shared" si="22"/>
        <v>1.83E-2</v>
      </c>
      <c r="O42" s="2457">
        <f t="shared" si="18"/>
        <v>1.6799999999999999E-2</v>
      </c>
      <c r="P42" s="2457">
        <f t="shared" si="18"/>
        <v>1.9699999999999999E-2</v>
      </c>
      <c r="Q42" s="2457">
        <f t="shared" si="18"/>
        <v>8.6999999999999994E-3</v>
      </c>
      <c r="R42" s="2443"/>
      <c r="S42" s="2452"/>
      <c r="T42" s="2453"/>
      <c r="U42" s="2453"/>
      <c r="V42" s="2453"/>
      <c r="X42" s="2453"/>
      <c r="Y42" s="2453"/>
      <c r="Z42" s="2453"/>
    </row>
    <row r="43" spans="1:34">
      <c r="A43" s="2439" t="s">
        <v>1864</v>
      </c>
      <c r="B43" s="2440">
        <f t="shared" ref="B43:C45" si="27">B42/(1+N42)</f>
        <v>293.62663262299913</v>
      </c>
      <c r="C43" s="2440">
        <f t="shared" si="27"/>
        <v>247.83634933123525</v>
      </c>
      <c r="D43" s="2440">
        <f t="shared" si="20"/>
        <v>247.83634933123525</v>
      </c>
      <c r="E43" s="2440">
        <f t="shared" ref="E43:F45" si="28">E42/(1+P42)</f>
        <v>401.09836226341076</v>
      </c>
      <c r="F43" s="2440">
        <f t="shared" si="28"/>
        <v>225.04213343908003</v>
      </c>
      <c r="G43" s="3769"/>
      <c r="H43" s="2463">
        <v>3</v>
      </c>
      <c r="I43" s="2463">
        <v>1.86</v>
      </c>
      <c r="J43" s="2463">
        <v>1.72</v>
      </c>
      <c r="K43" s="2463">
        <v>1.98</v>
      </c>
      <c r="L43" s="2464">
        <v>0.88</v>
      </c>
      <c r="N43" s="2442">
        <f t="shared" si="22"/>
        <v>1.8600000000000002E-2</v>
      </c>
      <c r="O43" s="2438">
        <f t="shared" si="18"/>
        <v>1.72E-2</v>
      </c>
      <c r="P43" s="2438">
        <f t="shared" si="18"/>
        <v>1.9799999999999998E-2</v>
      </c>
      <c r="Q43" s="2438">
        <f t="shared" si="18"/>
        <v>8.8000000000000005E-3</v>
      </c>
      <c r="R43" s="2443"/>
      <c r="S43" s="2442"/>
      <c r="T43" s="2438"/>
      <c r="U43" s="2438"/>
      <c r="V43" s="2438"/>
    </row>
    <row r="44" spans="1:34">
      <c r="A44" s="2439" t="s">
        <v>1865</v>
      </c>
      <c r="B44" s="2440">
        <f t="shared" si="27"/>
        <v>288.2649053828776</v>
      </c>
      <c r="C44" s="2440">
        <f t="shared" si="27"/>
        <v>243.64564425013293</v>
      </c>
      <c r="D44" s="2440">
        <f t="shared" si="20"/>
        <v>243.64564425013293</v>
      </c>
      <c r="E44" s="2440">
        <f t="shared" si="28"/>
        <v>393.31080825986544</v>
      </c>
      <c r="F44" s="2440">
        <f t="shared" si="28"/>
        <v>223.07903790551154</v>
      </c>
      <c r="G44" s="3769"/>
      <c r="H44" s="2454">
        <v>2</v>
      </c>
      <c r="I44" s="2454">
        <v>2.04</v>
      </c>
      <c r="J44" s="2454">
        <v>2.33</v>
      </c>
      <c r="K44" s="2454">
        <v>2.0699999999999998</v>
      </c>
      <c r="L44" s="2455">
        <v>0.69</v>
      </c>
      <c r="N44" s="2442">
        <f t="shared" si="22"/>
        <v>2.0400000000000001E-2</v>
      </c>
      <c r="O44" s="2438">
        <f t="shared" si="18"/>
        <v>2.3300000000000001E-2</v>
      </c>
      <c r="P44" s="2438">
        <f t="shared" si="18"/>
        <v>2.07E-2</v>
      </c>
      <c r="Q44" s="2438">
        <f t="shared" si="18"/>
        <v>6.8999999999999999E-3</v>
      </c>
      <c r="R44" s="2443"/>
      <c r="S44" s="2442"/>
      <c r="T44" s="2438"/>
      <c r="U44" s="2438"/>
      <c r="V44" s="2438"/>
      <c r="X44" s="2482"/>
      <c r="Y44" s="2483"/>
    </row>
    <row r="45" spans="1:34">
      <c r="A45" s="2439" t="s">
        <v>1866</v>
      </c>
      <c r="B45" s="2440">
        <f t="shared" si="27"/>
        <v>282.50186729015837</v>
      </c>
      <c r="C45" s="2440">
        <f t="shared" si="27"/>
        <v>238.09796174155468</v>
      </c>
      <c r="D45" s="2440">
        <f t="shared" si="20"/>
        <v>238.09796174155468</v>
      </c>
      <c r="E45" s="2440">
        <f t="shared" si="28"/>
        <v>385.33438646014054</v>
      </c>
      <c r="F45" s="2440">
        <f t="shared" si="28"/>
        <v>221.55034055567739</v>
      </c>
      <c r="G45" s="3770"/>
      <c r="H45" s="2441">
        <v>1</v>
      </c>
      <c r="I45" s="2441">
        <v>1.67</v>
      </c>
      <c r="J45" s="2441">
        <v>1.31</v>
      </c>
      <c r="K45" s="2441">
        <v>1.85</v>
      </c>
      <c r="L45" s="2447">
        <v>0.96</v>
      </c>
      <c r="N45" s="2444">
        <f t="shared" si="22"/>
        <v>1.67E-2</v>
      </c>
      <c r="O45" s="2445">
        <f t="shared" si="18"/>
        <v>1.3100000000000001E-2</v>
      </c>
      <c r="P45" s="2445">
        <f t="shared" si="18"/>
        <v>1.8500000000000003E-2</v>
      </c>
      <c r="Q45" s="2445">
        <f t="shared" si="18"/>
        <v>9.5999999999999992E-3</v>
      </c>
      <c r="R45" s="2443"/>
      <c r="S45" s="2444">
        <f>B45/B46-1</f>
        <v>1.6193767230785472E-2</v>
      </c>
      <c r="T45" s="2445">
        <f>C45/C46-1</f>
        <v>1.7512657015190891E-2</v>
      </c>
      <c r="U45" s="2445">
        <f>E45/E46-1</f>
        <v>1.6713420739157048E-2</v>
      </c>
      <c r="V45" s="2445">
        <f>F45/F46-1</f>
        <v>7.0470025258062563E-3</v>
      </c>
      <c r="Y45" s="2438"/>
      <c r="Z45" s="2438"/>
    </row>
    <row r="46" spans="1:34" ht="13.5" thickBot="1">
      <c r="A46" s="2439" t="s">
        <v>1867</v>
      </c>
      <c r="B46" s="2484">
        <v>278</v>
      </c>
      <c r="C46" s="2484">
        <v>234</v>
      </c>
      <c r="D46" s="2484">
        <f t="shared" si="20"/>
        <v>234</v>
      </c>
      <c r="E46" s="2484">
        <v>379</v>
      </c>
      <c r="F46" s="2485">
        <v>220</v>
      </c>
      <c r="G46" s="3763">
        <v>2012</v>
      </c>
      <c r="H46" s="2460">
        <v>4</v>
      </c>
      <c r="I46" s="2460">
        <v>0.91</v>
      </c>
      <c r="J46" s="2460">
        <v>0.68</v>
      </c>
      <c r="K46" s="2460">
        <v>0.98</v>
      </c>
      <c r="L46" s="2461">
        <v>0.9</v>
      </c>
      <c r="N46" s="2442">
        <f t="shared" si="22"/>
        <v>9.1000000000000004E-3</v>
      </c>
      <c r="O46" s="2438">
        <f t="shared" si="22"/>
        <v>6.8000000000000005E-3</v>
      </c>
      <c r="P46" s="2438">
        <f t="shared" si="22"/>
        <v>9.7999999999999997E-3</v>
      </c>
      <c r="Q46" s="2438">
        <f t="shared" si="22"/>
        <v>9.0000000000000011E-3</v>
      </c>
      <c r="R46" s="2443"/>
      <c r="S46" s="2452"/>
      <c r="T46" s="2453"/>
      <c r="U46" s="2453"/>
      <c r="V46" s="2453"/>
      <c r="X46" s="2453"/>
      <c r="Y46" s="2453"/>
      <c r="Z46" s="2453"/>
    </row>
    <row r="47" spans="1:34">
      <c r="A47" s="2439" t="s">
        <v>1868</v>
      </c>
      <c r="B47" s="2440">
        <f>B46/(1+N46)</f>
        <v>275.49301357645425</v>
      </c>
      <c r="C47" s="2440">
        <f>C46/(1+O46)</f>
        <v>232.41954707985698</v>
      </c>
      <c r="D47" s="2440">
        <f t="shared" si="20"/>
        <v>232.41954707985698</v>
      </c>
      <c r="E47" s="2440">
        <f t="shared" ref="E47:F49" si="29">E46/(1+P46)</f>
        <v>375.32184591008121</v>
      </c>
      <c r="F47" s="2440">
        <f t="shared" si="29"/>
        <v>218.03766105054513</v>
      </c>
      <c r="G47" s="3761"/>
      <c r="H47" s="2463">
        <v>3</v>
      </c>
      <c r="I47" s="2463">
        <v>0.09</v>
      </c>
      <c r="J47" s="2463">
        <v>0.28999999999999998</v>
      </c>
      <c r="K47" s="2463">
        <v>-0.01</v>
      </c>
      <c r="L47" s="2464">
        <v>0.57999999999999996</v>
      </c>
      <c r="N47" s="2442">
        <f t="shared" si="22"/>
        <v>8.9999999999999998E-4</v>
      </c>
      <c r="O47" s="2438">
        <f t="shared" si="22"/>
        <v>2.8999999999999998E-3</v>
      </c>
      <c r="P47" s="2438">
        <f t="shared" si="22"/>
        <v>-1E-4</v>
      </c>
      <c r="Q47" s="2438">
        <f t="shared" si="22"/>
        <v>5.7999999999999996E-3</v>
      </c>
      <c r="R47" s="2443"/>
      <c r="S47" s="2442"/>
      <c r="T47" s="2438"/>
      <c r="U47" s="2438"/>
      <c r="V47" s="2438"/>
    </row>
    <row r="48" spans="1:34">
      <c r="A48" s="2439" t="s">
        <v>1869</v>
      </c>
      <c r="B48" s="2440">
        <f>B47/(1+N47)</f>
        <v>275.24529281292263</v>
      </c>
      <c r="C48" s="2440">
        <f>C47/(1+O47)</f>
        <v>231.74747938962707</v>
      </c>
      <c r="D48" s="2440">
        <f t="shared" si="20"/>
        <v>231.74747938962707</v>
      </c>
      <c r="E48" s="2440">
        <f t="shared" si="29"/>
        <v>375.35938184826603</v>
      </c>
      <c r="F48" s="2440">
        <f t="shared" si="29"/>
        <v>216.78033510692495</v>
      </c>
      <c r="G48" s="3761"/>
      <c r="H48" s="2454">
        <v>2</v>
      </c>
      <c r="I48" s="2454">
        <v>0.02</v>
      </c>
      <c r="J48" s="2454">
        <v>0.12</v>
      </c>
      <c r="K48" s="2454">
        <v>-0.08</v>
      </c>
      <c r="L48" s="2455">
        <v>1.24</v>
      </c>
      <c r="N48" s="2442">
        <f t="shared" si="22"/>
        <v>2.0000000000000001E-4</v>
      </c>
      <c r="O48" s="2438">
        <f t="shared" si="22"/>
        <v>1.1999999999999999E-3</v>
      </c>
      <c r="P48" s="2438">
        <f t="shared" si="22"/>
        <v>-8.0000000000000004E-4</v>
      </c>
      <c r="Q48" s="2438">
        <f t="shared" si="22"/>
        <v>1.24E-2</v>
      </c>
      <c r="R48" s="2443"/>
      <c r="S48" s="2442"/>
      <c r="T48" s="2438"/>
      <c r="U48" s="2438"/>
      <c r="V48" s="2438"/>
    </row>
    <row r="49" spans="1:26" ht="13.5" thickBot="1">
      <c r="A49" s="2439" t="s">
        <v>1870</v>
      </c>
      <c r="B49" s="2440">
        <f>B48/(1+N48)</f>
        <v>275.19025476197027</v>
      </c>
      <c r="C49" s="2486">
        <v>232</v>
      </c>
      <c r="D49" s="2486">
        <f t="shared" si="20"/>
        <v>232</v>
      </c>
      <c r="E49" s="2440">
        <f t="shared" si="29"/>
        <v>375.65990977608692</v>
      </c>
      <c r="F49" s="2440">
        <f t="shared" si="29"/>
        <v>214.12518283971252</v>
      </c>
      <c r="G49" s="3764"/>
      <c r="H49" s="2441">
        <v>1</v>
      </c>
      <c r="I49" s="2441">
        <v>0.02</v>
      </c>
      <c r="J49" s="2441">
        <v>0.13</v>
      </c>
      <c r="K49" s="2441">
        <v>-0.04</v>
      </c>
      <c r="L49" s="2447">
        <v>0.46</v>
      </c>
      <c r="N49" s="2442">
        <f t="shared" si="22"/>
        <v>2.0000000000000001E-4</v>
      </c>
      <c r="O49" s="2438">
        <f t="shared" si="22"/>
        <v>1.2999999999999999E-3</v>
      </c>
      <c r="P49" s="2438">
        <f t="shared" si="22"/>
        <v>-4.0000000000000002E-4</v>
      </c>
      <c r="Q49" s="2438">
        <f t="shared" si="22"/>
        <v>4.5999999999999999E-3</v>
      </c>
      <c r="R49" s="2443"/>
      <c r="S49" s="2444">
        <f>B49/B50-1</f>
        <v>6.9183549807361189E-4</v>
      </c>
      <c r="T49" s="2445">
        <f>C49/C50-1</f>
        <v>0</v>
      </c>
      <c r="U49" s="2445">
        <f>E49/E50-1</f>
        <v>-9.0449527636460303E-4</v>
      </c>
      <c r="V49" s="2445">
        <f>F49/F50-1</f>
        <v>5.2825485432512753E-3</v>
      </c>
      <c r="X49" s="2438"/>
      <c r="Y49" s="2438"/>
      <c r="Z49" s="2438"/>
    </row>
    <row r="50" spans="1:26" ht="13.5" thickBot="1">
      <c r="A50" s="2439" t="s">
        <v>1871</v>
      </c>
      <c r="B50" s="2458">
        <v>275</v>
      </c>
      <c r="C50" s="2458">
        <v>232</v>
      </c>
      <c r="D50" s="2458">
        <f t="shared" si="20"/>
        <v>232</v>
      </c>
      <c r="E50" s="2458">
        <v>376</v>
      </c>
      <c r="F50" s="2459">
        <v>213</v>
      </c>
      <c r="G50" s="3763">
        <v>2011</v>
      </c>
      <c r="H50" s="2460">
        <v>4</v>
      </c>
      <c r="I50" s="2460">
        <v>-0.2</v>
      </c>
      <c r="J50" s="2460">
        <v>0.04</v>
      </c>
      <c r="K50" s="2460">
        <v>-0.34</v>
      </c>
      <c r="L50" s="2461">
        <v>0.46</v>
      </c>
      <c r="N50" s="2456">
        <f t="shared" si="22"/>
        <v>-2E-3</v>
      </c>
      <c r="O50" s="2457">
        <f t="shared" si="22"/>
        <v>4.0000000000000002E-4</v>
      </c>
      <c r="P50" s="2457">
        <f t="shared" si="22"/>
        <v>-3.4000000000000002E-3</v>
      </c>
      <c r="Q50" s="2457">
        <f t="shared" si="22"/>
        <v>4.5999999999999999E-3</v>
      </c>
      <c r="R50" s="2443"/>
      <c r="S50" s="2452"/>
      <c r="T50" s="2453"/>
      <c r="U50" s="2453"/>
      <c r="V50" s="2453"/>
      <c r="X50" s="2453"/>
      <c r="Y50" s="2453"/>
      <c r="Z50" s="2453"/>
    </row>
    <row r="51" spans="1:26">
      <c r="A51" s="2439" t="s">
        <v>1872</v>
      </c>
      <c r="B51" s="2440">
        <f t="shared" ref="B51:C53" si="30">B50/(1+N50)</f>
        <v>275.55110220440883</v>
      </c>
      <c r="C51" s="2440">
        <f t="shared" si="30"/>
        <v>231.90723710515795</v>
      </c>
      <c r="D51" s="2440">
        <f t="shared" si="20"/>
        <v>231.90723710515795</v>
      </c>
      <c r="E51" s="2440">
        <f t="shared" ref="E51:F53" si="31">E50/(1+P50)</f>
        <v>377.28276138872161</v>
      </c>
      <c r="F51" s="2440">
        <f t="shared" si="31"/>
        <v>212.02468644236512</v>
      </c>
      <c r="G51" s="3761">
        <v>2011</v>
      </c>
      <c r="H51" s="2463">
        <v>3</v>
      </c>
      <c r="I51" s="2463">
        <v>0.13</v>
      </c>
      <c r="J51" s="2463">
        <v>0.75</v>
      </c>
      <c r="K51" s="2463">
        <v>-0.08</v>
      </c>
      <c r="L51" s="2464">
        <v>0.53</v>
      </c>
      <c r="N51" s="2442">
        <f t="shared" si="22"/>
        <v>1.2999999999999999E-3</v>
      </c>
      <c r="O51" s="2438">
        <f t="shared" si="22"/>
        <v>7.4999999999999997E-3</v>
      </c>
      <c r="P51" s="2438">
        <f t="shared" si="22"/>
        <v>-8.0000000000000004E-4</v>
      </c>
      <c r="Q51" s="2438">
        <f t="shared" si="22"/>
        <v>5.3E-3</v>
      </c>
      <c r="R51" s="2443"/>
      <c r="S51" s="2442"/>
      <c r="T51" s="2438"/>
      <c r="U51" s="2438"/>
      <c r="V51" s="2438"/>
    </row>
    <row r="52" spans="1:26">
      <c r="A52" s="2439" t="s">
        <v>1873</v>
      </c>
      <c r="B52" s="2440">
        <f t="shared" si="30"/>
        <v>275.19335084830601</v>
      </c>
      <c r="C52" s="2440">
        <f t="shared" si="30"/>
        <v>230.18088050139744</v>
      </c>
      <c r="D52" s="2440">
        <f t="shared" si="20"/>
        <v>230.18088050139744</v>
      </c>
      <c r="E52" s="2440">
        <f t="shared" si="31"/>
        <v>377.58482925212331</v>
      </c>
      <c r="F52" s="2440">
        <f t="shared" si="31"/>
        <v>210.90687997847917</v>
      </c>
      <c r="G52" s="3761">
        <v>2011</v>
      </c>
      <c r="H52" s="2454">
        <v>2</v>
      </c>
      <c r="I52" s="2454">
        <v>-0.4</v>
      </c>
      <c r="J52" s="2454">
        <v>0.17</v>
      </c>
      <c r="K52" s="2454">
        <v>-0.57999999999999996</v>
      </c>
      <c r="L52" s="2455">
        <v>-0.2</v>
      </c>
      <c r="N52" s="2442">
        <f t="shared" si="22"/>
        <v>-4.0000000000000001E-3</v>
      </c>
      <c r="O52" s="2438">
        <f t="shared" si="22"/>
        <v>1.7000000000000001E-3</v>
      </c>
      <c r="P52" s="2438">
        <f t="shared" si="22"/>
        <v>-5.7999999999999996E-3</v>
      </c>
      <c r="Q52" s="2438">
        <f t="shared" si="22"/>
        <v>-2E-3</v>
      </c>
      <c r="R52" s="2443"/>
      <c r="S52" s="2442"/>
      <c r="T52" s="2438"/>
      <c r="U52" s="2438"/>
      <c r="V52" s="2438"/>
    </row>
    <row r="53" spans="1:26" ht="13.5" thickBot="1">
      <c r="A53" s="2439" t="s">
        <v>1874</v>
      </c>
      <c r="B53" s="2440">
        <f t="shared" si="30"/>
        <v>276.29854502841971</v>
      </c>
      <c r="C53" s="2440">
        <f t="shared" si="30"/>
        <v>229.79023709833027</v>
      </c>
      <c r="D53" s="2440">
        <f t="shared" si="20"/>
        <v>229.79023709833027</v>
      </c>
      <c r="E53" s="2440">
        <f t="shared" si="31"/>
        <v>379.78759731655936</v>
      </c>
      <c r="F53" s="2440">
        <f t="shared" si="31"/>
        <v>211.32953905659235</v>
      </c>
      <c r="G53" s="3764">
        <v>2011</v>
      </c>
      <c r="H53" s="2441">
        <v>1</v>
      </c>
      <c r="I53" s="2441">
        <v>2.65</v>
      </c>
      <c r="J53" s="2441">
        <v>3.76</v>
      </c>
      <c r="K53" s="2441">
        <v>1.89</v>
      </c>
      <c r="L53" s="2447">
        <v>7.95</v>
      </c>
      <c r="N53" s="2444">
        <f t="shared" si="22"/>
        <v>2.6499999999999999E-2</v>
      </c>
      <c r="O53" s="2445">
        <f t="shared" si="22"/>
        <v>3.7599999999999995E-2</v>
      </c>
      <c r="P53" s="2445">
        <f t="shared" si="22"/>
        <v>1.89E-2</v>
      </c>
      <c r="Q53" s="2445">
        <f t="shared" si="22"/>
        <v>7.9500000000000001E-2</v>
      </c>
      <c r="R53" s="2443"/>
      <c r="S53" s="2444">
        <f>B53/B54-1</f>
        <v>2.713213765211786E-2</v>
      </c>
      <c r="T53" s="2445">
        <f>C53/C54-1</f>
        <v>3.9774828499231862E-2</v>
      </c>
      <c r="U53" s="2445">
        <f>E53/E54-1</f>
        <v>1.8197311840641772E-2</v>
      </c>
      <c r="V53" s="2445">
        <f>F53/F54-1</f>
        <v>7.8211933962205826E-2</v>
      </c>
      <c r="X53" s="2438"/>
      <c r="Y53" s="2438"/>
      <c r="Z53" s="2438"/>
    </row>
    <row r="54" spans="1:26" ht="13.5" thickBot="1">
      <c r="A54" s="2439" t="s">
        <v>1875</v>
      </c>
      <c r="B54" s="2458">
        <v>269</v>
      </c>
      <c r="C54" s="2458">
        <v>221</v>
      </c>
      <c r="D54" s="2458">
        <f t="shared" si="20"/>
        <v>221</v>
      </c>
      <c r="E54" s="2458">
        <v>373</v>
      </c>
      <c r="F54" s="2459">
        <v>196</v>
      </c>
      <c r="G54" s="3763">
        <v>2010</v>
      </c>
      <c r="H54" s="2460">
        <v>4</v>
      </c>
      <c r="I54" s="2460">
        <v>5.72</v>
      </c>
      <c r="J54" s="2460">
        <v>6.57</v>
      </c>
      <c r="K54" s="2460">
        <v>5.72</v>
      </c>
      <c r="L54" s="2461">
        <v>2.72</v>
      </c>
      <c r="N54" s="2442">
        <f t="shared" si="22"/>
        <v>5.7200000000000001E-2</v>
      </c>
      <c r="O54" s="2438">
        <f t="shared" si="22"/>
        <v>6.5700000000000008E-2</v>
      </c>
      <c r="P54" s="2438">
        <f t="shared" si="22"/>
        <v>5.7200000000000001E-2</v>
      </c>
      <c r="Q54" s="2438">
        <f t="shared" si="22"/>
        <v>2.7200000000000002E-2</v>
      </c>
      <c r="R54" s="2443"/>
      <c r="S54" s="2452"/>
      <c r="T54" s="2453"/>
      <c r="U54" s="2453"/>
      <c r="V54" s="2453"/>
      <c r="X54" s="2453"/>
      <c r="Y54" s="2453"/>
      <c r="Z54" s="2453"/>
    </row>
    <row r="55" spans="1:26">
      <c r="A55" s="2439" t="s">
        <v>1876</v>
      </c>
      <c r="B55" s="2440">
        <f t="shared" ref="B55:C57" si="32">B54/(1+N54)</f>
        <v>254.44570563753314</v>
      </c>
      <c r="C55" s="2440">
        <f t="shared" si="32"/>
        <v>207.37543398705074</v>
      </c>
      <c r="D55" s="2440">
        <f t="shared" si="20"/>
        <v>207.37543398705074</v>
      </c>
      <c r="E55" s="2440">
        <f t="shared" ref="E55:F57" si="33">E54/(1+P54)</f>
        <v>352.81876655315932</v>
      </c>
      <c r="F55" s="2440">
        <f t="shared" si="33"/>
        <v>190.809968847352</v>
      </c>
      <c r="G55" s="3761">
        <v>2010</v>
      </c>
      <c r="H55" s="2463">
        <v>3</v>
      </c>
      <c r="I55" s="2463">
        <v>4.7300000000000004</v>
      </c>
      <c r="J55" s="2463">
        <v>3.9</v>
      </c>
      <c r="K55" s="2463">
        <v>5.03</v>
      </c>
      <c r="L55" s="2464">
        <v>4.21</v>
      </c>
      <c r="N55" s="2442">
        <f t="shared" si="22"/>
        <v>4.7300000000000002E-2</v>
      </c>
      <c r="O55" s="2438">
        <f t="shared" si="22"/>
        <v>3.9E-2</v>
      </c>
      <c r="P55" s="2438">
        <f t="shared" si="22"/>
        <v>5.0300000000000004E-2</v>
      </c>
      <c r="Q55" s="2438">
        <f t="shared" si="22"/>
        <v>4.2099999999999999E-2</v>
      </c>
      <c r="R55" s="2443"/>
      <c r="S55" s="2442"/>
      <c r="T55" s="2438"/>
      <c r="U55" s="2438"/>
      <c r="V55" s="2438"/>
    </row>
    <row r="56" spans="1:26">
      <c r="A56" s="2439" t="s">
        <v>1877</v>
      </c>
      <c r="B56" s="2440">
        <f t="shared" si="32"/>
        <v>242.95398227588385</v>
      </c>
      <c r="C56" s="2440">
        <f t="shared" si="32"/>
        <v>199.59137053614126</v>
      </c>
      <c r="D56" s="2440">
        <f t="shared" si="20"/>
        <v>199.59137053614126</v>
      </c>
      <c r="E56" s="2440">
        <f t="shared" si="33"/>
        <v>335.92189522342125</v>
      </c>
      <c r="F56" s="2440">
        <f t="shared" si="33"/>
        <v>183.10139991109489</v>
      </c>
      <c r="G56" s="3761">
        <v>2010</v>
      </c>
      <c r="H56" s="2454">
        <v>2</v>
      </c>
      <c r="I56" s="2454">
        <v>4.6900000000000004</v>
      </c>
      <c r="J56" s="2454">
        <v>3.55</v>
      </c>
      <c r="K56" s="2454">
        <v>5.07</v>
      </c>
      <c r="L56" s="2455">
        <v>4.2300000000000004</v>
      </c>
      <c r="N56" s="2442">
        <f t="shared" si="22"/>
        <v>4.6900000000000004E-2</v>
      </c>
      <c r="O56" s="2438">
        <f t="shared" si="22"/>
        <v>3.5499999999999997E-2</v>
      </c>
      <c r="P56" s="2438">
        <f t="shared" si="22"/>
        <v>5.0700000000000002E-2</v>
      </c>
      <c r="Q56" s="2438">
        <f t="shared" si="22"/>
        <v>4.2300000000000004E-2</v>
      </c>
      <c r="R56" s="2443"/>
      <c r="S56" s="2442"/>
      <c r="T56" s="2438"/>
      <c r="U56" s="2438"/>
      <c r="V56" s="2438"/>
    </row>
    <row r="57" spans="1:26" ht="13.5" thickBot="1">
      <c r="A57" s="2439" t="s">
        <v>1878</v>
      </c>
      <c r="B57" s="2440">
        <f t="shared" si="32"/>
        <v>232.06990378821649</v>
      </c>
      <c r="C57" s="2440">
        <f t="shared" si="32"/>
        <v>192.74878854286936</v>
      </c>
      <c r="D57" s="2440">
        <f t="shared" si="20"/>
        <v>192.74878854286936</v>
      </c>
      <c r="E57" s="2440">
        <f t="shared" si="33"/>
        <v>319.71247284992984</v>
      </c>
      <c r="F57" s="2440">
        <f t="shared" si="33"/>
        <v>175.67053622862409</v>
      </c>
      <c r="G57" s="3764">
        <v>2010</v>
      </c>
      <c r="H57" s="2441">
        <v>1</v>
      </c>
      <c r="I57" s="2441">
        <v>5.4</v>
      </c>
      <c r="J57" s="2441">
        <v>3.2</v>
      </c>
      <c r="K57" s="2441">
        <v>6.16</v>
      </c>
      <c r="L57" s="2447">
        <v>4.51</v>
      </c>
      <c r="N57" s="2442">
        <f t="shared" si="22"/>
        <v>5.4000000000000006E-2</v>
      </c>
      <c r="O57" s="2438">
        <f t="shared" si="22"/>
        <v>3.2000000000000001E-2</v>
      </c>
      <c r="P57" s="2438">
        <f t="shared" si="22"/>
        <v>6.1600000000000002E-2</v>
      </c>
      <c r="Q57" s="2438">
        <f t="shared" si="22"/>
        <v>4.5100000000000001E-2</v>
      </c>
      <c r="R57" s="2443"/>
      <c r="S57" s="2444">
        <f>B57/B58-1</f>
        <v>5.4863199037347599E-2</v>
      </c>
      <c r="T57" s="2445">
        <f>C57/C58-1</f>
        <v>3.0742184721226584E-2</v>
      </c>
      <c r="U57" s="2445">
        <f>E57/E58-1</f>
        <v>6.2167683886810154E-2</v>
      </c>
      <c r="V57" s="2445">
        <f>F57/F58-1</f>
        <v>4.5657953741810031E-2</v>
      </c>
      <c r="X57" s="2438"/>
      <c r="Y57" s="2438"/>
      <c r="Z57" s="2438"/>
    </row>
    <row r="58" spans="1:26" ht="13.5" thickBot="1">
      <c r="A58" s="2439" t="s">
        <v>1879</v>
      </c>
      <c r="B58" s="2458">
        <v>220</v>
      </c>
      <c r="C58" s="2458">
        <v>187</v>
      </c>
      <c r="D58" s="2458">
        <f t="shared" si="20"/>
        <v>187</v>
      </c>
      <c r="E58" s="2458">
        <v>301</v>
      </c>
      <c r="F58" s="2459">
        <v>168</v>
      </c>
      <c r="G58" s="3763">
        <v>2009</v>
      </c>
      <c r="H58" s="2460">
        <v>4</v>
      </c>
      <c r="I58" s="2460">
        <v>2.2999999999999998</v>
      </c>
      <c r="J58" s="2460">
        <v>1.04</v>
      </c>
      <c r="K58" s="2460">
        <v>2.84</v>
      </c>
      <c r="L58" s="2461">
        <v>0.67</v>
      </c>
      <c r="N58" s="2456">
        <f t="shared" si="22"/>
        <v>2.3E-2</v>
      </c>
      <c r="O58" s="2457">
        <f t="shared" si="22"/>
        <v>1.04E-2</v>
      </c>
      <c r="P58" s="2457">
        <f t="shared" si="22"/>
        <v>2.8399999999999998E-2</v>
      </c>
      <c r="Q58" s="2457">
        <f t="shared" si="22"/>
        <v>6.7000000000000002E-3</v>
      </c>
      <c r="R58" s="2443"/>
      <c r="S58" s="2452"/>
      <c r="T58" s="2453"/>
      <c r="U58" s="2453"/>
      <c r="V58" s="2453"/>
      <c r="X58" s="2453"/>
      <c r="Y58" s="2453"/>
      <c r="Z58" s="2453"/>
    </row>
    <row r="59" spans="1:26">
      <c r="A59" s="2439" t="s">
        <v>1880</v>
      </c>
      <c r="B59" s="2440">
        <f t="shared" ref="B59:C61" si="34">B58/(1+N58)</f>
        <v>215.05376344086022</v>
      </c>
      <c r="C59" s="2440">
        <f t="shared" si="34"/>
        <v>185.0752177355503</v>
      </c>
      <c r="D59" s="2440">
        <f t="shared" si="20"/>
        <v>185.0752177355503</v>
      </c>
      <c r="E59" s="2440">
        <f t="shared" ref="E59:F61" si="35">E58/(1+P58)</f>
        <v>292.68767016725008</v>
      </c>
      <c r="F59" s="2440">
        <f t="shared" si="35"/>
        <v>166.88189132810174</v>
      </c>
      <c r="G59" s="3761">
        <v>2009</v>
      </c>
      <c r="H59" s="2463">
        <v>3</v>
      </c>
      <c r="I59" s="2463">
        <v>2.1</v>
      </c>
      <c r="J59" s="2463">
        <v>1.86</v>
      </c>
      <c r="K59" s="2463">
        <v>2.29</v>
      </c>
      <c r="L59" s="2464">
        <v>0.85</v>
      </c>
      <c r="N59" s="2442">
        <f t="shared" si="22"/>
        <v>2.1000000000000001E-2</v>
      </c>
      <c r="O59" s="2438">
        <f t="shared" si="22"/>
        <v>1.8600000000000002E-2</v>
      </c>
      <c r="P59" s="2438">
        <f t="shared" si="22"/>
        <v>2.29E-2</v>
      </c>
      <c r="Q59" s="2438">
        <f t="shared" si="22"/>
        <v>8.5000000000000006E-3</v>
      </c>
      <c r="R59" s="2443"/>
      <c r="S59" s="2442"/>
      <c r="T59" s="2438"/>
      <c r="U59" s="2438"/>
      <c r="V59" s="2438"/>
    </row>
    <row r="60" spans="1:26">
      <c r="A60" s="2439" t="s">
        <v>1881</v>
      </c>
      <c r="B60" s="2440">
        <f t="shared" si="34"/>
        <v>210.630522469011</v>
      </c>
      <c r="C60" s="2440">
        <f t="shared" si="34"/>
        <v>181.69567812247232</v>
      </c>
      <c r="D60" s="2440">
        <f t="shared" si="20"/>
        <v>181.69567812247232</v>
      </c>
      <c r="E60" s="2440">
        <f t="shared" si="35"/>
        <v>286.13517466736738</v>
      </c>
      <c r="F60" s="2440">
        <f t="shared" si="35"/>
        <v>165.47535084591149</v>
      </c>
      <c r="G60" s="3761">
        <v>2009</v>
      </c>
      <c r="H60" s="2454">
        <v>2</v>
      </c>
      <c r="I60" s="2454">
        <v>0.86</v>
      </c>
      <c r="J60" s="2454">
        <v>-1.1299999999999999</v>
      </c>
      <c r="K60" s="2454">
        <v>1.79</v>
      </c>
      <c r="L60" s="2455">
        <v>-2.0699999999999998</v>
      </c>
      <c r="N60" s="2442">
        <f t="shared" si="22"/>
        <v>8.6E-3</v>
      </c>
      <c r="O60" s="2438">
        <f t="shared" si="22"/>
        <v>-1.1299999999999999E-2</v>
      </c>
      <c r="P60" s="2438">
        <f t="shared" si="22"/>
        <v>1.7899999999999999E-2</v>
      </c>
      <c r="Q60" s="2438">
        <f t="shared" si="22"/>
        <v>-2.07E-2</v>
      </c>
      <c r="R60" s="2443"/>
      <c r="S60" s="2442"/>
      <c r="T60" s="2438"/>
      <c r="U60" s="2438"/>
      <c r="V60" s="2438"/>
    </row>
    <row r="61" spans="1:26">
      <c r="A61" s="2439" t="s">
        <v>1882</v>
      </c>
      <c r="B61" s="2440">
        <f t="shared" si="34"/>
        <v>208.83454537875372</v>
      </c>
      <c r="C61" s="2440">
        <f t="shared" si="34"/>
        <v>183.77230517090351</v>
      </c>
      <c r="D61" s="2440">
        <f t="shared" si="20"/>
        <v>183.77230517090351</v>
      </c>
      <c r="E61" s="2440">
        <f t="shared" si="35"/>
        <v>281.10342338870947</v>
      </c>
      <c r="F61" s="2440">
        <f t="shared" si="35"/>
        <v>168.97309388942256</v>
      </c>
      <c r="G61" s="3764">
        <v>2009</v>
      </c>
      <c r="H61" s="2441">
        <v>1</v>
      </c>
      <c r="I61" s="2441">
        <v>-2.64</v>
      </c>
      <c r="J61" s="2441">
        <v>-2.5299999999999998</v>
      </c>
      <c r="K61" s="2441">
        <v>-3.02</v>
      </c>
      <c r="L61" s="2447">
        <v>1.52</v>
      </c>
      <c r="N61" s="2444">
        <f t="shared" si="22"/>
        <v>-2.64E-2</v>
      </c>
      <c r="O61" s="2445">
        <f t="shared" si="22"/>
        <v>-2.53E-2</v>
      </c>
      <c r="P61" s="2445">
        <f t="shared" si="22"/>
        <v>-3.0200000000000001E-2</v>
      </c>
      <c r="Q61" s="2445">
        <f t="shared" si="22"/>
        <v>1.52E-2</v>
      </c>
      <c r="R61" s="2443"/>
      <c r="S61" s="2444">
        <f>B61/B62-1</f>
        <v>-2.4137638417038754E-2</v>
      </c>
      <c r="T61" s="2445">
        <f>C61/C62-1</f>
        <v>-2.248773845264096E-2</v>
      </c>
      <c r="U61" s="2445">
        <f>E61/E62-1</f>
        <v>-2.7323794502735366E-2</v>
      </c>
      <c r="V61" s="2445">
        <f>F61/F62-1</f>
        <v>1.7910204153148035E-2</v>
      </c>
      <c r="X61" s="2438"/>
      <c r="Y61" s="2438"/>
      <c r="Z61" s="2438"/>
    </row>
    <row r="62" spans="1:26" ht="13.5" thickBot="1">
      <c r="A62" s="2439" t="s">
        <v>1883</v>
      </c>
      <c r="B62" s="2484">
        <v>214</v>
      </c>
      <c r="C62" s="2484">
        <v>188</v>
      </c>
      <c r="D62" s="2484">
        <f t="shared" si="20"/>
        <v>188</v>
      </c>
      <c r="E62" s="2484">
        <v>289</v>
      </c>
      <c r="F62" s="2485">
        <v>166</v>
      </c>
      <c r="G62" s="3763">
        <v>2008</v>
      </c>
      <c r="H62" s="2460">
        <v>4</v>
      </c>
      <c r="I62" s="2460">
        <v>1.73</v>
      </c>
      <c r="J62" s="2460">
        <v>0.03</v>
      </c>
      <c r="K62" s="2460">
        <v>2.59</v>
      </c>
      <c r="L62" s="2461">
        <v>-1.66</v>
      </c>
      <c r="N62" s="2442">
        <f t="shared" si="22"/>
        <v>1.7299999999999999E-2</v>
      </c>
      <c r="O62" s="2438">
        <f t="shared" si="22"/>
        <v>2.9999999999999997E-4</v>
      </c>
      <c r="P62" s="2438">
        <f t="shared" si="22"/>
        <v>2.5899999999999999E-2</v>
      </c>
      <c r="Q62" s="2438">
        <f t="shared" si="22"/>
        <v>-1.66E-2</v>
      </c>
      <c r="R62" s="2443"/>
      <c r="S62" s="2452"/>
      <c r="T62" s="2453"/>
      <c r="U62" s="2453"/>
      <c r="V62" s="2453"/>
      <c r="X62" s="2453"/>
      <c r="Y62" s="2453"/>
      <c r="Z62" s="2453"/>
    </row>
    <row r="63" spans="1:26">
      <c r="A63" s="2439" t="s">
        <v>1884</v>
      </c>
      <c r="B63" s="2440">
        <f t="shared" ref="B63:C65" si="36">B62/(1+N62)</f>
        <v>210.36075887152265</v>
      </c>
      <c r="C63" s="2440">
        <f t="shared" si="36"/>
        <v>187.94361691492554</v>
      </c>
      <c r="D63" s="2440">
        <f t="shared" si="20"/>
        <v>187.94361691492554</v>
      </c>
      <c r="E63" s="2440">
        <f t="shared" ref="E63:F65" si="37">E62/(1+P62)</f>
        <v>281.70386977288234</v>
      </c>
      <c r="F63" s="2440">
        <f t="shared" si="37"/>
        <v>168.80211511083994</v>
      </c>
      <c r="G63" s="3761">
        <v>2008</v>
      </c>
      <c r="H63" s="2463">
        <v>3</v>
      </c>
      <c r="I63" s="2463">
        <v>1.96</v>
      </c>
      <c r="J63" s="2463">
        <v>2.36</v>
      </c>
      <c r="K63" s="2463">
        <v>1.82</v>
      </c>
      <c r="L63" s="2464">
        <v>2.2200000000000002</v>
      </c>
      <c r="N63" s="2442">
        <f t="shared" si="22"/>
        <v>1.9599999999999999E-2</v>
      </c>
      <c r="O63" s="2438">
        <f t="shared" si="22"/>
        <v>2.3599999999999999E-2</v>
      </c>
      <c r="P63" s="2438">
        <f t="shared" si="22"/>
        <v>1.8200000000000001E-2</v>
      </c>
      <c r="Q63" s="2438">
        <f t="shared" si="22"/>
        <v>2.2200000000000001E-2</v>
      </c>
      <c r="R63" s="2443"/>
      <c r="S63" s="2442"/>
      <c r="T63" s="2438"/>
      <c r="U63" s="2438"/>
      <c r="V63" s="2438"/>
    </row>
    <row r="64" spans="1:26">
      <c r="A64" s="2439" t="s">
        <v>1885</v>
      </c>
      <c r="B64" s="2440">
        <f t="shared" si="36"/>
        <v>206.31694671589116</v>
      </c>
      <c r="C64" s="2440">
        <f t="shared" si="36"/>
        <v>183.61041121036101</v>
      </c>
      <c r="D64" s="2440">
        <f t="shared" si="20"/>
        <v>183.61041121036101</v>
      </c>
      <c r="E64" s="2440">
        <f t="shared" si="37"/>
        <v>276.66850301795557</v>
      </c>
      <c r="F64" s="2440">
        <f t="shared" si="37"/>
        <v>165.1360938278614</v>
      </c>
      <c r="G64" s="3761">
        <v>2008</v>
      </c>
      <c r="H64" s="2454">
        <v>2</v>
      </c>
      <c r="I64" s="2454">
        <v>4.93</v>
      </c>
      <c r="J64" s="2454">
        <v>7.38</v>
      </c>
      <c r="K64" s="2454">
        <v>3.98</v>
      </c>
      <c r="L64" s="2455">
        <v>6.86</v>
      </c>
      <c r="N64" s="2442">
        <f t="shared" si="22"/>
        <v>4.9299999999999997E-2</v>
      </c>
      <c r="O64" s="2438">
        <f t="shared" si="22"/>
        <v>7.3800000000000004E-2</v>
      </c>
      <c r="P64" s="2438">
        <f t="shared" si="22"/>
        <v>3.9800000000000002E-2</v>
      </c>
      <c r="Q64" s="2438">
        <f t="shared" si="22"/>
        <v>6.8600000000000008E-2</v>
      </c>
      <c r="R64" s="2443"/>
      <c r="S64" s="2442"/>
      <c r="T64" s="2438"/>
      <c r="U64" s="2438"/>
      <c r="V64" s="2438"/>
    </row>
    <row r="65" spans="1:26" s="2490" customFormat="1" ht="13.5" thickBot="1">
      <c r="A65" s="2439" t="s">
        <v>1886</v>
      </c>
      <c r="B65" s="2487">
        <f t="shared" si="36"/>
        <v>196.62341248059772</v>
      </c>
      <c r="C65" s="2487">
        <f t="shared" si="36"/>
        <v>170.99125648199012</v>
      </c>
      <c r="D65" s="2487">
        <f t="shared" si="20"/>
        <v>170.99125648199012</v>
      </c>
      <c r="E65" s="2487">
        <f t="shared" si="37"/>
        <v>266.07857570490052</v>
      </c>
      <c r="F65" s="2487">
        <f t="shared" si="37"/>
        <v>154.53499328828505</v>
      </c>
      <c r="G65" s="3764">
        <v>2008</v>
      </c>
      <c r="H65" s="2488">
        <v>1</v>
      </c>
      <c r="I65" s="2488">
        <v>4.1399999999999997</v>
      </c>
      <c r="J65" s="2488">
        <v>3.45</v>
      </c>
      <c r="K65" s="2488">
        <v>4.95</v>
      </c>
      <c r="L65" s="2489">
        <v>4.82</v>
      </c>
      <c r="N65" s="2491">
        <f t="shared" si="22"/>
        <v>4.1399999999999999E-2</v>
      </c>
      <c r="O65" s="2492">
        <f t="shared" si="22"/>
        <v>3.4500000000000003E-2</v>
      </c>
      <c r="P65" s="2492">
        <f t="shared" si="22"/>
        <v>4.9500000000000002E-2</v>
      </c>
      <c r="Q65" s="2492">
        <f t="shared" si="22"/>
        <v>4.82E-2</v>
      </c>
      <c r="R65" s="2493"/>
      <c r="S65" s="2491">
        <f>B65/B66-1</f>
        <v>4.5869215322328349E-2</v>
      </c>
      <c r="T65" s="2492">
        <f>C65/C66-1</f>
        <v>3.6310645345394743E-2</v>
      </c>
      <c r="U65" s="2492">
        <f>E65/E66-1</f>
        <v>4.7553447657088688E-2</v>
      </c>
      <c r="V65" s="2492">
        <f>F65/F66-1</f>
        <v>4.4155360055980086E-2</v>
      </c>
      <c r="X65" s="2492"/>
      <c r="Y65" s="2492"/>
      <c r="Z65" s="2492"/>
    </row>
    <row r="66" spans="1:26" ht="13.5" thickBot="1">
      <c r="A66" s="2439" t="s">
        <v>1887</v>
      </c>
      <c r="B66" s="2458">
        <v>188</v>
      </c>
      <c r="C66" s="2458">
        <v>165</v>
      </c>
      <c r="D66" s="2458">
        <f t="shared" si="20"/>
        <v>165</v>
      </c>
      <c r="E66" s="2458">
        <v>254</v>
      </c>
      <c r="F66" s="2459">
        <v>148</v>
      </c>
      <c r="G66" s="3763">
        <v>2007</v>
      </c>
      <c r="H66" s="2494">
        <v>4</v>
      </c>
      <c r="I66" s="2494">
        <v>5.51</v>
      </c>
      <c r="J66" s="2494">
        <v>4.8899999999999997</v>
      </c>
      <c r="K66" s="2494">
        <v>6.43</v>
      </c>
      <c r="L66" s="2495">
        <v>5.36</v>
      </c>
      <c r="N66" s="2496">
        <f t="shared" ref="N66:O69" si="38">B66/B67-1</f>
        <v>4.1339718365245526E-2</v>
      </c>
      <c r="O66" s="2497">
        <f t="shared" si="38"/>
        <v>4.0324492593776018E-2</v>
      </c>
      <c r="P66" s="2497">
        <f t="shared" ref="P66:Q69" si="39">E66/E67-1</f>
        <v>6.1625555347990968E-2</v>
      </c>
      <c r="Q66" s="2497">
        <f t="shared" si="39"/>
        <v>4.6757569250590603E-2</v>
      </c>
      <c r="R66" s="2443"/>
      <c r="S66" s="2452"/>
      <c r="T66" s="2453"/>
      <c r="U66" s="2453"/>
      <c r="V66" s="2453"/>
      <c r="X66" s="2453"/>
      <c r="Y66" s="2453"/>
      <c r="Z66" s="2453"/>
    </row>
    <row r="67" spans="1:26">
      <c r="A67" s="2439" t="s">
        <v>1888</v>
      </c>
      <c r="B67" s="2440">
        <f t="shared" ref="B67:C69" si="40">B68+(B$66-B$70)*I67/SUM(I$66:I$69)</f>
        <v>180.5366651097618</v>
      </c>
      <c r="C67" s="2440">
        <f t="shared" si="40"/>
        <v>158.60435967302453</v>
      </c>
      <c r="D67" s="2440">
        <f t="shared" si="20"/>
        <v>158.60435967302453</v>
      </c>
      <c r="E67" s="2440">
        <f t="shared" ref="E67:F69" si="41">E68+(E$66-E$70)*K67/SUM(K$66:K$69)</f>
        <v>239.25573260785075</v>
      </c>
      <c r="F67" s="2440">
        <f t="shared" si="41"/>
        <v>141.38899430740037</v>
      </c>
      <c r="G67" s="3761">
        <v>2007</v>
      </c>
      <c r="H67" s="2463">
        <v>3</v>
      </c>
      <c r="I67" s="2463">
        <v>8.65</v>
      </c>
      <c r="J67" s="2463">
        <v>8.06</v>
      </c>
      <c r="K67" s="2463">
        <v>9.94</v>
      </c>
      <c r="L67" s="2464">
        <v>5.8</v>
      </c>
      <c r="N67" s="2496">
        <f t="shared" si="38"/>
        <v>6.940217571740015E-2</v>
      </c>
      <c r="O67" s="2497">
        <f t="shared" si="38"/>
        <v>7.1197482471153428E-2</v>
      </c>
      <c r="P67" s="2497">
        <f t="shared" si="39"/>
        <v>0.10529679922579582</v>
      </c>
      <c r="Q67" s="2497">
        <f t="shared" si="39"/>
        <v>5.3292245059512133E-2</v>
      </c>
      <c r="R67" s="2443"/>
      <c r="S67" s="2442"/>
      <c r="T67" s="2438"/>
      <c r="U67" s="2438"/>
      <c r="V67" s="2438"/>
      <c r="X67" s="2498"/>
      <c r="Y67" s="2498"/>
      <c r="Z67" s="2498"/>
    </row>
    <row r="68" spans="1:26">
      <c r="A68" s="2439" t="s">
        <v>1889</v>
      </c>
      <c r="B68" s="2440">
        <f t="shared" si="40"/>
        <v>168.82017748715555</v>
      </c>
      <c r="C68" s="2440">
        <f t="shared" si="40"/>
        <v>148.06267029972753</v>
      </c>
      <c r="D68" s="2440">
        <f t="shared" si="20"/>
        <v>148.06267029972753</v>
      </c>
      <c r="E68" s="2440">
        <f t="shared" si="41"/>
        <v>216.46288379323747</v>
      </c>
      <c r="F68" s="2440">
        <f t="shared" si="41"/>
        <v>134.23529411764704</v>
      </c>
      <c r="G68" s="3761">
        <v>2007</v>
      </c>
      <c r="H68" s="2454">
        <v>2</v>
      </c>
      <c r="I68" s="2454">
        <v>3.67</v>
      </c>
      <c r="J68" s="2454">
        <v>2.3199999999999998</v>
      </c>
      <c r="K68" s="2454">
        <v>5.0199999999999996</v>
      </c>
      <c r="L68" s="2455">
        <v>6.71</v>
      </c>
      <c r="N68" s="2496">
        <f t="shared" si="38"/>
        <v>3.0339138143848032E-2</v>
      </c>
      <c r="O68" s="2497">
        <f t="shared" si="38"/>
        <v>2.0922341588790472E-2</v>
      </c>
      <c r="P68" s="2497">
        <f t="shared" si="39"/>
        <v>5.6164796592717003E-2</v>
      </c>
      <c r="Q68" s="2497">
        <f t="shared" si="39"/>
        <v>6.5704536723887319E-2</v>
      </c>
      <c r="R68" s="2443"/>
      <c r="S68" s="2442"/>
      <c r="T68" s="2438"/>
      <c r="U68" s="2438"/>
      <c r="V68" s="2438"/>
      <c r="X68" s="2498"/>
      <c r="Y68" s="2498"/>
      <c r="Z68" s="2498"/>
    </row>
    <row r="69" spans="1:26">
      <c r="A69" s="2439" t="s">
        <v>1890</v>
      </c>
      <c r="B69" s="2440">
        <f t="shared" si="40"/>
        <v>163.84913591779542</v>
      </c>
      <c r="C69" s="2440">
        <f t="shared" si="40"/>
        <v>145.0283378746594</v>
      </c>
      <c r="D69" s="2440">
        <f t="shared" si="20"/>
        <v>145.0283378746594</v>
      </c>
      <c r="E69" s="2440">
        <f t="shared" si="41"/>
        <v>204.95180722891567</v>
      </c>
      <c r="F69" s="2440">
        <f t="shared" si="41"/>
        <v>125.95920303605313</v>
      </c>
      <c r="G69" s="3764">
        <v>2007</v>
      </c>
      <c r="H69" s="2441">
        <v>1</v>
      </c>
      <c r="I69" s="2441">
        <v>3.58</v>
      </c>
      <c r="J69" s="2441">
        <v>3.08</v>
      </c>
      <c r="K69" s="2441">
        <v>4.34</v>
      </c>
      <c r="L69" s="2447">
        <v>3.21</v>
      </c>
      <c r="N69" s="2499">
        <f t="shared" si="38"/>
        <v>3.0497710174814063E-2</v>
      </c>
      <c r="O69" s="2500">
        <f t="shared" si="38"/>
        <v>2.8569772160704998E-2</v>
      </c>
      <c r="P69" s="2500">
        <f t="shared" si="39"/>
        <v>5.1034908866234296E-2</v>
      </c>
      <c r="Q69" s="2500">
        <f t="shared" si="39"/>
        <v>3.245248390207478E-2</v>
      </c>
      <c r="R69" s="2443"/>
      <c r="S69" s="2444">
        <f>B69/B70-1</f>
        <v>3.0497710174814063E-2</v>
      </c>
      <c r="T69" s="2445">
        <f>C69/C70-1</f>
        <v>2.8569772160704998E-2</v>
      </c>
      <c r="U69" s="2445">
        <f>E69/E70-1</f>
        <v>5.1034908866234296E-2</v>
      </c>
      <c r="V69" s="2445">
        <f>F69/F70-1</f>
        <v>3.245248390207478E-2</v>
      </c>
      <c r="X69" s="2498"/>
      <c r="Y69" s="2498"/>
      <c r="Z69" s="2498"/>
    </row>
    <row r="70" spans="1:26" ht="13.5" thickBot="1">
      <c r="A70" s="2439" t="s">
        <v>1891</v>
      </c>
      <c r="B70" s="2465">
        <v>159</v>
      </c>
      <c r="C70" s="2465">
        <v>141</v>
      </c>
      <c r="D70" s="2465">
        <f t="shared" si="20"/>
        <v>141</v>
      </c>
      <c r="E70" s="2465">
        <v>195</v>
      </c>
      <c r="F70" s="2466">
        <v>122</v>
      </c>
      <c r="G70" s="3763">
        <v>2006</v>
      </c>
      <c r="H70" s="2460">
        <v>4</v>
      </c>
      <c r="I70" s="2460">
        <v>3.79</v>
      </c>
      <c r="J70" s="2460">
        <v>2.21</v>
      </c>
      <c r="K70" s="2460">
        <v>5.65</v>
      </c>
      <c r="L70" s="2461">
        <v>5.41</v>
      </c>
      <c r="N70" s="2496">
        <f t="shared" ref="N70:O73" si="42">I70/SUM(I$70:I$73)*(B$70/B$74-1)</f>
        <v>7.245466462748526E-2</v>
      </c>
      <c r="O70" s="2497">
        <f t="shared" si="42"/>
        <v>2.3237230038062766E-2</v>
      </c>
      <c r="P70" s="2497">
        <f t="shared" ref="P70:Q73" si="43">K70/SUM(K$70:K$73)*(E$70/E$74-1)</f>
        <v>0.16146893866323722</v>
      </c>
      <c r="Q70" s="2497">
        <f t="shared" si="43"/>
        <v>5.0755230321793784E-2</v>
      </c>
      <c r="R70" s="2443"/>
      <c r="S70" s="2452"/>
      <c r="T70" s="2453"/>
      <c r="U70" s="2453"/>
      <c r="V70" s="2453"/>
      <c r="X70" s="2498"/>
      <c r="Y70" s="2498"/>
      <c r="Z70" s="2498"/>
    </row>
    <row r="71" spans="1:26">
      <c r="A71" s="2439" t="s">
        <v>1892</v>
      </c>
      <c r="B71" s="2440">
        <f t="shared" ref="B71:C73" si="44">B72+(B$70-B$74)*I71/SUM(I$70:I$73)</f>
        <v>149.00125628140702</v>
      </c>
      <c r="C71" s="2440">
        <f t="shared" si="44"/>
        <v>137.95592286501378</v>
      </c>
      <c r="D71" s="2440">
        <f t="shared" si="20"/>
        <v>137.95592286501378</v>
      </c>
      <c r="E71" s="2440">
        <f t="shared" ref="E71:F73" si="45">E72+(E$70-E$74)*K71/SUM(K$70:K$73)</f>
        <v>169.97231450719823</v>
      </c>
      <c r="F71" s="2440">
        <f t="shared" si="45"/>
        <v>116.21390374331551</v>
      </c>
      <c r="G71" s="3761">
        <v>2006</v>
      </c>
      <c r="H71" s="2463">
        <v>3</v>
      </c>
      <c r="I71" s="2463">
        <v>0.92</v>
      </c>
      <c r="J71" s="2463">
        <v>1.08</v>
      </c>
      <c r="K71" s="2463">
        <v>0.73</v>
      </c>
      <c r="L71" s="2464">
        <v>1.08</v>
      </c>
      <c r="N71" s="2496">
        <f t="shared" si="42"/>
        <v>1.7587939698492462E-2</v>
      </c>
      <c r="O71" s="2497">
        <f t="shared" si="42"/>
        <v>1.1355750425840628E-2</v>
      </c>
      <c r="P71" s="2497">
        <f t="shared" si="43"/>
        <v>2.0862358446754544E-2</v>
      </c>
      <c r="Q71" s="2497">
        <f t="shared" si="43"/>
        <v>1.0132282578103011E-2</v>
      </c>
      <c r="R71" s="2443"/>
      <c r="S71" s="2442"/>
      <c r="T71" s="2438"/>
      <c r="U71" s="2438"/>
      <c r="V71" s="2438"/>
      <c r="X71" s="2498"/>
      <c r="Y71" s="2498"/>
      <c r="Z71" s="2498"/>
    </row>
    <row r="72" spans="1:26">
      <c r="A72" s="2439" t="s">
        <v>1893</v>
      </c>
      <c r="B72" s="2440">
        <f t="shared" si="44"/>
        <v>146.57412060301507</v>
      </c>
      <c r="C72" s="2440">
        <f t="shared" si="44"/>
        <v>136.46831955922866</v>
      </c>
      <c r="D72" s="2440">
        <f t="shared" si="20"/>
        <v>136.46831955922866</v>
      </c>
      <c r="E72" s="2440">
        <f t="shared" si="45"/>
        <v>166.73864894795128</v>
      </c>
      <c r="F72" s="2440">
        <f t="shared" si="45"/>
        <v>115.05882352941177</v>
      </c>
      <c r="G72" s="3761">
        <v>2006</v>
      </c>
      <c r="H72" s="2454">
        <v>2</v>
      </c>
      <c r="I72" s="2454">
        <v>0.96</v>
      </c>
      <c r="J72" s="2454">
        <v>0.25</v>
      </c>
      <c r="K72" s="2454">
        <v>1.9</v>
      </c>
      <c r="L72" s="2455">
        <v>0.95</v>
      </c>
      <c r="N72" s="2496">
        <f t="shared" si="42"/>
        <v>1.8352632728861701E-2</v>
      </c>
      <c r="O72" s="2497">
        <f t="shared" si="42"/>
        <v>2.6286459319075526E-3</v>
      </c>
      <c r="P72" s="2497">
        <f t="shared" si="43"/>
        <v>5.4299289107991269E-2</v>
      </c>
      <c r="Q72" s="2497">
        <f t="shared" si="43"/>
        <v>8.9126559714794995E-3</v>
      </c>
      <c r="R72" s="2443"/>
      <c r="S72" s="2442"/>
      <c r="T72" s="2438"/>
      <c r="U72" s="2438"/>
      <c r="V72" s="2438"/>
      <c r="X72" s="2498"/>
      <c r="Y72" s="2498"/>
      <c r="Z72" s="2498"/>
    </row>
    <row r="73" spans="1:26">
      <c r="A73" s="2439" t="s">
        <v>1894</v>
      </c>
      <c r="B73" s="2440">
        <f t="shared" si="44"/>
        <v>144.04145728643215</v>
      </c>
      <c r="C73" s="2440">
        <f t="shared" si="44"/>
        <v>136.12396694214877</v>
      </c>
      <c r="D73" s="2440">
        <f t="shared" si="20"/>
        <v>136.12396694214877</v>
      </c>
      <c r="E73" s="2440">
        <f t="shared" si="45"/>
        <v>158.32225913621264</v>
      </c>
      <c r="F73" s="2440">
        <f t="shared" si="45"/>
        <v>114.04278074866311</v>
      </c>
      <c r="G73" s="3764">
        <v>2006</v>
      </c>
      <c r="H73" s="2441">
        <v>1</v>
      </c>
      <c r="I73" s="2441">
        <v>2.29</v>
      </c>
      <c r="J73" s="2441">
        <v>3.72</v>
      </c>
      <c r="K73" s="2441">
        <v>0.75</v>
      </c>
      <c r="L73" s="2447">
        <v>0.04</v>
      </c>
      <c r="N73" s="2499">
        <f t="shared" si="42"/>
        <v>4.3778675988638847E-2</v>
      </c>
      <c r="O73" s="2500">
        <f t="shared" si="42"/>
        <v>3.9114251466784385E-2</v>
      </c>
      <c r="P73" s="2500">
        <f t="shared" si="43"/>
        <v>2.1433929911049188E-2</v>
      </c>
      <c r="Q73" s="2500">
        <f t="shared" si="43"/>
        <v>3.7526972511492629E-4</v>
      </c>
      <c r="R73" s="2443"/>
      <c r="S73" s="2444">
        <f>B73/B74-1</f>
        <v>4.3778675988638716E-2</v>
      </c>
      <c r="T73" s="2445">
        <f>C73/C74-1</f>
        <v>3.91142514667846E-2</v>
      </c>
      <c r="U73" s="2445">
        <f>E73/E74-1</f>
        <v>2.143392991104931E-2</v>
      </c>
      <c r="V73" s="2445">
        <f>F73/F74-1</f>
        <v>3.7526972511492396E-4</v>
      </c>
      <c r="X73" s="2498"/>
      <c r="Y73" s="2498"/>
      <c r="Z73" s="2498"/>
    </row>
    <row r="74" spans="1:26" ht="13.5" thickBot="1">
      <c r="A74" s="2439" t="s">
        <v>1895</v>
      </c>
      <c r="B74" s="2465">
        <v>138</v>
      </c>
      <c r="C74" s="2465">
        <v>131</v>
      </c>
      <c r="D74" s="2465">
        <f t="shared" si="20"/>
        <v>131</v>
      </c>
      <c r="E74" s="2465">
        <v>155</v>
      </c>
      <c r="F74" s="2466">
        <v>114</v>
      </c>
      <c r="G74" s="3763">
        <v>2005</v>
      </c>
      <c r="H74" s="2460">
        <v>4</v>
      </c>
      <c r="I74" s="2460">
        <v>3.29</v>
      </c>
      <c r="J74" s="2460">
        <v>1.44</v>
      </c>
      <c r="K74" s="2460">
        <v>0.66</v>
      </c>
      <c r="L74" s="2461">
        <v>7.78</v>
      </c>
      <c r="N74" s="2496">
        <f t="shared" ref="N74:O77" si="46">I74/SUM(I$74:I$77)*(B$74/B$78-1)</f>
        <v>9.9404603216919935E-2</v>
      </c>
      <c r="O74" s="2497">
        <f t="shared" si="46"/>
        <v>4.7636550760861554E-2</v>
      </c>
      <c r="P74" s="2497">
        <f t="shared" ref="P74:Q77" si="47">K74/SUM(K$74:K$77)*(E$74/E$78-1)</f>
        <v>8.3756345177664976E-2</v>
      </c>
      <c r="Q74" s="2497">
        <f t="shared" si="47"/>
        <v>5.2148766661559584E-2</v>
      </c>
      <c r="R74" s="2443"/>
      <c r="S74" s="2452"/>
      <c r="T74" s="2453"/>
      <c r="U74" s="2453"/>
      <c r="V74" s="2453"/>
      <c r="X74" s="2498"/>
      <c r="Y74" s="2498"/>
      <c r="Z74" s="2498"/>
    </row>
    <row r="75" spans="1:26">
      <c r="A75" s="2439" t="s">
        <v>1896</v>
      </c>
      <c r="B75" s="2440">
        <f t="shared" ref="B75:C77" si="48">B76+(B$74-B$78)*I75/SUM(I$74:I$77)</f>
        <v>125.9720430107527</v>
      </c>
      <c r="C75" s="2440">
        <f t="shared" si="48"/>
        <v>125.1883408071749</v>
      </c>
      <c r="D75" s="2440">
        <f t="shared" si="20"/>
        <v>125.1883408071749</v>
      </c>
      <c r="E75" s="2440">
        <f t="shared" ref="E75:F77" si="49">E76+(E$74-E$78)*K75/SUM(K$74:K$77)</f>
        <v>144.61421319796952</v>
      </c>
      <c r="F75" s="2440">
        <f t="shared" si="49"/>
        <v>108.42008196721311</v>
      </c>
      <c r="G75" s="3761">
        <v>2005</v>
      </c>
      <c r="H75" s="2463">
        <v>3</v>
      </c>
      <c r="I75" s="2463">
        <v>0.46</v>
      </c>
      <c r="J75" s="2463">
        <v>0.32</v>
      </c>
      <c r="K75" s="2463">
        <v>0.42</v>
      </c>
      <c r="L75" s="2464">
        <v>0.64</v>
      </c>
      <c r="N75" s="2496">
        <f t="shared" si="46"/>
        <v>1.3898515951301874E-2</v>
      </c>
      <c r="O75" s="2497">
        <f t="shared" si="46"/>
        <v>1.0585900169080346E-2</v>
      </c>
      <c r="P75" s="2497">
        <f t="shared" si="47"/>
        <v>5.3299492385786795E-2</v>
      </c>
      <c r="Q75" s="2497">
        <f t="shared" si="47"/>
        <v>4.2898728359123568E-3</v>
      </c>
      <c r="R75" s="2443"/>
      <c r="S75" s="2442"/>
      <c r="T75" s="2438"/>
      <c r="U75" s="2438"/>
      <c r="V75" s="2438"/>
      <c r="X75" s="2498"/>
      <c r="Y75" s="2498"/>
      <c r="Z75" s="2498"/>
    </row>
    <row r="76" spans="1:26">
      <c r="A76" s="2439" t="s">
        <v>1897</v>
      </c>
      <c r="B76" s="2440">
        <f t="shared" si="48"/>
        <v>124.29032258064517</v>
      </c>
      <c r="C76" s="2440">
        <f t="shared" si="48"/>
        <v>123.8968609865471</v>
      </c>
      <c r="D76" s="2440">
        <f t="shared" si="20"/>
        <v>123.8968609865471</v>
      </c>
      <c r="E76" s="2440">
        <f t="shared" si="49"/>
        <v>138.00507614213197</v>
      </c>
      <c r="F76" s="2440">
        <f t="shared" si="49"/>
        <v>107.96106557377048</v>
      </c>
      <c r="G76" s="3761">
        <v>2005</v>
      </c>
      <c r="H76" s="2454">
        <v>2</v>
      </c>
      <c r="I76" s="2454">
        <v>0.47</v>
      </c>
      <c r="J76" s="2454">
        <v>0.1</v>
      </c>
      <c r="K76" s="2454">
        <v>0.52</v>
      </c>
      <c r="L76" s="2455">
        <v>0.79</v>
      </c>
      <c r="N76" s="2496">
        <f t="shared" si="46"/>
        <v>1.420065760241713E-2</v>
      </c>
      <c r="O76" s="2497">
        <f t="shared" si="46"/>
        <v>3.3080938028376083E-3</v>
      </c>
      <c r="P76" s="2497">
        <f t="shared" si="47"/>
        <v>6.598984771573603E-2</v>
      </c>
      <c r="Q76" s="2497">
        <f t="shared" si="47"/>
        <v>5.2953117818293153E-3</v>
      </c>
      <c r="R76" s="2443"/>
      <c r="S76" s="2442"/>
      <c r="T76" s="2438"/>
      <c r="U76" s="2438"/>
      <c r="V76" s="2438"/>
      <c r="X76" s="2498"/>
      <c r="Y76" s="2498"/>
      <c r="Z76" s="2498"/>
    </row>
    <row r="77" spans="1:26">
      <c r="A77" s="2439" t="s">
        <v>1898</v>
      </c>
      <c r="B77" s="2440">
        <f t="shared" si="48"/>
        <v>122.57204301075269</v>
      </c>
      <c r="C77" s="2440">
        <f t="shared" si="48"/>
        <v>123.4932735426009</v>
      </c>
      <c r="D77" s="2440">
        <f t="shared" si="20"/>
        <v>123.4932735426009</v>
      </c>
      <c r="E77" s="2440">
        <f t="shared" si="49"/>
        <v>129.82233502538071</v>
      </c>
      <c r="F77" s="2440">
        <f t="shared" si="49"/>
        <v>107.39446721311475</v>
      </c>
      <c r="G77" s="3764">
        <v>2005</v>
      </c>
      <c r="H77" s="2441">
        <v>1</v>
      </c>
      <c r="I77" s="2441">
        <v>0.43</v>
      </c>
      <c r="J77" s="2441">
        <v>0.37</v>
      </c>
      <c r="K77" s="2441">
        <v>0.37</v>
      </c>
      <c r="L77" s="2447">
        <v>0.55000000000000004</v>
      </c>
      <c r="N77" s="2499">
        <f t="shared" si="46"/>
        <v>1.2992090997956099E-2</v>
      </c>
      <c r="O77" s="2500">
        <f t="shared" si="46"/>
        <v>1.2239947070499151E-2</v>
      </c>
      <c r="P77" s="2500">
        <f t="shared" si="47"/>
        <v>4.6954314720812178E-2</v>
      </c>
      <c r="Q77" s="2500">
        <f t="shared" si="47"/>
        <v>3.6866094683621815E-3</v>
      </c>
      <c r="R77" s="2443"/>
      <c r="S77" s="2444">
        <f>B77/B78-1</f>
        <v>1.2992090997956174E-2</v>
      </c>
      <c r="T77" s="2445">
        <f>C77/C78-1</f>
        <v>1.2239947070499246E-2</v>
      </c>
      <c r="U77" s="2445">
        <f>E77/E78-1</f>
        <v>4.695431472081224E-2</v>
      </c>
      <c r="V77" s="2445">
        <f>F77/F78-1</f>
        <v>3.6866094683620787E-3</v>
      </c>
      <c r="X77" s="2498"/>
      <c r="Y77" s="2498"/>
      <c r="Z77" s="2498"/>
    </row>
    <row r="78" spans="1:26" ht="13.5" thickBot="1">
      <c r="A78" s="2439" t="s">
        <v>1899</v>
      </c>
      <c r="B78" s="2484">
        <v>121</v>
      </c>
      <c r="C78" s="2484">
        <v>122</v>
      </c>
      <c r="D78" s="2484">
        <f t="shared" si="20"/>
        <v>122</v>
      </c>
      <c r="E78" s="2484">
        <v>124</v>
      </c>
      <c r="F78" s="2485">
        <v>107</v>
      </c>
      <c r="G78" s="3763">
        <v>2004</v>
      </c>
      <c r="H78" s="2460">
        <v>4</v>
      </c>
      <c r="I78" s="2460">
        <v>0.33</v>
      </c>
      <c r="J78" s="2460">
        <v>0.5</v>
      </c>
      <c r="K78" s="2460">
        <v>0.5</v>
      </c>
      <c r="L78" s="2461">
        <v>0</v>
      </c>
      <c r="N78" s="2496">
        <f t="shared" ref="N78:O81" si="50">I78/SUM(I$78:I$81)*(B$78/B$82-1)</f>
        <v>1.3391770148526898E-2</v>
      </c>
      <c r="O78" s="2497">
        <f t="shared" si="50"/>
        <v>1.063264221158958E-2</v>
      </c>
      <c r="P78" s="2497">
        <f t="shared" ref="P78:Q81" si="51">K78/SUM(K$78:K$81)*(E$78/E$82-1)</f>
        <v>2.2244466688911134E-2</v>
      </c>
      <c r="Q78" s="2497">
        <f t="shared" si="51"/>
        <v>0</v>
      </c>
      <c r="R78" s="2443"/>
      <c r="S78" s="2452"/>
      <c r="T78" s="2453"/>
      <c r="U78" s="2453"/>
      <c r="V78" s="2453"/>
      <c r="X78" s="2498"/>
      <c r="Y78" s="2498"/>
      <c r="Z78" s="2498"/>
    </row>
    <row r="79" spans="1:26">
      <c r="A79" s="2439" t="s">
        <v>1900</v>
      </c>
      <c r="B79" s="2440">
        <f t="shared" ref="B79:C81" si="52">B80+(B$78-B$82)*I79/SUM(I$78:I$81)</f>
        <v>119.51351351351352</v>
      </c>
      <c r="C79" s="2440">
        <f t="shared" si="52"/>
        <v>120.7878787878788</v>
      </c>
      <c r="D79" s="2440">
        <f t="shared" si="20"/>
        <v>120.7878787878788</v>
      </c>
      <c r="E79" s="2440">
        <f t="shared" ref="E79:F81" si="53">E80+(E$78-E$82)*K79/SUM(K$78:K$81)</f>
        <v>121.5975975975976</v>
      </c>
      <c r="F79" s="2440">
        <f t="shared" si="53"/>
        <v>107</v>
      </c>
      <c r="G79" s="3761">
        <v>2004</v>
      </c>
      <c r="H79" s="2463">
        <v>3</v>
      </c>
      <c r="I79" s="2463">
        <v>0.56000000000000005</v>
      </c>
      <c r="J79" s="2463">
        <v>0.8</v>
      </c>
      <c r="K79" s="2463">
        <v>0.83</v>
      </c>
      <c r="L79" s="2464">
        <v>0.06</v>
      </c>
      <c r="N79" s="2496">
        <f t="shared" si="50"/>
        <v>2.2725428130833527E-2</v>
      </c>
      <c r="O79" s="2497">
        <f t="shared" si="50"/>
        <v>1.7012227538543329E-2</v>
      </c>
      <c r="P79" s="2497">
        <f t="shared" si="51"/>
        <v>3.6925814703592477E-2</v>
      </c>
      <c r="Q79" s="2497">
        <f t="shared" si="51"/>
        <v>2.8846153846153744E-2</v>
      </c>
      <c r="R79" s="2443"/>
      <c r="S79" s="2442"/>
      <c r="T79" s="2438"/>
      <c r="U79" s="2438"/>
      <c r="V79" s="2438"/>
      <c r="X79" s="2498"/>
      <c r="Y79" s="2498"/>
      <c r="Z79" s="2498"/>
    </row>
    <row r="80" spans="1:26">
      <c r="A80" s="2439" t="s">
        <v>1901</v>
      </c>
      <c r="B80" s="2440">
        <f t="shared" si="52"/>
        <v>116.99099099099099</v>
      </c>
      <c r="C80" s="2440">
        <f t="shared" si="52"/>
        <v>118.84848484848486</v>
      </c>
      <c r="D80" s="2440">
        <f t="shared" si="20"/>
        <v>118.84848484848486</v>
      </c>
      <c r="E80" s="2440">
        <f t="shared" si="53"/>
        <v>117.60960960960961</v>
      </c>
      <c r="F80" s="2440">
        <f t="shared" si="53"/>
        <v>104</v>
      </c>
      <c r="G80" s="3761">
        <v>2004</v>
      </c>
      <c r="H80" s="2454">
        <v>2</v>
      </c>
      <c r="I80" s="2454">
        <v>1</v>
      </c>
      <c r="J80" s="2454">
        <v>1.5</v>
      </c>
      <c r="K80" s="2454">
        <v>1.5</v>
      </c>
      <c r="L80" s="2455">
        <v>0</v>
      </c>
      <c r="N80" s="2496">
        <f t="shared" si="50"/>
        <v>4.0581121662202721E-2</v>
      </c>
      <c r="O80" s="2497">
        <f t="shared" si="50"/>
        <v>3.1897926634768738E-2</v>
      </c>
      <c r="P80" s="2497">
        <f t="shared" si="51"/>
        <v>6.6733400066733395E-2</v>
      </c>
      <c r="Q80" s="2497">
        <f t="shared" si="51"/>
        <v>0</v>
      </c>
      <c r="R80" s="2443"/>
      <c r="S80" s="2442"/>
      <c r="T80" s="2438"/>
      <c r="U80" s="2438"/>
      <c r="V80" s="2438"/>
      <c r="X80" s="2498"/>
      <c r="Y80" s="2498"/>
      <c r="Z80" s="2498"/>
    </row>
    <row r="81" spans="1:26" s="2490" customFormat="1" ht="13.5" thickBot="1">
      <c r="A81" s="2439" t="s">
        <v>1902</v>
      </c>
      <c r="B81" s="2487">
        <f t="shared" si="52"/>
        <v>112.48648648648648</v>
      </c>
      <c r="C81" s="2487">
        <f t="shared" si="52"/>
        <v>115.21212121212122</v>
      </c>
      <c r="D81" s="2487">
        <f t="shared" si="20"/>
        <v>115.21212121212122</v>
      </c>
      <c r="E81" s="2487">
        <f t="shared" si="53"/>
        <v>110.4024024024024</v>
      </c>
      <c r="F81" s="2487">
        <f t="shared" si="53"/>
        <v>104</v>
      </c>
      <c r="G81" s="3764">
        <v>2004</v>
      </c>
      <c r="H81" s="2488">
        <v>1</v>
      </c>
      <c r="I81" s="2488">
        <v>0.33</v>
      </c>
      <c r="J81" s="2488">
        <v>0.5</v>
      </c>
      <c r="K81" s="2488">
        <v>0.5</v>
      </c>
      <c r="L81" s="2489">
        <v>0</v>
      </c>
      <c r="N81" s="2501">
        <f t="shared" si="50"/>
        <v>1.3391770148526898E-2</v>
      </c>
      <c r="O81" s="2502">
        <f t="shared" si="50"/>
        <v>1.063264221158958E-2</v>
      </c>
      <c r="P81" s="2502">
        <f t="shared" si="51"/>
        <v>2.2244466688911134E-2</v>
      </c>
      <c r="Q81" s="2502">
        <f t="shared" si="51"/>
        <v>0</v>
      </c>
      <c r="R81" s="2493"/>
      <c r="S81" s="2491">
        <f>B81/B82-1</f>
        <v>1.3391770148526883E-2</v>
      </c>
      <c r="T81" s="2492">
        <f>C81/C82-1</f>
        <v>1.063264221158966E-2</v>
      </c>
      <c r="U81" s="2492">
        <f>E81/E82-1</f>
        <v>2.2244466688911224E-2</v>
      </c>
      <c r="V81" s="2492">
        <f>F81/F82-1</f>
        <v>0</v>
      </c>
      <c r="X81" s="2503"/>
      <c r="Y81" s="2503"/>
      <c r="Z81" s="2503"/>
    </row>
    <row r="82" spans="1:26" ht="13.5" thickBot="1">
      <c r="A82" s="2439" t="s">
        <v>1903</v>
      </c>
      <c r="B82" s="2504">
        <v>111</v>
      </c>
      <c r="C82" s="2504">
        <v>114</v>
      </c>
      <c r="D82" s="2504">
        <f t="shared" si="20"/>
        <v>114</v>
      </c>
      <c r="E82" s="2504">
        <v>108</v>
      </c>
      <c r="F82" s="2505">
        <v>104</v>
      </c>
      <c r="G82" s="3763">
        <v>2003</v>
      </c>
      <c r="H82" s="2494">
        <v>4</v>
      </c>
      <c r="I82" s="2506"/>
      <c r="J82" s="2506"/>
      <c r="K82" s="2506"/>
      <c r="L82" s="2506"/>
      <c r="N82" s="2507"/>
      <c r="O82" s="2506"/>
      <c r="P82" s="2506"/>
      <c r="Q82" s="2506"/>
      <c r="S82" s="2507"/>
      <c r="T82" s="2506"/>
      <c r="U82" s="2506"/>
      <c r="V82" s="2506"/>
      <c r="X82" s="2498"/>
      <c r="Y82" s="2498"/>
      <c r="Z82" s="2498"/>
    </row>
    <row r="83" spans="1:26">
      <c r="A83" s="2439" t="s">
        <v>1904</v>
      </c>
      <c r="B83" s="2508">
        <f t="shared" ref="B83:C85" si="54">B84+(B$82-B$86)/4</f>
        <v>109.75</v>
      </c>
      <c r="C83" s="2508">
        <f t="shared" si="54"/>
        <v>112.25</v>
      </c>
      <c r="D83" s="2508">
        <f t="shared" si="20"/>
        <v>112.25</v>
      </c>
      <c r="E83" s="2508">
        <f t="shared" ref="E83:F85" si="55">E84+(E$82-E$86)/4</f>
        <v>107.25</v>
      </c>
      <c r="F83" s="2508">
        <f t="shared" si="55"/>
        <v>103.5</v>
      </c>
      <c r="G83" s="3761">
        <v>2003</v>
      </c>
      <c r="H83" s="2463">
        <v>3</v>
      </c>
      <c r="I83" s="2506"/>
      <c r="J83" s="2506"/>
      <c r="K83" s="2506"/>
      <c r="L83" s="2506"/>
      <c r="X83" s="2498"/>
      <c r="Y83" s="2498"/>
      <c r="Z83" s="2498"/>
    </row>
    <row r="84" spans="1:26">
      <c r="A84" s="2439" t="s">
        <v>1905</v>
      </c>
      <c r="B84" s="2508">
        <f t="shared" si="54"/>
        <v>108.5</v>
      </c>
      <c r="C84" s="2508">
        <f t="shared" si="54"/>
        <v>110.5</v>
      </c>
      <c r="D84" s="2508">
        <f t="shared" si="20"/>
        <v>110.5</v>
      </c>
      <c r="E84" s="2508">
        <f t="shared" si="55"/>
        <v>106.5</v>
      </c>
      <c r="F84" s="2508">
        <f t="shared" si="55"/>
        <v>103</v>
      </c>
      <c r="G84" s="3761">
        <v>2003</v>
      </c>
      <c r="H84" s="2454">
        <v>2</v>
      </c>
      <c r="I84" s="2506"/>
      <c r="J84" s="2506"/>
      <c r="K84" s="2506"/>
      <c r="L84" s="2506"/>
      <c r="X84" s="2498"/>
      <c r="Y84" s="2498"/>
      <c r="Z84" s="2498"/>
    </row>
    <row r="85" spans="1:26" ht="13.5" thickBot="1">
      <c r="A85" s="2439" t="s">
        <v>1906</v>
      </c>
      <c r="B85" s="2508">
        <f t="shared" si="54"/>
        <v>107.25</v>
      </c>
      <c r="C85" s="2508">
        <f t="shared" si="54"/>
        <v>108.75</v>
      </c>
      <c r="D85" s="2508">
        <f t="shared" si="20"/>
        <v>108.75</v>
      </c>
      <c r="E85" s="2508">
        <f t="shared" si="55"/>
        <v>105.75</v>
      </c>
      <c r="F85" s="2508">
        <f t="shared" si="55"/>
        <v>102.5</v>
      </c>
      <c r="G85" s="3764">
        <v>2003</v>
      </c>
      <c r="H85" s="2509">
        <v>1</v>
      </c>
      <c r="I85" s="2506"/>
      <c r="J85" s="2506"/>
      <c r="K85" s="2506"/>
      <c r="L85" s="2506"/>
      <c r="S85" s="2442"/>
      <c r="T85" s="2438"/>
      <c r="U85" s="2438"/>
      <c r="X85" s="2498"/>
      <c r="Y85" s="2498"/>
      <c r="Z85" s="2498"/>
    </row>
    <row r="86" spans="1:26" ht="13.5" thickBot="1">
      <c r="A86" s="2439" t="s">
        <v>1907</v>
      </c>
      <c r="B86" s="2510">
        <v>106</v>
      </c>
      <c r="C86" s="2510">
        <v>107</v>
      </c>
      <c r="D86" s="2510">
        <f t="shared" si="20"/>
        <v>107</v>
      </c>
      <c r="E86" s="2510">
        <v>105</v>
      </c>
      <c r="F86" s="2511">
        <v>102</v>
      </c>
      <c r="G86" s="3763">
        <v>2002</v>
      </c>
      <c r="H86" s="2460">
        <v>4</v>
      </c>
      <c r="I86" s="2506"/>
      <c r="J86" s="2506"/>
      <c r="K86" s="2506"/>
      <c r="L86" s="2506"/>
      <c r="N86" s="2507"/>
      <c r="O86" s="2506"/>
      <c r="P86" s="2506"/>
      <c r="Q86" s="2506"/>
      <c r="S86" s="2507"/>
      <c r="T86" s="2506"/>
      <c r="U86" s="2506"/>
      <c r="V86" s="2506"/>
      <c r="X86" s="2498"/>
      <c r="Y86" s="2498"/>
      <c r="Z86" s="2498"/>
    </row>
    <row r="87" spans="1:26">
      <c r="A87" s="2439" t="s">
        <v>1908</v>
      </c>
      <c r="B87" s="2508">
        <f t="shared" ref="B87:C89" si="56">B88+(B$86-B$90)/4</f>
        <v>105</v>
      </c>
      <c r="C87" s="2508">
        <f t="shared" si="56"/>
        <v>106</v>
      </c>
      <c r="D87" s="2508">
        <f t="shared" si="20"/>
        <v>106</v>
      </c>
      <c r="E87" s="2508">
        <f t="shared" ref="E87:F89" si="57">E88+(E$86-E$90)/4</f>
        <v>104.5</v>
      </c>
      <c r="F87" s="2508">
        <f t="shared" si="57"/>
        <v>101.5</v>
      </c>
      <c r="G87" s="3761">
        <v>2002</v>
      </c>
      <c r="H87" s="2463">
        <v>3</v>
      </c>
      <c r="I87" s="2506"/>
      <c r="J87" s="2506"/>
      <c r="K87" s="2506"/>
      <c r="L87" s="2506"/>
      <c r="X87" s="2498"/>
      <c r="Y87" s="2498"/>
      <c r="Z87" s="2498"/>
    </row>
    <row r="88" spans="1:26">
      <c r="A88" s="2439" t="s">
        <v>1909</v>
      </c>
      <c r="B88" s="2508">
        <f t="shared" si="56"/>
        <v>104</v>
      </c>
      <c r="C88" s="2508">
        <f t="shared" si="56"/>
        <v>105</v>
      </c>
      <c r="D88" s="2508">
        <f t="shared" si="20"/>
        <v>105</v>
      </c>
      <c r="E88" s="2508">
        <f t="shared" si="57"/>
        <v>104</v>
      </c>
      <c r="F88" s="2508">
        <f t="shared" si="57"/>
        <v>101</v>
      </c>
      <c r="G88" s="3761">
        <v>2002</v>
      </c>
      <c r="H88" s="2454">
        <v>2</v>
      </c>
      <c r="I88" s="2506"/>
      <c r="J88" s="2506"/>
      <c r="K88" s="2506"/>
      <c r="L88" s="2506"/>
      <c r="X88" s="2498"/>
      <c r="Y88" s="2498"/>
      <c r="Z88" s="2498"/>
    </row>
    <row r="89" spans="1:26" s="2473" customFormat="1" ht="13.5" thickBot="1">
      <c r="A89" s="2469" t="s">
        <v>1910</v>
      </c>
      <c r="B89" s="2476">
        <f t="shared" si="56"/>
        <v>103</v>
      </c>
      <c r="C89" s="2476">
        <f t="shared" si="56"/>
        <v>104</v>
      </c>
      <c r="D89" s="2476">
        <f t="shared" si="20"/>
        <v>104</v>
      </c>
      <c r="E89" s="2476">
        <f t="shared" si="57"/>
        <v>103.5</v>
      </c>
      <c r="F89" s="2476">
        <f t="shared" si="57"/>
        <v>100.5</v>
      </c>
      <c r="G89" s="3764">
        <v>2002</v>
      </c>
      <c r="H89" s="2512">
        <v>1</v>
      </c>
      <c r="I89" s="2513"/>
      <c r="J89" s="2513"/>
      <c r="K89" s="2513"/>
      <c r="L89" s="2513"/>
      <c r="N89" s="2514"/>
      <c r="S89" s="2514"/>
      <c r="X89" s="2515"/>
      <c r="Y89" s="2515"/>
      <c r="Z89" s="2515"/>
    </row>
    <row r="90" spans="1:26" ht="13.5" thickBot="1">
      <c r="B90" s="2516">
        <v>102</v>
      </c>
      <c r="C90" s="2517">
        <v>103</v>
      </c>
      <c r="D90" s="2517">
        <f t="shared" si="20"/>
        <v>103</v>
      </c>
      <c r="E90" s="2517">
        <v>103</v>
      </c>
      <c r="F90" s="2518">
        <v>100</v>
      </c>
      <c r="I90" s="2506"/>
      <c r="J90" s="2506"/>
      <c r="K90" s="2506"/>
      <c r="L90" s="2506"/>
      <c r="N90" s="2507"/>
      <c r="O90" s="2506"/>
      <c r="P90" s="2506"/>
      <c r="Q90" s="2506"/>
      <c r="S90" s="2507"/>
      <c r="T90" s="2506"/>
      <c r="U90" s="2506"/>
      <c r="V90" s="2506"/>
      <c r="X90" s="2453"/>
      <c r="Y90" s="2453"/>
      <c r="Z90" s="2453"/>
    </row>
    <row r="92" spans="1:26" s="2520" customFormat="1">
      <c r="A92" s="2519" t="s">
        <v>1911</v>
      </c>
      <c r="G92" s="2521"/>
      <c r="N92" s="2521"/>
      <c r="S92" s="2521"/>
    </row>
    <row r="93" spans="1:26" s="2520" customFormat="1">
      <c r="A93" s="2520" t="s">
        <v>1912</v>
      </c>
      <c r="G93" s="2521"/>
      <c r="N93" s="2521"/>
      <c r="S93" s="2521"/>
    </row>
    <row r="94" spans="1:26" s="2520" customFormat="1">
      <c r="A94" s="2520" t="s">
        <v>1913</v>
      </c>
      <c r="G94" s="2521"/>
      <c r="I94" s="2522"/>
      <c r="J94" s="2522"/>
      <c r="K94" s="2522"/>
      <c r="L94" s="2522"/>
      <c r="N94" s="2523"/>
      <c r="O94" s="2522"/>
      <c r="P94" s="2522"/>
      <c r="Q94" s="2522"/>
      <c r="S94" s="2523"/>
      <c r="T94" s="2522"/>
      <c r="U94" s="2522"/>
      <c r="V94" s="2522"/>
    </row>
    <row r="95" spans="1:26" s="2520" customFormat="1">
      <c r="A95" s="2520" t="s">
        <v>1914</v>
      </c>
      <c r="G95" s="2521"/>
      <c r="N95" s="2521"/>
      <c r="S95" s="2521"/>
    </row>
    <row r="102" spans="7:22" ht="13.5" thickBot="1"/>
    <row r="103" spans="7:22">
      <c r="G103" s="2437"/>
      <c r="S103" s="2524" t="s">
        <v>1915</v>
      </c>
      <c r="T103" s="2463" t="s">
        <v>1916</v>
      </c>
      <c r="U103" s="2463" t="s">
        <v>1917</v>
      </c>
      <c r="V103" s="2463" t="s">
        <v>1918</v>
      </c>
    </row>
    <row r="104" spans="7:22">
      <c r="G104" s="2437"/>
      <c r="N104" s="2452"/>
      <c r="O104" s="2453"/>
      <c r="P104" s="2453"/>
      <c r="Q104" s="2453"/>
      <c r="S104" s="2525">
        <v>2006</v>
      </c>
      <c r="T104" s="2454">
        <v>15.1</v>
      </c>
      <c r="U104" s="2454">
        <v>7.43</v>
      </c>
      <c r="V104" s="2454">
        <v>26.26</v>
      </c>
    </row>
    <row r="105" spans="7:22">
      <c r="G105" s="2437"/>
      <c r="N105" s="2452"/>
      <c r="O105" s="2453"/>
      <c r="P105" s="2453"/>
      <c r="Q105" s="2453"/>
      <c r="S105" s="2526">
        <v>2005</v>
      </c>
      <c r="T105" s="2441">
        <v>13.9</v>
      </c>
      <c r="U105" s="2441">
        <v>7.49</v>
      </c>
      <c r="V105" s="2441">
        <v>24.92</v>
      </c>
    </row>
    <row r="106" spans="7:22">
      <c r="G106" s="2437"/>
      <c r="N106" s="2452"/>
      <c r="O106" s="2453"/>
      <c r="P106" s="2453"/>
      <c r="Q106" s="2453"/>
      <c r="S106" s="2525">
        <v>2004</v>
      </c>
      <c r="T106" s="2454">
        <v>9.48</v>
      </c>
      <c r="U106" s="2454">
        <v>7.2</v>
      </c>
      <c r="V106" s="2454">
        <v>14.68</v>
      </c>
    </row>
    <row r="107" spans="7:22">
      <c r="G107" s="2437"/>
      <c r="N107" s="2452"/>
      <c r="O107" s="2453"/>
      <c r="P107" s="2453"/>
      <c r="Q107" s="2453"/>
      <c r="S107" s="2526">
        <v>2003</v>
      </c>
      <c r="T107" s="2441">
        <v>4.5</v>
      </c>
      <c r="U107" s="2441">
        <v>6.12</v>
      </c>
      <c r="V107" s="2441">
        <v>2.34</v>
      </c>
    </row>
    <row r="108" spans="7:22" ht="13.5" thickBot="1">
      <c r="G108" s="2437"/>
      <c r="N108" s="2452"/>
      <c r="O108" s="2453"/>
      <c r="P108" s="2453"/>
      <c r="Q108" s="2453"/>
      <c r="S108" s="2527">
        <v>2002</v>
      </c>
      <c r="T108" s="2460">
        <v>3.59</v>
      </c>
      <c r="U108" s="2460">
        <v>4.54</v>
      </c>
      <c r="V108" s="2460">
        <v>2.5499999999999998</v>
      </c>
    </row>
    <row r="109" spans="7:22">
      <c r="G109" s="2437"/>
      <c r="N109" s="2452"/>
      <c r="O109" s="2453"/>
      <c r="P109" s="2453"/>
      <c r="Q109" s="2453"/>
    </row>
    <row r="110" spans="7:22">
      <c r="G110" s="2437"/>
      <c r="N110" s="2452"/>
      <c r="O110" s="2453"/>
      <c r="P110" s="2453"/>
      <c r="Q110" s="2453"/>
    </row>
    <row r="111" spans="7:22">
      <c r="G111" s="2437"/>
      <c r="N111" s="2452"/>
      <c r="O111" s="2453"/>
      <c r="P111" s="2453"/>
      <c r="Q111" s="2453"/>
    </row>
    <row r="112" spans="7:22">
      <c r="G112" s="2437"/>
      <c r="N112" s="2452"/>
      <c r="O112" s="2453"/>
      <c r="P112" s="2453"/>
      <c r="Q112" s="2453"/>
    </row>
    <row r="113" spans="7:19">
      <c r="G113" s="2437"/>
      <c r="N113" s="2452"/>
      <c r="O113" s="2453"/>
      <c r="P113" s="2453"/>
      <c r="Q113" s="2453"/>
    </row>
    <row r="114" spans="7:19">
      <c r="G114" s="2437"/>
      <c r="N114" s="2452"/>
      <c r="O114" s="2453"/>
      <c r="P114" s="2453"/>
      <c r="Q114" s="2453"/>
    </row>
    <row r="115" spans="7:19">
      <c r="G115" s="2437"/>
      <c r="N115" s="2452"/>
      <c r="O115" s="2453"/>
      <c r="P115" s="2453"/>
      <c r="Q115" s="2453"/>
    </row>
    <row r="116" spans="7:19">
      <c r="G116" s="2437"/>
      <c r="N116" s="2452"/>
      <c r="O116" s="2453"/>
      <c r="P116" s="2453"/>
      <c r="Q116" s="2453"/>
    </row>
    <row r="117" spans="7:19">
      <c r="G117" s="2437"/>
      <c r="N117" s="2452"/>
      <c r="O117" s="2453"/>
      <c r="P117" s="2453"/>
      <c r="Q117" s="2453"/>
    </row>
    <row r="118" spans="7:19">
      <c r="G118" s="2437"/>
      <c r="N118" s="2452"/>
      <c r="O118" s="2453"/>
      <c r="P118" s="2453"/>
      <c r="Q118" s="2453"/>
    </row>
    <row r="119" spans="7:19">
      <c r="G119" s="2437"/>
      <c r="N119" s="2452"/>
      <c r="O119" s="2453"/>
      <c r="P119" s="2453"/>
      <c r="Q119" s="2453"/>
      <c r="S119" s="2437"/>
    </row>
    <row r="120" spans="7:19">
      <c r="G120" s="2437"/>
      <c r="N120" s="2452"/>
      <c r="O120" s="2453"/>
      <c r="P120" s="2453"/>
      <c r="Q120" s="2453"/>
      <c r="S120" s="2437"/>
    </row>
    <row r="121" spans="7:19">
      <c r="G121" s="2437"/>
      <c r="N121" s="2452"/>
      <c r="O121" s="2453"/>
      <c r="P121" s="2453"/>
      <c r="Q121" s="2453"/>
      <c r="S121" s="2437"/>
    </row>
    <row r="122" spans="7:19">
      <c r="G122" s="2437"/>
      <c r="N122" s="2452"/>
      <c r="O122" s="2453"/>
      <c r="P122" s="2453"/>
      <c r="Q122" s="2453"/>
      <c r="S122" s="2437"/>
    </row>
    <row r="123" spans="7:19">
      <c r="G123" s="2437"/>
      <c r="N123" s="2452"/>
      <c r="O123" s="2453"/>
      <c r="P123" s="2453"/>
      <c r="Q123" s="2453"/>
      <c r="S123" s="2437"/>
    </row>
    <row r="124" spans="7:19">
      <c r="G124" s="2437"/>
      <c r="N124" s="2452"/>
      <c r="O124" s="2453"/>
      <c r="P124" s="2453"/>
      <c r="Q124" s="2453"/>
      <c r="S124" s="24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27">
        <f>基准地价!G23</f>
        <v>45617</v>
      </c>
      <c r="B1" s="3084" t="s">
        <v>3261</v>
      </c>
      <c r="C1" s="3085"/>
      <c r="D1" s="3085"/>
      <c r="E1" s="3085"/>
      <c r="F1" s="3085"/>
      <c r="G1" s="3085"/>
      <c r="H1" s="3085"/>
      <c r="I1" s="3085"/>
      <c r="J1" s="3086"/>
      <c r="K1" s="3085" t="s">
        <v>2783</v>
      </c>
      <c r="L1" s="3085"/>
      <c r="M1" s="3085"/>
      <c r="N1" s="3085"/>
      <c r="O1" s="3085"/>
      <c r="P1" s="3085"/>
      <c r="Q1" s="3086"/>
      <c r="R1" s="3771" t="s">
        <v>2791</v>
      </c>
      <c r="S1" s="3772"/>
      <c r="T1" s="3772"/>
      <c r="U1" s="3772"/>
      <c r="V1" s="3772"/>
      <c r="W1" s="3772"/>
      <c r="X1" s="3086"/>
      <c r="Y1" s="3771" t="s">
        <v>2802</v>
      </c>
      <c r="Z1" s="3772"/>
      <c r="AA1" s="3772"/>
      <c r="AB1" s="3772"/>
      <c r="AC1" s="3772"/>
      <c r="AD1" s="3772"/>
    </row>
    <row r="2" spans="1:30" ht="14.25" thickBot="1">
      <c r="A2" s="3079"/>
      <c r="B2" s="3087"/>
      <c r="C2" s="3088"/>
      <c r="D2" s="2420" t="s">
        <v>2785</v>
      </c>
      <c r="E2" s="2421" t="s">
        <v>2786</v>
      </c>
      <c r="F2" s="2421" t="s">
        <v>2787</v>
      </c>
      <c r="G2" s="2421" t="s">
        <v>2788</v>
      </c>
      <c r="H2" s="2421" t="s">
        <v>2789</v>
      </c>
      <c r="I2" s="2421" t="s">
        <v>2731</v>
      </c>
      <c r="J2" s="3089"/>
      <c r="K2" s="2420" t="s">
        <v>2785</v>
      </c>
      <c r="L2" s="2421" t="s">
        <v>2786</v>
      </c>
      <c r="M2" s="2421" t="s">
        <v>2787</v>
      </c>
      <c r="N2" s="2421" t="s">
        <v>2788</v>
      </c>
      <c r="O2" s="2421" t="s">
        <v>2789</v>
      </c>
      <c r="P2" s="2421" t="s">
        <v>2731</v>
      </c>
      <c r="Q2" s="3089"/>
      <c r="R2" s="2420" t="s">
        <v>2792</v>
      </c>
      <c r="S2" s="2421" t="s">
        <v>2793</v>
      </c>
      <c r="T2" s="2421" t="s">
        <v>2794</v>
      </c>
      <c r="U2" s="2421" t="s">
        <v>2795</v>
      </c>
      <c r="V2" s="2421" t="s">
        <v>2796</v>
      </c>
      <c r="W2" s="2421" t="s">
        <v>2797</v>
      </c>
      <c r="X2" s="3089"/>
      <c r="Y2" s="2420" t="s">
        <v>2785</v>
      </c>
      <c r="Z2" s="2421" t="s">
        <v>1470</v>
      </c>
      <c r="AA2" s="2421" t="s">
        <v>2803</v>
      </c>
      <c r="AB2" s="2421" t="s">
        <v>1469</v>
      </c>
      <c r="AC2" s="2421" t="s">
        <v>2789</v>
      </c>
      <c r="AD2" s="2421" t="s">
        <v>2448</v>
      </c>
    </row>
    <row r="3" spans="1:30">
      <c r="A3" s="3080" t="s">
        <v>2774</v>
      </c>
      <c r="B3" s="3090"/>
      <c r="C3" s="3091"/>
      <c r="D3" s="3091">
        <f>ROUND(AVERAGEIF(D4:D21,"&lt;&gt;0"),2)</f>
        <v>0.47</v>
      </c>
      <c r="E3" s="3091">
        <f>ROUND(AVERAGEIF(E4:E21,"&lt;&gt;0"),2)</f>
        <v>0.3</v>
      </c>
      <c r="F3" s="3091">
        <f>ROUND(AVERAGEIF(F4:F21,"&lt;&gt;0"),2)</f>
        <v>0.04</v>
      </c>
      <c r="G3" s="3091">
        <f>ROUND(AVERAGEIF(G4:G21,"&lt;&gt;0"),2)</f>
        <v>0.51</v>
      </c>
      <c r="H3" s="3091">
        <f>ROUND(AVERAGEIF(H4:H21,"&lt;&gt;0"),2)</f>
        <v>0.55000000000000004</v>
      </c>
      <c r="I3" s="3091">
        <f>F3</f>
        <v>0.04</v>
      </c>
      <c r="J3" s="3092"/>
      <c r="K3" s="3093">
        <f>ROUND(AVERAGEIF(K4:K21,"&lt;&gt;0"),4)</f>
        <v>4.7000000000000002E-3</v>
      </c>
      <c r="L3" s="3094">
        <f>ROUND(AVERAGEIF(L4:L21,"&lt;&gt;0"),4)</f>
        <v>3.0000000000000001E-3</v>
      </c>
      <c r="M3" s="3094">
        <f>ROUND(AVERAGEIF(M4:M21,"&lt;&gt;0"),4)</f>
        <v>4.0000000000000002E-4</v>
      </c>
      <c r="N3" s="3094">
        <f>ROUND(AVERAGEIF(N4:N21,"&lt;&gt;0"),4)</f>
        <v>5.1000000000000004E-3</v>
      </c>
      <c r="O3" s="3094">
        <f>ROUND(AVERAGEIF(O4:O21,"&lt;&gt;0"),4)</f>
        <v>5.4999999999999997E-3</v>
      </c>
      <c r="P3" s="3094">
        <f>M3</f>
        <v>4.0000000000000002E-4</v>
      </c>
      <c r="Q3" s="3092"/>
      <c r="R3" s="3107">
        <f>ROUND(SUMPRODUCT(PRODUCT(1+K4:K21)),4)</f>
        <v>1.0723</v>
      </c>
      <c r="S3" s="3108">
        <f>ROUND(SUMPRODUCT(PRODUCT(1+L4:L21)),4)</f>
        <v>1.0465</v>
      </c>
      <c r="T3" s="3108">
        <f>ROUND(SUMPRODUCT(PRODUCT(1+M4:M21)),4)</f>
        <v>1.0054000000000001</v>
      </c>
      <c r="U3" s="3108">
        <f>ROUND(SUMPRODUCT(PRODUCT(1+N4:N21)),4)</f>
        <v>1.0790999999999999</v>
      </c>
      <c r="V3" s="3108">
        <f>ROUND(SUMPRODUCT(PRODUCT(1+O4:O21)),4)</f>
        <v>1.0857000000000001</v>
      </c>
      <c r="W3" s="3107">
        <f>T3</f>
        <v>1.0054000000000001</v>
      </c>
      <c r="X3" s="3092"/>
      <c r="Y3" s="3114">
        <f>ROUND(AVERAGEIF(Y8:Y21,"&lt;&gt;0"),4)</f>
        <v>8.0999999999999996E-3</v>
      </c>
      <c r="Z3" s="3115">
        <f>ROUND(AVERAGEIF(Z8:Z21,"&lt;&gt;0"),4)</f>
        <v>3.7000000000000002E-3</v>
      </c>
      <c r="AA3" s="3116">
        <f>ROUND(AVERAGEIF(AA8:AA21,"&lt;&gt;0"),4)</f>
        <v>1.2999999999999999E-3</v>
      </c>
      <c r="AB3" s="3114">
        <f>ROUND(AVERAGEIF(AB8:AB21,"&lt;&gt;0"),4)</f>
        <v>8.8000000000000005E-3</v>
      </c>
      <c r="AC3" s="3117">
        <f>ROUND(AVERAGEIF(AC8:AC21,"&lt;&gt;0"),4)</f>
        <v>6.1999999999999998E-3</v>
      </c>
      <c r="AD3" s="3114">
        <f>AA3</f>
        <v>1.2999999999999999E-3</v>
      </c>
    </row>
    <row r="4" spans="1:30">
      <c r="A4" s="2436"/>
      <c r="B4" s="3128"/>
      <c r="C4" s="3129"/>
      <c r="D4" s="3129"/>
      <c r="E4" s="3129"/>
      <c r="F4" s="3129"/>
      <c r="G4" s="3129"/>
      <c r="H4" s="3129"/>
      <c r="I4" s="3129"/>
      <c r="J4" s="3086"/>
      <c r="K4" s="3096"/>
      <c r="L4" s="3097"/>
      <c r="M4" s="3097"/>
      <c r="N4" s="3097"/>
      <c r="O4" s="3097"/>
      <c r="P4" s="3097"/>
      <c r="Q4" s="3086"/>
      <c r="R4" s="3109"/>
      <c r="S4" s="3110"/>
      <c r="T4" s="3111"/>
      <c r="U4" s="3109"/>
      <c r="V4" s="3112"/>
      <c r="W4" s="3109"/>
      <c r="X4" s="3086"/>
      <c r="Y4" s="3100"/>
      <c r="Z4" s="3118"/>
      <c r="AA4" s="3119"/>
      <c r="AB4" s="3100"/>
      <c r="AC4" s="3120"/>
      <c r="AD4" s="3100"/>
    </row>
    <row r="5" spans="1:30">
      <c r="A5" s="3383" t="s">
        <v>3256</v>
      </c>
      <c r="B5" s="3130">
        <v>2025</v>
      </c>
      <c r="C5" s="3131">
        <v>1</v>
      </c>
      <c r="D5" s="3131">
        <v>0</v>
      </c>
      <c r="E5" s="3131">
        <v>0</v>
      </c>
      <c r="F5" s="3131">
        <v>0</v>
      </c>
      <c r="G5" s="3131">
        <v>0</v>
      </c>
      <c r="H5" s="3131">
        <v>0</v>
      </c>
      <c r="I5" s="3132">
        <f t="shared" ref="I5" si="0">F5</f>
        <v>0</v>
      </c>
      <c r="J5" s="3098"/>
      <c r="K5" s="3099">
        <f t="shared" ref="K5" si="1">D5/100</f>
        <v>0</v>
      </c>
      <c r="L5" s="3100">
        <f t="shared" ref="L5" si="2">E5/100</f>
        <v>0</v>
      </c>
      <c r="M5" s="3100">
        <f t="shared" ref="M5" si="3">F5/100</f>
        <v>0</v>
      </c>
      <c r="N5" s="3100">
        <f t="shared" ref="N5" si="4">G5/100</f>
        <v>0</v>
      </c>
      <c r="O5" s="3100">
        <f t="shared" ref="O5" si="5">H5/100</f>
        <v>0</v>
      </c>
      <c r="P5" s="3100">
        <f>M5</f>
        <v>0</v>
      </c>
      <c r="Q5" s="3098"/>
      <c r="R5" s="3109">
        <f>ROUND(IF(项目基本情况!$B$8="出让",SUMPRODUCT(PRODUCT(1+K5:$K$21)),SUMPRODUCT(PRODUCT(1+K5:$K$20))),4)</f>
        <v>1.0620000000000001</v>
      </c>
      <c r="S5" s="3109">
        <f>ROUND(IF(项目基本情况!$B$8="出让",SUMPRODUCT(PRODUCT(1+L5:$L$21)),SUMPRODUCT(PRODUCT(1+L5:$L$20))),4)</f>
        <v>1.0448</v>
      </c>
      <c r="T5" s="3109">
        <f>ROUND(IF(项目基本情况!$B$8="出让",SUMPRODUCT(PRODUCT(1+M5:$M$21)),SUMPRODUCT(PRODUCT(1+M5:$M$20))),4)</f>
        <v>1.0079</v>
      </c>
      <c r="U5" s="3109">
        <f>ROUND(IF(项目基本情况!$B$8="出让",SUMPRODUCT(PRODUCT(1+N5:$N$21)),SUMPRODUCT(PRODUCT(1+N5:$N$20))),4)</f>
        <v>1.0672999999999999</v>
      </c>
      <c r="V5" s="3109">
        <f>ROUND(IF(项目基本情况!$B$8="出让",SUMPRODUCT(PRODUCT(1+O5:$O$21)),SUMPRODUCT(PRODUCT(1+O5:$O$20))),4)</f>
        <v>1.0818000000000001</v>
      </c>
      <c r="W5" s="3109">
        <f>T5</f>
        <v>1.0079</v>
      </c>
      <c r="X5" s="3098"/>
      <c r="Y5" s="3100">
        <f t="shared" ref="Y5" si="6">IF(D5=0,0,ROUND(AVERAGE(D5:D18)/100,4))</f>
        <v>0</v>
      </c>
      <c r="Z5" s="3100">
        <f t="shared" ref="Z5" si="7">IF(E5=0,0,ROUND(AVERAGE(E5:E18)/100,4))</f>
        <v>0</v>
      </c>
      <c r="AA5" s="3100">
        <f t="shared" ref="AA5" si="8">IF(F5=0,0,ROUND(AVERAGE(F5:F18)/100,4))</f>
        <v>0</v>
      </c>
      <c r="AB5" s="3100">
        <f t="shared" ref="AB5" si="9">IF(G5=0,0,ROUND(AVERAGE(G5:G18)/100,4))</f>
        <v>0</v>
      </c>
      <c r="AC5" s="3100">
        <f t="shared" ref="AC5" si="10">IF(H5=0,0,ROUND(AVERAGE(H5:H18)/100,4))</f>
        <v>0</v>
      </c>
      <c r="AD5" s="3100">
        <f t="shared" ref="AD5" si="11">AA5</f>
        <v>0</v>
      </c>
    </row>
    <row r="6" spans="1:30">
      <c r="A6" s="3082" t="s">
        <v>3257</v>
      </c>
      <c r="B6" s="3133">
        <v>2024</v>
      </c>
      <c r="C6" s="3134">
        <v>4</v>
      </c>
      <c r="D6" s="3134">
        <v>0</v>
      </c>
      <c r="E6" s="3134">
        <v>0</v>
      </c>
      <c r="F6" s="3134">
        <v>0</v>
      </c>
      <c r="G6" s="3134">
        <v>0</v>
      </c>
      <c r="H6" s="3135">
        <v>0</v>
      </c>
      <c r="I6" s="3136">
        <f t="shared" ref="I6" si="12">F6</f>
        <v>0</v>
      </c>
      <c r="J6" s="3101"/>
      <c r="K6" s="3102">
        <f t="shared" ref="K6" si="13">D6/100</f>
        <v>0</v>
      </c>
      <c r="L6" s="3103">
        <f t="shared" ref="L6" si="14">E6/100</f>
        <v>0</v>
      </c>
      <c r="M6" s="3103">
        <f t="shared" ref="M6" si="15">F6/100</f>
        <v>0</v>
      </c>
      <c r="N6" s="3103">
        <f t="shared" ref="N6" si="16">G6/100</f>
        <v>0</v>
      </c>
      <c r="O6" s="3103">
        <f t="shared" ref="O6" si="17">H6/100</f>
        <v>0</v>
      </c>
      <c r="P6" s="3103">
        <f>M6</f>
        <v>0</v>
      </c>
      <c r="Q6" s="3101"/>
      <c r="R6" s="3101">
        <f>ROUND(IF(项目基本情况!$B$8="出让",SUMPRODUCT(PRODUCT(1+K6:$K$21)),SUMPRODUCT(PRODUCT(1+K6:$K$20))),4)</f>
        <v>1.0620000000000001</v>
      </c>
      <c r="S6" s="3101">
        <f>ROUND(IF(项目基本情况!$B$8="出让",SUMPRODUCT(PRODUCT(1+L6:$L$21)),SUMPRODUCT(PRODUCT(1+L6:$L$20))),4)</f>
        <v>1.0448</v>
      </c>
      <c r="T6" s="3101">
        <f>ROUND(IF(项目基本情况!$B$8="出让",SUMPRODUCT(PRODUCT(1+M6:$M$21)),SUMPRODUCT(PRODUCT(1+M6:$M$20))),4)</f>
        <v>1.0079</v>
      </c>
      <c r="U6" s="3101">
        <f>ROUND(IF(项目基本情况!$B$8="出让",SUMPRODUCT(PRODUCT(1+N6:$N$21)),SUMPRODUCT(PRODUCT(1+N6:$N$20))),4)</f>
        <v>1.0672999999999999</v>
      </c>
      <c r="V6" s="3101">
        <f>ROUND(IF(项目基本情况!$B$8="出让",SUMPRODUCT(PRODUCT(1+O6:$O$21)),SUMPRODUCT(PRODUCT(1+O6:$O$20))),4)</f>
        <v>1.0818000000000001</v>
      </c>
      <c r="W6" s="3101">
        <f>T6</f>
        <v>1.0079</v>
      </c>
      <c r="X6" s="3101"/>
      <c r="Y6" s="3103">
        <f t="shared" ref="Y6" si="18">IF(D6=0,0,ROUND(AVERAGE(D6:D19)/100,4))</f>
        <v>0</v>
      </c>
      <c r="Z6" s="3103">
        <f t="shared" ref="Z6" si="19">IF(E6=0,0,ROUND(AVERAGE(E6:E19)/100,4))</f>
        <v>0</v>
      </c>
      <c r="AA6" s="3103">
        <f t="shared" ref="AA6" si="20">IF(F6=0,0,ROUND(AVERAGE(F6:F19)/100,4))</f>
        <v>0</v>
      </c>
      <c r="AB6" s="3103">
        <f t="shared" ref="AB6" si="21">IF(G6=0,0,ROUND(AVERAGE(G6:G19)/100,4))</f>
        <v>0</v>
      </c>
      <c r="AC6" s="3103">
        <f t="shared" ref="AC6" si="22">IF(H6=0,0,ROUND(AVERAGE(H6:H19)/100,4))</f>
        <v>0</v>
      </c>
      <c r="AD6" s="3103">
        <f t="shared" ref="AD6" si="23">AA6</f>
        <v>0</v>
      </c>
    </row>
    <row r="7" spans="1:30">
      <c r="A7" s="3383" t="s">
        <v>3250</v>
      </c>
      <c r="B7" s="3130">
        <v>2024</v>
      </c>
      <c r="C7" s="3131">
        <v>3</v>
      </c>
      <c r="D7" s="3131">
        <v>-1.19</v>
      </c>
      <c r="E7" s="3131">
        <v>-0.47</v>
      </c>
      <c r="F7" s="3131">
        <v>-0.28999999999999998</v>
      </c>
      <c r="G7" s="3131">
        <v>-0.74</v>
      </c>
      <c r="H7" s="3131">
        <v>-0.21</v>
      </c>
      <c r="I7" s="3132">
        <f t="shared" ref="I7" si="24">F7</f>
        <v>-0.28999999999999998</v>
      </c>
      <c r="J7" s="3098"/>
      <c r="K7" s="3099">
        <f t="shared" ref="K7" si="25">D7/100</f>
        <v>-1.1899999999999999E-2</v>
      </c>
      <c r="L7" s="3100">
        <f t="shared" ref="L7" si="26">E7/100</f>
        <v>-4.6999999999999993E-3</v>
      </c>
      <c r="M7" s="3100">
        <f t="shared" ref="M7" si="27">F7/100</f>
        <v>-2.8999999999999998E-3</v>
      </c>
      <c r="N7" s="3100">
        <f t="shared" ref="N7" si="28">G7/100</f>
        <v>-7.4000000000000003E-3</v>
      </c>
      <c r="O7" s="3100">
        <f t="shared" ref="O7" si="29">H7/100</f>
        <v>-2.0999999999999999E-3</v>
      </c>
      <c r="P7" s="3100">
        <f>M7</f>
        <v>-2.8999999999999998E-3</v>
      </c>
      <c r="Q7" s="3098"/>
      <c r="R7" s="3109">
        <f>ROUND(IF(项目基本情况!$B$8="出让",SUMPRODUCT(PRODUCT(1+K7:$K$21)),SUMPRODUCT(PRODUCT(1+K7:$K$20))),4)</f>
        <v>1.0620000000000001</v>
      </c>
      <c r="S7" s="3109">
        <f>ROUND(IF(项目基本情况!$B$8="出让",SUMPRODUCT(PRODUCT(1+L7:$L$21)),SUMPRODUCT(PRODUCT(1+L7:$L$20))),4)</f>
        <v>1.0448</v>
      </c>
      <c r="T7" s="3109">
        <f>ROUND(IF(项目基本情况!$B$8="出让",SUMPRODUCT(PRODUCT(1+M7:$M$21)),SUMPRODUCT(PRODUCT(1+M7:$M$20))),4)</f>
        <v>1.0079</v>
      </c>
      <c r="U7" s="3109">
        <f>ROUND(IF(项目基本情况!$B$8="出让",SUMPRODUCT(PRODUCT(1+N7:$N$21)),SUMPRODUCT(PRODUCT(1+N7:$N$20))),4)</f>
        <v>1.0672999999999999</v>
      </c>
      <c r="V7" s="3109">
        <f>ROUND(IF(项目基本情况!$B$8="出让",SUMPRODUCT(PRODUCT(1+O7:$O$21)),SUMPRODUCT(PRODUCT(1+O7:$O$20))),4)</f>
        <v>1.0818000000000001</v>
      </c>
      <c r="W7" s="3109">
        <f>T7</f>
        <v>1.0079</v>
      </c>
      <c r="X7" s="3098"/>
      <c r="Y7" s="3100">
        <f t="shared" ref="Y7:AC8" si="30">IF(D7=0,0,ROUND(AVERAGE(D7:D20)/100,4))</f>
        <v>4.3E-3</v>
      </c>
      <c r="Z7" s="3100">
        <f t="shared" si="30"/>
        <v>3.0999999999999999E-3</v>
      </c>
      <c r="AA7" s="3100">
        <f t="shared" si="30"/>
        <v>5.9999999999999995E-4</v>
      </c>
      <c r="AB7" s="3100">
        <f t="shared" si="30"/>
        <v>4.7000000000000002E-3</v>
      </c>
      <c r="AC7" s="3100">
        <f t="shared" si="30"/>
        <v>5.5999999999999999E-3</v>
      </c>
      <c r="AD7" s="3100">
        <f t="shared" ref="AD7" si="31">AA7</f>
        <v>5.9999999999999995E-4</v>
      </c>
    </row>
    <row r="8" spans="1:30">
      <c r="A8" s="3081" t="s">
        <v>3258</v>
      </c>
      <c r="B8" s="3130">
        <v>2024</v>
      </c>
      <c r="C8" s="3131">
        <v>2</v>
      </c>
      <c r="D8" s="3131">
        <v>-0.59</v>
      </c>
      <c r="E8" s="3131">
        <v>-0.21</v>
      </c>
      <c r="F8" s="3131">
        <v>-1.38</v>
      </c>
      <c r="G8" s="3131">
        <v>-1.24</v>
      </c>
      <c r="H8" s="3137">
        <v>0.34</v>
      </c>
      <c r="I8" s="3132">
        <f t="shared" ref="I8:I21" si="32">F8</f>
        <v>-1.38</v>
      </c>
      <c r="J8" s="3098"/>
      <c r="K8" s="3099">
        <f t="shared" ref="K8:O21" si="33">D8/100</f>
        <v>-5.8999999999999999E-3</v>
      </c>
      <c r="L8" s="3100">
        <f t="shared" si="33"/>
        <v>-2.0999999999999999E-3</v>
      </c>
      <c r="M8" s="3100">
        <f t="shared" si="33"/>
        <v>-1.38E-2</v>
      </c>
      <c r="N8" s="3100">
        <f t="shared" si="33"/>
        <v>-1.24E-2</v>
      </c>
      <c r="O8" s="3100">
        <f t="shared" si="33"/>
        <v>3.4000000000000002E-3</v>
      </c>
      <c r="P8" s="3100">
        <f>M8</f>
        <v>-1.38E-2</v>
      </c>
      <c r="Q8" s="3098"/>
      <c r="R8" s="3109">
        <f>ROUND(IF(项目基本情况!$B$8="出让",SUMPRODUCT(PRODUCT(1+K8:$K$21)),SUMPRODUCT(PRODUCT(1+K8:$K$20))),4)</f>
        <v>1.0748</v>
      </c>
      <c r="S8" s="3109">
        <f>ROUND(IF(项目基本情况!$B$8="出让",SUMPRODUCT(PRODUCT(1+L8:$L$21)),SUMPRODUCT(PRODUCT(1+L8:$L$20))),4)</f>
        <v>1.0498000000000001</v>
      </c>
      <c r="T8" s="3109">
        <f>ROUND(IF(项目基本情况!$B$8="出让",SUMPRODUCT(PRODUCT(1+M8:$M$21)),SUMPRODUCT(PRODUCT(1+M8:$M$20))),4)</f>
        <v>1.0107999999999999</v>
      </c>
      <c r="U8" s="3109">
        <f>ROUND(IF(项目基本情况!$B$8="出让",SUMPRODUCT(PRODUCT(1+N8:$N$21)),SUMPRODUCT(PRODUCT(1+N8:$N$20))),4)</f>
        <v>1.0752999999999999</v>
      </c>
      <c r="V8" s="3109">
        <f>ROUND(IF(项目基本情况!$B$8="出让",SUMPRODUCT(PRODUCT(1+O8:$O$21)),SUMPRODUCT(PRODUCT(1+O8:$O$20))),4)</f>
        <v>1.0841000000000001</v>
      </c>
      <c r="W8" s="3109">
        <f>T8</f>
        <v>1.0107999999999999</v>
      </c>
      <c r="X8" s="3098"/>
      <c r="Y8" s="3100">
        <f t="shared" si="30"/>
        <v>5.8999999999999999E-3</v>
      </c>
      <c r="Z8" s="3100">
        <f t="shared" si="30"/>
        <v>3.5999999999999999E-3</v>
      </c>
      <c r="AA8" s="3100">
        <f t="shared" si="30"/>
        <v>5.9999999999999995E-4</v>
      </c>
      <c r="AB8" s="3100">
        <f t="shared" si="30"/>
        <v>6.0000000000000001E-3</v>
      </c>
      <c r="AC8" s="3100">
        <f t="shared" si="30"/>
        <v>6.0000000000000001E-3</v>
      </c>
      <c r="AD8" s="3100">
        <f t="shared" ref="AD8:AD20" si="34">AA8</f>
        <v>5.9999999999999995E-4</v>
      </c>
    </row>
    <row r="9" spans="1:30">
      <c r="A9" s="3081" t="s">
        <v>3252</v>
      </c>
      <c r="B9" s="3130">
        <v>2024</v>
      </c>
      <c r="C9" s="3131">
        <v>1</v>
      </c>
      <c r="D9" s="3131">
        <v>0.08</v>
      </c>
      <c r="E9" s="3131">
        <v>0.46</v>
      </c>
      <c r="F9" s="3131">
        <v>-0.16</v>
      </c>
      <c r="G9" s="3131">
        <v>0.26</v>
      </c>
      <c r="H9" s="3137">
        <v>0.59</v>
      </c>
      <c r="I9" s="3132">
        <f t="shared" si="32"/>
        <v>-0.16</v>
      </c>
      <c r="J9" s="3098"/>
      <c r="K9" s="3099">
        <f t="shared" ref="K9" si="35">D9/100</f>
        <v>8.0000000000000004E-4</v>
      </c>
      <c r="L9" s="3100">
        <f t="shared" ref="L9" si="36">E9/100</f>
        <v>4.5999999999999999E-3</v>
      </c>
      <c r="M9" s="3100">
        <f t="shared" ref="M9" si="37">F9/100</f>
        <v>-1.6000000000000001E-3</v>
      </c>
      <c r="N9" s="3100">
        <f t="shared" ref="N9" si="38">G9/100</f>
        <v>2.5999999999999999E-3</v>
      </c>
      <c r="O9" s="3100">
        <f t="shared" ref="O9" si="39">H9/100</f>
        <v>5.8999999999999999E-3</v>
      </c>
      <c r="P9" s="3100">
        <f t="shared" ref="P9" si="40">M9</f>
        <v>-1.6000000000000001E-3</v>
      </c>
      <c r="Q9" s="3098"/>
      <c r="R9" s="3109">
        <f>ROUND(IF(项目基本情况!$B$8="出让",SUMPRODUCT(PRODUCT(1+K9:$K$21)),SUMPRODUCT(PRODUCT(1+K9:$K$20))),4)</f>
        <v>1.0811999999999999</v>
      </c>
      <c r="S9" s="3109">
        <f>ROUND(IF(项目基本情况!$B$8="出让",SUMPRODUCT(PRODUCT(1+L9:$L$21)),SUMPRODUCT(PRODUCT(1+L9:$L$20))),4)</f>
        <v>1.052</v>
      </c>
      <c r="T9" s="3109">
        <f>ROUND(IF(项目基本情况!$B$8="出让",SUMPRODUCT(PRODUCT(1+M9:$M$21)),SUMPRODUCT(PRODUCT(1+M9:$M$20))),4)</f>
        <v>1.0249999999999999</v>
      </c>
      <c r="U9" s="3109">
        <f>ROUND(IF(项目基本情况!$B$8="出让",SUMPRODUCT(PRODUCT(1+N9:$N$21)),SUMPRODUCT(PRODUCT(1+N9:$N$20))),4)</f>
        <v>1.0888</v>
      </c>
      <c r="V9" s="3109">
        <f>ROUND(IF(项目基本情况!$B$8="出让",SUMPRODUCT(PRODUCT(1+O9:$O$21)),SUMPRODUCT(PRODUCT(1+O9:$O$20))),4)</f>
        <v>1.0804</v>
      </c>
      <c r="W9" s="3109">
        <f t="shared" ref="W9" si="41">T9</f>
        <v>1.0249999999999999</v>
      </c>
      <c r="X9" s="3098"/>
      <c r="Y9" s="3100">
        <f t="shared" ref="Y9" si="42">IF(D9=0,0,ROUND(AVERAGE(D9:D20)/100,4))</f>
        <v>6.4999999999999997E-3</v>
      </c>
      <c r="Z9" s="3100">
        <f t="shared" ref="Z9" si="43">IF(E9=0,0,ROUND(AVERAGE(E9:E20)/100,4))</f>
        <v>4.1999999999999997E-3</v>
      </c>
      <c r="AA9" s="3100">
        <f t="shared" ref="AA9" si="44">IF(F9=0,0,ROUND(AVERAGE(F9:F20)/100,4))</f>
        <v>2.0999999999999999E-3</v>
      </c>
      <c r="AB9" s="3100">
        <f t="shared" ref="AB9" si="45">IF(G9=0,0,ROUND(AVERAGE(G9:G20)/100,4))</f>
        <v>7.1000000000000004E-3</v>
      </c>
      <c r="AC9" s="3100">
        <f t="shared" ref="AC9" si="46">IF(H9=0,0,ROUND(AVERAGE(H9:H20)/100,4))</f>
        <v>6.4999999999999997E-3</v>
      </c>
      <c r="AD9" s="3100">
        <f t="shared" ref="AD9" si="47">AA9</f>
        <v>2.0999999999999999E-3</v>
      </c>
    </row>
    <row r="10" spans="1:30">
      <c r="A10" s="3081" t="s">
        <v>3248</v>
      </c>
      <c r="B10" s="3130">
        <v>2023</v>
      </c>
      <c r="C10" s="3131">
        <v>4</v>
      </c>
      <c r="D10" s="3131">
        <v>0.19</v>
      </c>
      <c r="E10" s="3131">
        <v>0.24</v>
      </c>
      <c r="F10" s="3131">
        <v>-0.16</v>
      </c>
      <c r="G10" s="3131">
        <v>0.17</v>
      </c>
      <c r="H10" s="3137">
        <v>0.61</v>
      </c>
      <c r="I10" s="3132">
        <f t="shared" ref="I10" si="48">F10</f>
        <v>-0.16</v>
      </c>
      <c r="J10" s="3098"/>
      <c r="K10" s="3099">
        <f t="shared" si="33"/>
        <v>1.9E-3</v>
      </c>
      <c r="L10" s="3100">
        <f t="shared" si="33"/>
        <v>2.3999999999999998E-3</v>
      </c>
      <c r="M10" s="3100">
        <f t="shared" si="33"/>
        <v>-1.6000000000000001E-3</v>
      </c>
      <c r="N10" s="3100">
        <f t="shared" si="33"/>
        <v>1.7000000000000001E-3</v>
      </c>
      <c r="O10" s="3100">
        <f t="shared" si="33"/>
        <v>6.0999999999999995E-3</v>
      </c>
      <c r="P10" s="3100">
        <f t="shared" ref="P10" si="49">M10</f>
        <v>-1.6000000000000001E-3</v>
      </c>
      <c r="Q10" s="3098"/>
      <c r="R10" s="3109">
        <f>ROUND(IF(项目基本情况!$B$8="出让",SUMPRODUCT(PRODUCT(1+K10:$K$21)),SUMPRODUCT(PRODUCT(1+K10:$K$20))),4)</f>
        <v>1.0804</v>
      </c>
      <c r="S10" s="3109">
        <f>ROUND(IF(项目基本情况!$B$8="出让",SUMPRODUCT(PRODUCT(1+L10:$L$21)),SUMPRODUCT(PRODUCT(1+L10:$L$20))),4)</f>
        <v>1.0471999999999999</v>
      </c>
      <c r="T10" s="3109">
        <f>ROUND(IF(项目基本情况!$B$8="出让",SUMPRODUCT(PRODUCT(1+M10:$M$21)),SUMPRODUCT(PRODUCT(1+M10:$M$20))),4)</f>
        <v>1.0266</v>
      </c>
      <c r="U10" s="3109">
        <f>ROUND(IF(项目基本情况!$B$8="出让",SUMPRODUCT(PRODUCT(1+N10:$N$21)),SUMPRODUCT(PRODUCT(1+N10:$N$20))),4)</f>
        <v>1.0859000000000001</v>
      </c>
      <c r="V10" s="3109">
        <f>ROUND(IF(项目基本情况!$B$8="出让",SUMPRODUCT(PRODUCT(1+O10:$O$21)),SUMPRODUCT(PRODUCT(1+O10:$O$20))),4)</f>
        <v>1.0741000000000001</v>
      </c>
      <c r="W10" s="3109">
        <f t="shared" ref="W10" si="50">T10</f>
        <v>1.0266</v>
      </c>
      <c r="X10" s="3098"/>
      <c r="Y10" s="3100">
        <f t="shared" ref="Y10" si="51">IF(D10=0,0,ROUND(AVERAGE(D10:D21)/100,4))</f>
        <v>7.3000000000000001E-3</v>
      </c>
      <c r="Z10" s="3100">
        <f t="shared" ref="Z10" si="52">IF(E10=0,0,ROUND(AVERAGE(E10:E21)/100,4))</f>
        <v>4.0000000000000001E-3</v>
      </c>
      <c r="AA10" s="3100">
        <f t="shared" ref="AA10" si="53">IF(F10=0,0,ROUND(AVERAGE(F10:F21)/100,4))</f>
        <v>2E-3</v>
      </c>
      <c r="AB10" s="3100">
        <f t="shared" ref="AB10" si="54">IF(G10=0,0,ROUND(AVERAGE(G10:G21)/100,4))</f>
        <v>7.7999999999999996E-3</v>
      </c>
      <c r="AC10" s="3100">
        <f t="shared" ref="AC10" si="55">IF(H10=0,0,ROUND(AVERAGE(H10:H21)/100,4))</f>
        <v>6.3E-3</v>
      </c>
      <c r="AD10" s="3100">
        <f t="shared" si="34"/>
        <v>2E-3</v>
      </c>
    </row>
    <row r="11" spans="1:30">
      <c r="A11" s="3081" t="s">
        <v>3247</v>
      </c>
      <c r="B11" s="3130">
        <v>2023</v>
      </c>
      <c r="C11" s="3131">
        <v>3</v>
      </c>
      <c r="D11" s="3131">
        <v>0.25</v>
      </c>
      <c r="E11" s="3131">
        <v>0.5</v>
      </c>
      <c r="F11" s="3131">
        <v>0.31</v>
      </c>
      <c r="G11" s="3131">
        <v>0.21</v>
      </c>
      <c r="H11" s="3137">
        <v>0.43</v>
      </c>
      <c r="I11" s="3132">
        <f t="shared" si="32"/>
        <v>0.31</v>
      </c>
      <c r="J11" s="3098"/>
      <c r="K11" s="3099">
        <f t="shared" ref="K11:K13" si="56">D11/100</f>
        <v>2.5000000000000001E-3</v>
      </c>
      <c r="L11" s="3100">
        <f t="shared" ref="L11:L13" si="57">E11/100</f>
        <v>5.0000000000000001E-3</v>
      </c>
      <c r="M11" s="3100">
        <f t="shared" ref="M11:M13" si="58">F11/100</f>
        <v>3.0999999999999999E-3</v>
      </c>
      <c r="N11" s="3100">
        <f t="shared" ref="N11:N13" si="59">G11/100</f>
        <v>2.0999999999999999E-3</v>
      </c>
      <c r="O11" s="3100">
        <f t="shared" ref="O11:O13" si="60">H11/100</f>
        <v>4.3E-3</v>
      </c>
      <c r="P11" s="3100">
        <f t="shared" ref="P11:P13" si="61">M11</f>
        <v>3.0999999999999999E-3</v>
      </c>
      <c r="Q11" s="3098"/>
      <c r="R11" s="3109">
        <f>ROUND(IF(项目基本情况!$B$8="出让",SUMPRODUCT(PRODUCT(1+K11:$K$21)),SUMPRODUCT(PRODUCT(1+K11:$K$20))),4)</f>
        <v>1.0783</v>
      </c>
      <c r="S11" s="3109">
        <f>ROUND(IF(项目基本情况!$B$8="出让",SUMPRODUCT(PRODUCT(1+L11:$L$21)),SUMPRODUCT(PRODUCT(1+L11:$L$20))),4)</f>
        <v>1.0447</v>
      </c>
      <c r="T11" s="3109">
        <f>ROUND(IF(项目基本情况!$B$8="出让",SUMPRODUCT(PRODUCT(1+M11:$M$21)),SUMPRODUCT(PRODUCT(1+M11:$M$20))),4)</f>
        <v>1.0282</v>
      </c>
      <c r="U11" s="3109">
        <f>ROUND(IF(项目基本情况!$B$8="出让",SUMPRODUCT(PRODUCT(1+N11:$N$21)),SUMPRODUCT(PRODUCT(1+N11:$N$20))),4)</f>
        <v>1.0841000000000001</v>
      </c>
      <c r="V11" s="3109">
        <f>ROUND(IF(项目基本情况!$B$8="出让",SUMPRODUCT(PRODUCT(1+O11:$O$21)),SUMPRODUCT(PRODUCT(1+O11:$O$20))),4)</f>
        <v>1.0674999999999999</v>
      </c>
      <c r="W11" s="3109">
        <f t="shared" ref="W11:W13" si="62">T11</f>
        <v>1.0282</v>
      </c>
      <c r="X11" s="3098"/>
      <c r="Y11" s="3100">
        <f t="shared" ref="Y11:AC11" si="63">IF(D11=0,0,ROUND(AVERAGE(D11:D22)/100,4))</f>
        <v>7.7999999999999996E-3</v>
      </c>
      <c r="Z11" s="3100">
        <f t="shared" si="63"/>
        <v>4.1000000000000003E-3</v>
      </c>
      <c r="AA11" s="3100">
        <f t="shared" si="63"/>
        <v>2.3E-3</v>
      </c>
      <c r="AB11" s="3100">
        <f t="shared" si="63"/>
        <v>8.3999999999999995E-3</v>
      </c>
      <c r="AC11" s="3100">
        <f t="shared" si="63"/>
        <v>6.3E-3</v>
      </c>
      <c r="AD11" s="3100">
        <f t="shared" ref="AD11:AD13" si="64">AA11</f>
        <v>2.3E-3</v>
      </c>
    </row>
    <row r="12" spans="1:30">
      <c r="A12" s="3081" t="s">
        <v>3245</v>
      </c>
      <c r="B12" s="3130">
        <v>2023</v>
      </c>
      <c r="C12" s="3131">
        <v>2</v>
      </c>
      <c r="D12" s="3131">
        <v>0.91</v>
      </c>
      <c r="E12" s="3131">
        <v>0.66</v>
      </c>
      <c r="F12" s="3131">
        <v>0.47</v>
      </c>
      <c r="G12" s="3131">
        <v>0.96</v>
      </c>
      <c r="H12" s="3137">
        <v>0.71</v>
      </c>
      <c r="I12" s="3132">
        <f t="shared" si="32"/>
        <v>0.47</v>
      </c>
      <c r="J12" s="3098"/>
      <c r="K12" s="3099">
        <f t="shared" si="56"/>
        <v>9.1000000000000004E-3</v>
      </c>
      <c r="L12" s="3100">
        <f t="shared" si="57"/>
        <v>6.6E-3</v>
      </c>
      <c r="M12" s="3100">
        <f t="shared" si="58"/>
        <v>4.6999999999999993E-3</v>
      </c>
      <c r="N12" s="3100">
        <f t="shared" si="59"/>
        <v>9.5999999999999992E-3</v>
      </c>
      <c r="O12" s="3100">
        <f t="shared" si="60"/>
        <v>7.0999999999999995E-3</v>
      </c>
      <c r="P12" s="3100">
        <f t="shared" si="61"/>
        <v>4.6999999999999993E-3</v>
      </c>
      <c r="Q12" s="3098"/>
      <c r="R12" s="3109">
        <f>ROUND(IF(项目基本情况!$B$8="出让",SUMPRODUCT(PRODUCT(1+K12:$K$21)),SUMPRODUCT(PRODUCT(1+K12:$K$20))),4)</f>
        <v>1.0755999999999999</v>
      </c>
      <c r="S12" s="3109">
        <f>ROUND(IF(项目基本情况!$B$8="出让",SUMPRODUCT(PRODUCT(1+L12:$L$21)),SUMPRODUCT(PRODUCT(1+L12:$L$20))),4)</f>
        <v>1.0395000000000001</v>
      </c>
      <c r="T12" s="3109">
        <f>ROUND(IF(项目基本情况!$B$8="出让",SUMPRODUCT(PRODUCT(1+M12:$M$21)),SUMPRODUCT(PRODUCT(1+M12:$M$20))),4)</f>
        <v>1.0250999999999999</v>
      </c>
      <c r="U12" s="3109">
        <f>ROUND(IF(项目基本情况!$B$8="出让",SUMPRODUCT(PRODUCT(1+N12:$N$21)),SUMPRODUCT(PRODUCT(1+N12:$N$20))),4)</f>
        <v>1.0818000000000001</v>
      </c>
      <c r="V12" s="3109">
        <f>ROUND(IF(项目基本情况!$B$8="出让",SUMPRODUCT(PRODUCT(1+O12:$O$21)),SUMPRODUCT(PRODUCT(1+O12:$O$20))),4)</f>
        <v>1.0629999999999999</v>
      </c>
      <c r="W12" s="3109">
        <f t="shared" si="62"/>
        <v>1.0250999999999999</v>
      </c>
      <c r="X12" s="3098"/>
      <c r="Y12" s="3100">
        <f t="shared" ref="Y12:AC12" si="65">IF(D12=0,0,ROUND(AVERAGE(D12:D23)/100,4))</f>
        <v>8.3000000000000001E-3</v>
      </c>
      <c r="Z12" s="3100">
        <f t="shared" si="65"/>
        <v>4.0000000000000001E-3</v>
      </c>
      <c r="AA12" s="3100">
        <f t="shared" si="65"/>
        <v>2.2000000000000001E-3</v>
      </c>
      <c r="AB12" s="3100">
        <f t="shared" si="65"/>
        <v>8.9999999999999993E-3</v>
      </c>
      <c r="AC12" s="3100">
        <f t="shared" si="65"/>
        <v>6.4999999999999997E-3</v>
      </c>
      <c r="AD12" s="3100">
        <f t="shared" si="64"/>
        <v>2.2000000000000001E-3</v>
      </c>
    </row>
    <row r="13" spans="1:30">
      <c r="A13" s="3081" t="s">
        <v>3243</v>
      </c>
      <c r="B13" s="3130">
        <v>2023</v>
      </c>
      <c r="C13" s="3131">
        <v>1</v>
      </c>
      <c r="D13" s="3131">
        <v>0.89</v>
      </c>
      <c r="E13" s="3131">
        <v>0.74</v>
      </c>
      <c r="F13" s="3131">
        <v>0.56999999999999995</v>
      </c>
      <c r="G13" s="3131">
        <v>0.92</v>
      </c>
      <c r="H13" s="3137">
        <v>0.5</v>
      </c>
      <c r="I13" s="3132">
        <f t="shared" si="32"/>
        <v>0.56999999999999995</v>
      </c>
      <c r="J13" s="3098"/>
      <c r="K13" s="3099">
        <f t="shared" si="56"/>
        <v>8.8999999999999999E-3</v>
      </c>
      <c r="L13" s="3100">
        <f t="shared" si="57"/>
        <v>7.4000000000000003E-3</v>
      </c>
      <c r="M13" s="3100">
        <f t="shared" si="58"/>
        <v>5.6999999999999993E-3</v>
      </c>
      <c r="N13" s="3100">
        <f t="shared" si="59"/>
        <v>9.1999999999999998E-3</v>
      </c>
      <c r="O13" s="3100">
        <f t="shared" si="60"/>
        <v>5.0000000000000001E-3</v>
      </c>
      <c r="P13" s="3100">
        <f t="shared" si="61"/>
        <v>5.6999999999999993E-3</v>
      </c>
      <c r="Q13" s="3098"/>
      <c r="R13" s="3109">
        <f>ROUND(IF(项目基本情况!$B$8="出让",SUMPRODUCT(PRODUCT(1+K13:$K$21)),SUMPRODUCT(PRODUCT(1+K13:$K$20))),4)</f>
        <v>1.0659000000000001</v>
      </c>
      <c r="S13" s="3109">
        <f>ROUND(IF(项目基本情况!$B$8="出让",SUMPRODUCT(PRODUCT(1+L13:$L$21)),SUMPRODUCT(PRODUCT(1+L13:$L$20))),4)</f>
        <v>1.0326</v>
      </c>
      <c r="T13" s="3109">
        <f>ROUND(IF(项目基本情况!$B$8="出让",SUMPRODUCT(PRODUCT(1+M13:$M$21)),SUMPRODUCT(PRODUCT(1+M13:$M$20))),4)</f>
        <v>1.0203</v>
      </c>
      <c r="U13" s="3109">
        <f>ROUND(IF(项目基本情况!$B$8="出让",SUMPRODUCT(PRODUCT(1+N13:$N$21)),SUMPRODUCT(PRODUCT(1+N13:$N$20))),4)</f>
        <v>1.0714999999999999</v>
      </c>
      <c r="V13" s="3109">
        <f>ROUND(IF(项目基本情况!$B$8="出让",SUMPRODUCT(PRODUCT(1+O13:$O$21)),SUMPRODUCT(PRODUCT(1+O13:$O$20))),4)</f>
        <v>1.0555000000000001</v>
      </c>
      <c r="W13" s="3109">
        <f t="shared" si="62"/>
        <v>1.0203</v>
      </c>
      <c r="X13" s="3098"/>
      <c r="Y13" s="3100">
        <f t="shared" ref="Y13:AC13" si="66">IF(D13=0,0,ROUND(AVERAGE(D13:D24)/100,4))</f>
        <v>8.2000000000000007E-3</v>
      </c>
      <c r="Z13" s="3100">
        <f t="shared" si="66"/>
        <v>3.8E-3</v>
      </c>
      <c r="AA13" s="3100">
        <f t="shared" si="66"/>
        <v>2E-3</v>
      </c>
      <c r="AB13" s="3100">
        <f t="shared" si="66"/>
        <v>8.8999999999999999E-3</v>
      </c>
      <c r="AC13" s="3100">
        <f t="shared" si="66"/>
        <v>6.4000000000000003E-3</v>
      </c>
      <c r="AD13" s="3100">
        <f t="shared" si="64"/>
        <v>2E-3</v>
      </c>
    </row>
    <row r="14" spans="1:30">
      <c r="A14" s="3081" t="s">
        <v>3241</v>
      </c>
      <c r="B14" s="3130">
        <v>2022</v>
      </c>
      <c r="C14" s="3131">
        <v>4</v>
      </c>
      <c r="D14" s="3131">
        <v>0.62</v>
      </c>
      <c r="E14" s="3131">
        <v>0.2</v>
      </c>
      <c r="F14" s="3131">
        <v>0.11</v>
      </c>
      <c r="G14" s="3131">
        <v>0.69</v>
      </c>
      <c r="H14" s="3137">
        <v>0.53</v>
      </c>
      <c r="I14" s="3132">
        <f t="shared" si="32"/>
        <v>0.11</v>
      </c>
      <c r="J14" s="3098"/>
      <c r="K14" s="3099">
        <f t="shared" si="33"/>
        <v>6.1999999999999998E-3</v>
      </c>
      <c r="L14" s="3100">
        <f t="shared" si="33"/>
        <v>2E-3</v>
      </c>
      <c r="M14" s="3100">
        <f t="shared" si="33"/>
        <v>1.1000000000000001E-3</v>
      </c>
      <c r="N14" s="3100">
        <f t="shared" si="33"/>
        <v>6.8999999999999999E-3</v>
      </c>
      <c r="O14" s="3100">
        <f t="shared" si="33"/>
        <v>5.3E-3</v>
      </c>
      <c r="P14" s="3100">
        <f t="shared" ref="P14:P21" si="67">M14</f>
        <v>1.1000000000000001E-3</v>
      </c>
      <c r="Q14" s="3098"/>
      <c r="R14" s="3109">
        <f>ROUND(IF(项目基本情况!B8="出让",SUMPRODUCT(PRODUCT(1+K14:K21)),SUMPRODUCT(PRODUCT(1+K14:K20))),4)</f>
        <v>1.0565</v>
      </c>
      <c r="S14" s="3109">
        <f>ROUND(IF(项目基本情况!B8="出让",SUMPRODUCT(PRODUCT(1+L14:L21)),SUMPRODUCT(PRODUCT(1+L14:L20))),4)</f>
        <v>1.0250999999999999</v>
      </c>
      <c r="T14" s="3109">
        <f>ROUND(IF(项目基本情况!B8="出让",SUMPRODUCT(PRODUCT(1+M14:M21)),SUMPRODUCT(PRODUCT(1+M14:M20))),4)</f>
        <v>1.0145</v>
      </c>
      <c r="U14" s="3109">
        <f>ROUND(IF(项目基本情况!B8="出让",SUMPRODUCT(PRODUCT(1+N14:N21)),SUMPRODUCT(PRODUCT(1+N14:N20))),4)</f>
        <v>1.0618000000000001</v>
      </c>
      <c r="V14" s="3109">
        <f>ROUND(IF(项目基本情况!B8="出让",SUMPRODUCT(PRODUCT(1+O14:O21)),SUMPRODUCT(PRODUCT(1+O14:O20))),4)</f>
        <v>1.0502</v>
      </c>
      <c r="W14" s="3109">
        <f t="shared" ref="W14:W21" si="68">T14</f>
        <v>1.0145</v>
      </c>
      <c r="X14" s="3098"/>
      <c r="Y14" s="3100">
        <f>IF(D14=0,0,ROUND(AVERAGE(D14:D22)/100,4))</f>
        <v>8.0999999999999996E-3</v>
      </c>
      <c r="Z14" s="3100">
        <f>IF(E14=0,0,ROUND(AVERAGE(E14:E21)/100,4))</f>
        <v>3.3E-3</v>
      </c>
      <c r="AA14" s="3100">
        <f>IF(F14=0,0,ROUND(AVERAGE(F14:F21)/100,4))</f>
        <v>1.5E-3</v>
      </c>
      <c r="AB14" s="3100">
        <f>IF(G14=0,0,ROUND(AVERAGE(G14:G21)/100,4))</f>
        <v>8.8999999999999999E-3</v>
      </c>
      <c r="AC14" s="3100">
        <f>IF(H14=0,0,ROUND(AVERAGE(H14:H21)/100,4))</f>
        <v>6.6E-3</v>
      </c>
      <c r="AD14" s="3100">
        <f t="shared" si="34"/>
        <v>1.5E-3</v>
      </c>
    </row>
    <row r="15" spans="1:30">
      <c r="A15" s="3081" t="s">
        <v>3238</v>
      </c>
      <c r="B15" s="3130">
        <v>2022</v>
      </c>
      <c r="C15" s="3131">
        <v>3</v>
      </c>
      <c r="D15" s="3131">
        <v>0.66</v>
      </c>
      <c r="E15" s="3131">
        <v>0.32</v>
      </c>
      <c r="F15" s="3131">
        <v>0.23</v>
      </c>
      <c r="G15" s="3131">
        <v>0.72</v>
      </c>
      <c r="H15" s="3137">
        <v>0.63</v>
      </c>
      <c r="I15" s="3132">
        <f t="shared" si="32"/>
        <v>0.23</v>
      </c>
      <c r="J15" s="3098"/>
      <c r="K15" s="3099">
        <f t="shared" si="33"/>
        <v>6.6E-3</v>
      </c>
      <c r="L15" s="3100">
        <f t="shared" si="33"/>
        <v>3.2000000000000002E-3</v>
      </c>
      <c r="M15" s="3100">
        <f t="shared" si="33"/>
        <v>2.3E-3</v>
      </c>
      <c r="N15" s="3100">
        <f t="shared" si="33"/>
        <v>7.1999999999999998E-3</v>
      </c>
      <c r="O15" s="3100">
        <f t="shared" si="33"/>
        <v>6.3E-3</v>
      </c>
      <c r="P15" s="3100">
        <f t="shared" si="67"/>
        <v>2.3E-3</v>
      </c>
      <c r="Q15" s="3098"/>
      <c r="R15" s="3109">
        <f>ROUND(IF(项目基本情况!B8="出让",SUMPRODUCT(PRODUCT(1+K15:K21)),SUMPRODUCT(PRODUCT(1+K15:K20))),4)</f>
        <v>1.05</v>
      </c>
      <c r="S15" s="3109">
        <f>ROUND(IF(项目基本情况!B8="出让",SUMPRODUCT(PRODUCT(1+L15:L21)),SUMPRODUCT(PRODUCT(1+L15:L20))),4)</f>
        <v>1.0229999999999999</v>
      </c>
      <c r="T15" s="3109">
        <f>ROUND(IF(项目基本情况!B8="出让",SUMPRODUCT(PRODUCT(1+M15:M21)),SUMPRODUCT(PRODUCT(1+M15:M20))),4)</f>
        <v>1.0134000000000001</v>
      </c>
      <c r="U15" s="3109">
        <f>ROUND(IF(项目基本情况!B8="出让",SUMPRODUCT(PRODUCT(1+N15:N21)),SUMPRODUCT(PRODUCT(1+N15:N20))),4)</f>
        <v>1.0545</v>
      </c>
      <c r="V15" s="3109">
        <f>ROUND(IF(项目基本情况!B8="出让",SUMPRODUCT(PRODUCT(1+O15:O21)),SUMPRODUCT(PRODUCT(1+O15:O20))),4)</f>
        <v>1.0447</v>
      </c>
      <c r="W15" s="3109">
        <f t="shared" si="68"/>
        <v>1.0134000000000001</v>
      </c>
      <c r="X15" s="3098"/>
      <c r="Y15" s="3100">
        <f>IF(D15=0,0,ROUND(AVERAGE(D15:D21)/100,4))</f>
        <v>8.3999999999999995E-3</v>
      </c>
      <c r="Z15" s="3100">
        <f>IF(E15=0,0,ROUND(AVERAGE(E15:E21)/100,4))</f>
        <v>3.5000000000000001E-3</v>
      </c>
      <c r="AA15" s="3100">
        <f>IF(F15=0,0,ROUND(AVERAGE(F15:F21)/100,4))</f>
        <v>1.5E-3</v>
      </c>
      <c r="AB15" s="3100">
        <f>IF(G15=0,0,ROUND(AVERAGE(G15:G21)/100,4))</f>
        <v>9.1999999999999998E-3</v>
      </c>
      <c r="AC15" s="3100">
        <f>IF(H15=0,0,ROUND(AVERAGE(H15:H21)/100,4))</f>
        <v>6.7999999999999996E-3</v>
      </c>
      <c r="AD15" s="3100">
        <f t="shared" si="34"/>
        <v>1.5E-3</v>
      </c>
    </row>
    <row r="16" spans="1:30">
      <c r="A16" s="3081" t="s">
        <v>3239</v>
      </c>
      <c r="B16" s="3130">
        <v>2022</v>
      </c>
      <c r="C16" s="3131">
        <v>2</v>
      </c>
      <c r="D16" s="3131">
        <v>0.93</v>
      </c>
      <c r="E16" s="3131">
        <v>0.15</v>
      </c>
      <c r="F16" s="3131">
        <v>0.01</v>
      </c>
      <c r="G16" s="3131">
        <v>1.05</v>
      </c>
      <c r="H16" s="3137">
        <v>1.08</v>
      </c>
      <c r="I16" s="3132">
        <f t="shared" si="32"/>
        <v>0.01</v>
      </c>
      <c r="J16" s="3098"/>
      <c r="K16" s="3099">
        <f t="shared" si="33"/>
        <v>9.300000000000001E-3</v>
      </c>
      <c r="L16" s="3100">
        <f t="shared" si="33"/>
        <v>1.5E-3</v>
      </c>
      <c r="M16" s="3100">
        <f t="shared" si="33"/>
        <v>1E-4</v>
      </c>
      <c r="N16" s="3100">
        <f t="shared" si="33"/>
        <v>1.0500000000000001E-2</v>
      </c>
      <c r="O16" s="3100">
        <f t="shared" si="33"/>
        <v>1.0800000000000001E-2</v>
      </c>
      <c r="P16" s="3100">
        <f t="shared" si="67"/>
        <v>1E-4</v>
      </c>
      <c r="Q16" s="3098"/>
      <c r="R16" s="3109">
        <f>ROUND(IF(项目基本情况!B8="出让",SUMPRODUCT(PRODUCT(1+K16:K21)),SUMPRODUCT(PRODUCT(1+K16:K20))),4)</f>
        <v>1.0430999999999999</v>
      </c>
      <c r="S16" s="3109">
        <f>ROUND(IF(项目基本情况!B8="出让",SUMPRODUCT(PRODUCT(1+L16:L21)),SUMPRODUCT(PRODUCT(1+L16:L20))),4)</f>
        <v>1.0197000000000001</v>
      </c>
      <c r="T16" s="3109">
        <f>ROUND(IF(项目基本情况!B8="出让",SUMPRODUCT(PRODUCT(1+M16:M21)),SUMPRODUCT(PRODUCT(1+M16:M20))),4)</f>
        <v>1.0109999999999999</v>
      </c>
      <c r="U16" s="3109">
        <f>ROUND(IF(项目基本情况!B8="出让",SUMPRODUCT(PRODUCT(1+N16:N21)),SUMPRODUCT(PRODUCT(1+N16:N20))),4)</f>
        <v>1.0468999999999999</v>
      </c>
      <c r="V16" s="3109">
        <f>ROUND(IF(项目基本情况!B8="出让",SUMPRODUCT(PRODUCT(1+O16:O21)),SUMPRODUCT(PRODUCT(1+O16:O20))),4)</f>
        <v>1.0382</v>
      </c>
      <c r="W16" s="3109">
        <f t="shared" si="68"/>
        <v>1.0109999999999999</v>
      </c>
      <c r="X16" s="3098"/>
      <c r="Y16" s="3100">
        <f>IF(D16=0,0,ROUND(AVERAGE(D16:D21)/100,4))</f>
        <v>8.6999999999999994E-3</v>
      </c>
      <c r="Z16" s="3100">
        <f>IF(E16=0,0,ROUND(AVERAGE(E16:E21)/100,4))</f>
        <v>3.5000000000000001E-3</v>
      </c>
      <c r="AA16" s="3100">
        <f>IF(F16=0,0,ROUND(AVERAGE(F16:F21)/100,4))</f>
        <v>1.4E-3</v>
      </c>
      <c r="AB16" s="3100">
        <f>IF(G16=0,0,ROUND(AVERAGE(G16:G21)/100,4))</f>
        <v>9.4999999999999998E-3</v>
      </c>
      <c r="AC16" s="3100">
        <f>IF(H16=0,0,ROUND(AVERAGE(H16:H21)/100,4))</f>
        <v>6.8999999999999999E-3</v>
      </c>
      <c r="AD16" s="3100">
        <f t="shared" si="34"/>
        <v>1.4E-3</v>
      </c>
    </row>
    <row r="17" spans="1:30">
      <c r="A17" s="3081" t="s">
        <v>2775</v>
      </c>
      <c r="B17" s="3130">
        <v>2022</v>
      </c>
      <c r="C17" s="3131">
        <v>1</v>
      </c>
      <c r="D17" s="3131">
        <v>0.89</v>
      </c>
      <c r="E17" s="3131">
        <v>0.44</v>
      </c>
      <c r="F17" s="3131">
        <v>0.37</v>
      </c>
      <c r="G17" s="3131">
        <v>0.96</v>
      </c>
      <c r="H17" s="3137">
        <v>0.64</v>
      </c>
      <c r="I17" s="3132">
        <f t="shared" si="32"/>
        <v>0.37</v>
      </c>
      <c r="J17" s="3098"/>
      <c r="K17" s="3099">
        <f t="shared" si="33"/>
        <v>8.8999999999999999E-3</v>
      </c>
      <c r="L17" s="3100">
        <f t="shared" si="33"/>
        <v>4.4000000000000003E-3</v>
      </c>
      <c r="M17" s="3100">
        <f t="shared" si="33"/>
        <v>3.7000000000000002E-3</v>
      </c>
      <c r="N17" s="3100">
        <f t="shared" si="33"/>
        <v>9.5999999999999992E-3</v>
      </c>
      <c r="O17" s="3100">
        <f t="shared" si="33"/>
        <v>6.4000000000000003E-3</v>
      </c>
      <c r="P17" s="3100">
        <f t="shared" si="67"/>
        <v>3.7000000000000002E-3</v>
      </c>
      <c r="Q17" s="3098"/>
      <c r="R17" s="3109">
        <f>ROUND(IF(项目基本情况!B8="出让",SUMPRODUCT(PRODUCT(1+K17:K21)),SUMPRODUCT(PRODUCT(1+K17:K20))),4)</f>
        <v>1.0335000000000001</v>
      </c>
      <c r="S17" s="3109">
        <f>ROUND(IF(项目基本情况!B8="出让",SUMPRODUCT(PRODUCT(1+L17:L21)),SUMPRODUCT(PRODUCT(1+L17:L20))),4)</f>
        <v>1.0182</v>
      </c>
      <c r="T17" s="3109">
        <f>ROUND(IF(项目基本情况!B8="出让",SUMPRODUCT(PRODUCT(1+M17:M21)),SUMPRODUCT(PRODUCT(1+M17:M20))),4)</f>
        <v>1.0108999999999999</v>
      </c>
      <c r="U17" s="3109">
        <f>ROUND(IF(项目基本情况!B8="出让",SUMPRODUCT(PRODUCT(1+N17:N21)),SUMPRODUCT(PRODUCT(1+N17:N20))),4)</f>
        <v>1.0361</v>
      </c>
      <c r="V17" s="3109">
        <f>ROUND(IF(项目基本情况!B8="出让",SUMPRODUCT(PRODUCT(1+O17:O21)),SUMPRODUCT(PRODUCT(1+O17:O20))),4)</f>
        <v>1.0270999999999999</v>
      </c>
      <c r="W17" s="3109">
        <f t="shared" si="68"/>
        <v>1.0108999999999999</v>
      </c>
      <c r="X17" s="3098"/>
      <c r="Y17" s="3100">
        <f>IF(D17=0,0,ROUND(AVERAGE(D17:D21)/100,4))</f>
        <v>8.6E-3</v>
      </c>
      <c r="Z17" s="3100">
        <f>IF(E17=0,0,ROUND(AVERAGE(E17:E21)/100,4))</f>
        <v>3.8999999999999998E-3</v>
      </c>
      <c r="AA17" s="3100">
        <f>IF(F17=0,0,ROUND(AVERAGE(F17:F21)/100,4))</f>
        <v>1.6999999999999999E-3</v>
      </c>
      <c r="AB17" s="3100">
        <f>IF(G17=0,0,ROUND(AVERAGE(G17:G21)/100,4))</f>
        <v>9.2999999999999992E-3</v>
      </c>
      <c r="AC17" s="3100">
        <f>IF(H17=0,0,ROUND(AVERAGE(H17:H21)/100,4))</f>
        <v>6.1000000000000004E-3</v>
      </c>
      <c r="AD17" s="3100">
        <f t="shared" si="34"/>
        <v>1.6999999999999999E-3</v>
      </c>
    </row>
    <row r="18" spans="1:30">
      <c r="A18" s="3081" t="s">
        <v>2776</v>
      </c>
      <c r="B18" s="3130">
        <v>2021</v>
      </c>
      <c r="C18" s="3131">
        <v>4</v>
      </c>
      <c r="D18" s="3131">
        <v>1.03</v>
      </c>
      <c r="E18" s="3131">
        <v>0.24</v>
      </c>
      <c r="F18" s="3131">
        <v>7.0000000000000007E-2</v>
      </c>
      <c r="G18" s="3131">
        <v>1.17</v>
      </c>
      <c r="H18" s="3137">
        <v>0.55000000000000004</v>
      </c>
      <c r="I18" s="3132">
        <f t="shared" si="32"/>
        <v>7.0000000000000007E-2</v>
      </c>
      <c r="J18" s="3098"/>
      <c r="K18" s="3099">
        <f t="shared" si="33"/>
        <v>1.03E-2</v>
      </c>
      <c r="L18" s="3100">
        <f t="shared" si="33"/>
        <v>2.3999999999999998E-3</v>
      </c>
      <c r="M18" s="3100">
        <f t="shared" si="33"/>
        <v>7.000000000000001E-4</v>
      </c>
      <c r="N18" s="3100">
        <f t="shared" si="33"/>
        <v>1.1699999999999999E-2</v>
      </c>
      <c r="O18" s="3100">
        <f t="shared" si="33"/>
        <v>5.5000000000000005E-3</v>
      </c>
      <c r="P18" s="3100">
        <f t="shared" si="67"/>
        <v>7.000000000000001E-4</v>
      </c>
      <c r="Q18" s="3098"/>
      <c r="R18" s="3109">
        <f>ROUND(IF(项目基本情况!B8="出让",SUMPRODUCT(PRODUCT(1+K18:K21)),SUMPRODUCT(PRODUCT(1+K18:K20))),4)</f>
        <v>1.0244</v>
      </c>
      <c r="S18" s="3109">
        <f>ROUND(IF(项目基本情况!B8="出让",SUMPRODUCT(PRODUCT(1+L18:L21)),SUMPRODUCT(PRODUCT(1+L18:L20))),4)</f>
        <v>1.0138</v>
      </c>
      <c r="T18" s="3109">
        <f>ROUND(IF(项目基本情况!B8="出让",SUMPRODUCT(PRODUCT(1+M18:M21)),SUMPRODUCT(PRODUCT(1+M18:M20))),4)</f>
        <v>1.0072000000000001</v>
      </c>
      <c r="U18" s="3109">
        <f>ROUND(IF(项目基本情况!B8="出让",SUMPRODUCT(PRODUCT(1+N18:N21)),SUMPRODUCT(PRODUCT(1+N18:N20))),4)</f>
        <v>1.0262</v>
      </c>
      <c r="V18" s="3109">
        <f>ROUND(IF(项目基本情况!B8="出让",SUMPRODUCT(PRODUCT(1+O18:O21)),SUMPRODUCT(PRODUCT(1+O18:O20))),4)</f>
        <v>1.0205</v>
      </c>
      <c r="W18" s="3109">
        <f t="shared" si="68"/>
        <v>1.0072000000000001</v>
      </c>
      <c r="X18" s="3098"/>
      <c r="Y18" s="3100">
        <f>IF(D18=0,0,ROUND(AVERAGE(D18:D21)/100,4))</f>
        <v>8.5000000000000006E-3</v>
      </c>
      <c r="Z18" s="3100">
        <f>IF(E18=0,0,ROUND(AVERAGE(E18:E21)/100,4))</f>
        <v>3.8E-3</v>
      </c>
      <c r="AA18" s="3100">
        <f>IF(F18=0,0,ROUND(AVERAGE(F18:F21)/100,4))</f>
        <v>1.1999999999999999E-3</v>
      </c>
      <c r="AB18" s="3100">
        <f>IF(G18=0,0,ROUND(AVERAGE(G18:G21)/100,4))</f>
        <v>9.2999999999999992E-3</v>
      </c>
      <c r="AC18" s="3100">
        <f>IF(H18=0,0,ROUND(AVERAGE(H18:H21)/100,4))</f>
        <v>6.0000000000000001E-3</v>
      </c>
      <c r="AD18" s="3100">
        <f t="shared" si="34"/>
        <v>1.1999999999999999E-3</v>
      </c>
    </row>
    <row r="19" spans="1:30">
      <c r="A19" s="3081" t="s">
        <v>2777</v>
      </c>
      <c r="B19" s="3130">
        <v>2021</v>
      </c>
      <c r="C19" s="3131">
        <v>3</v>
      </c>
      <c r="D19" s="3131">
        <v>0.47</v>
      </c>
      <c r="E19" s="3131">
        <v>0.41</v>
      </c>
      <c r="F19" s="3131">
        <v>0.24</v>
      </c>
      <c r="G19" s="3131">
        <v>0.48</v>
      </c>
      <c r="H19" s="3137">
        <v>0.48</v>
      </c>
      <c r="I19" s="3132">
        <f t="shared" si="32"/>
        <v>0.24</v>
      </c>
      <c r="J19" s="3098"/>
      <c r="K19" s="3099">
        <f t="shared" si="33"/>
        <v>4.6999999999999993E-3</v>
      </c>
      <c r="L19" s="3100">
        <f t="shared" si="33"/>
        <v>4.0999999999999995E-3</v>
      </c>
      <c r="M19" s="3100">
        <f t="shared" si="33"/>
        <v>2.3999999999999998E-3</v>
      </c>
      <c r="N19" s="3100">
        <f t="shared" si="33"/>
        <v>4.7999999999999996E-3</v>
      </c>
      <c r="O19" s="3100">
        <f t="shared" si="33"/>
        <v>4.7999999999999996E-3</v>
      </c>
      <c r="P19" s="3100">
        <f t="shared" si="67"/>
        <v>2.3999999999999998E-3</v>
      </c>
      <c r="Q19" s="3098"/>
      <c r="R19" s="3109">
        <f>ROUND(IF(项目基本情况!B8="出让",SUMPRODUCT(PRODUCT(1+K19:K21)),SUMPRODUCT(PRODUCT(1+K19:K20))),4)</f>
        <v>1.0139</v>
      </c>
      <c r="S19" s="3109">
        <f>ROUND(IF(项目基本情况!B8="出让",SUMPRODUCT(PRODUCT(1+L19:L21)),SUMPRODUCT(PRODUCT(1+L19:L20))),4)</f>
        <v>1.0113000000000001</v>
      </c>
      <c r="T19" s="3109">
        <f>ROUND(IF(项目基本情况!B8="出让",SUMPRODUCT(PRODUCT(1+M19:M21)),SUMPRODUCT(PRODUCT(1+M19:M20))),4)</f>
        <v>1.0065</v>
      </c>
      <c r="U19" s="3109">
        <f>ROUND(IF(项目基本情况!B8="出让",SUMPRODUCT(PRODUCT(1+N19:N21)),SUMPRODUCT(PRODUCT(1+N19:N20))),4)</f>
        <v>1.0143</v>
      </c>
      <c r="V19" s="3109">
        <f>ROUND(IF(项目基本情况!B8="出让",SUMPRODUCT(PRODUCT(1+O19:O21)),SUMPRODUCT(PRODUCT(1+O19:O20))),4)</f>
        <v>1.0148999999999999</v>
      </c>
      <c r="W19" s="3109">
        <f t="shared" si="68"/>
        <v>1.0065</v>
      </c>
      <c r="X19" s="3098"/>
      <c r="Y19" s="3100">
        <f>IF(D19=0,0,ROUND(AVERAGE(D19:D21)/100,4))</f>
        <v>7.9000000000000008E-3</v>
      </c>
      <c r="Z19" s="3100">
        <f>IF(E19=0,0,ROUND(AVERAGE(E19:E21)/100,4))</f>
        <v>4.3E-3</v>
      </c>
      <c r="AA19" s="3100">
        <f>IF(F19=0,0,ROUND(AVERAGE(F19:F21)/100,4))</f>
        <v>1.2999999999999999E-3</v>
      </c>
      <c r="AB19" s="3100">
        <f>IF(G19=0,0,ROUND(AVERAGE(G19:G21)/100,4))</f>
        <v>8.5000000000000006E-3</v>
      </c>
      <c r="AC19" s="3100">
        <f>IF(H19=0,0,ROUND(AVERAGE(H19:H21)/100,4))</f>
        <v>6.1999999999999998E-3</v>
      </c>
      <c r="AD19" s="3100">
        <f t="shared" si="34"/>
        <v>1.2999999999999999E-3</v>
      </c>
    </row>
    <row r="20" spans="1:30">
      <c r="A20" s="3081" t="s">
        <v>2778</v>
      </c>
      <c r="B20" s="3130">
        <v>2021</v>
      </c>
      <c r="C20" s="3131">
        <v>2</v>
      </c>
      <c r="D20" s="3131">
        <v>0.92</v>
      </c>
      <c r="E20" s="3131">
        <v>0.72</v>
      </c>
      <c r="F20" s="3131">
        <v>0.41</v>
      </c>
      <c r="G20" s="3131">
        <v>0.95</v>
      </c>
      <c r="H20" s="3137">
        <v>1.01</v>
      </c>
      <c r="I20" s="3132">
        <f t="shared" si="32"/>
        <v>0.41</v>
      </c>
      <c r="J20" s="3098"/>
      <c r="K20" s="3099">
        <f t="shared" si="33"/>
        <v>9.1999999999999998E-3</v>
      </c>
      <c r="L20" s="3100">
        <f t="shared" si="33"/>
        <v>7.1999999999999998E-3</v>
      </c>
      <c r="M20" s="3100">
        <f t="shared" si="33"/>
        <v>4.0999999999999995E-3</v>
      </c>
      <c r="N20" s="3100">
        <f t="shared" si="33"/>
        <v>9.4999999999999998E-3</v>
      </c>
      <c r="O20" s="3100">
        <f t="shared" si="33"/>
        <v>1.01E-2</v>
      </c>
      <c r="P20" s="3100">
        <f t="shared" si="67"/>
        <v>4.0999999999999995E-3</v>
      </c>
      <c r="Q20" s="3098"/>
      <c r="R20" s="3109">
        <f>ROUND(IF(项目基本情况!B8="出让",SUMPRODUCT(PRODUCT(1+K20:K21)),SUMPRODUCT(PRODUCT(1+K20:K20))),4)</f>
        <v>1.0092000000000001</v>
      </c>
      <c r="S20" s="3109">
        <f>ROUND(IF(项目基本情况!B8="出让",SUMPRODUCT(PRODUCT(1+L20:L21)),SUMPRODUCT(PRODUCT(1+L20:L20))),4)</f>
        <v>1.0072000000000001</v>
      </c>
      <c r="T20" s="3109">
        <f>ROUND(IF(项目基本情况!B8="出让",SUMPRODUCT(PRODUCT(1+M20:M21)),SUMPRODUCT(PRODUCT(1+M20:M20))),4)</f>
        <v>1.0041</v>
      </c>
      <c r="U20" s="3109">
        <f>ROUND(IF(项目基本情况!B8="出让",SUMPRODUCT(PRODUCT(1+N20:N21)),SUMPRODUCT(PRODUCT(1+N20:N20))),4)</f>
        <v>1.0095000000000001</v>
      </c>
      <c r="V20" s="3109">
        <f>ROUND(IF(项目基本情况!B8="出让",SUMPRODUCT(PRODUCT(1+O20:O21)),SUMPRODUCT(PRODUCT(1+O20:O20))),4)</f>
        <v>1.0101</v>
      </c>
      <c r="W20" s="3109">
        <f t="shared" si="68"/>
        <v>1.0041</v>
      </c>
      <c r="X20" s="3098"/>
      <c r="Y20" s="3100">
        <f>IF(D20=0,0,ROUND(AVERAGE(D20:D21)/100,4))</f>
        <v>9.4999999999999998E-3</v>
      </c>
      <c r="Z20" s="3100">
        <f>IF(E20=0,0,ROUND(AVERAGE(E20:E21)/100,4))</f>
        <v>4.4000000000000003E-3</v>
      </c>
      <c r="AA20" s="3100">
        <f>IF(F20=0,0,ROUND(AVERAGE(F20:F21)/100,4))</f>
        <v>8.0000000000000004E-4</v>
      </c>
      <c r="AB20" s="3100">
        <f>IF(G20=0,0,ROUND(AVERAGE(G20:G21)/100,4))</f>
        <v>1.03E-2</v>
      </c>
      <c r="AC20" s="3100">
        <f>IF(H20=0,0,ROUND(AVERAGE(H20:H21)/100,4))</f>
        <v>6.8999999999999999E-3</v>
      </c>
      <c r="AD20" s="3100">
        <f t="shared" si="34"/>
        <v>8.0000000000000004E-4</v>
      </c>
    </row>
    <row r="21" spans="1:30" ht="14.25" thickBot="1">
      <c r="A21" s="3083" t="s">
        <v>2779</v>
      </c>
      <c r="B21" s="3138">
        <v>2021</v>
      </c>
      <c r="C21" s="3139">
        <v>1</v>
      </c>
      <c r="D21" s="3139">
        <v>0.97</v>
      </c>
      <c r="E21" s="3139">
        <v>0.16</v>
      </c>
      <c r="F21" s="3139">
        <v>-0.25</v>
      </c>
      <c r="G21" s="3139">
        <v>1.1100000000000001</v>
      </c>
      <c r="H21" s="3140">
        <v>0.36</v>
      </c>
      <c r="I21" s="3141">
        <f t="shared" si="32"/>
        <v>-0.25</v>
      </c>
      <c r="J21" s="3104"/>
      <c r="K21" s="3105">
        <f t="shared" si="33"/>
        <v>9.7000000000000003E-3</v>
      </c>
      <c r="L21" s="3106">
        <f t="shared" si="33"/>
        <v>1.6000000000000001E-3</v>
      </c>
      <c r="M21" s="3106">
        <f>F21/100</f>
        <v>-2.5000000000000001E-3</v>
      </c>
      <c r="N21" s="3106">
        <f t="shared" si="33"/>
        <v>1.11E-2</v>
      </c>
      <c r="O21" s="3106">
        <f t="shared" si="33"/>
        <v>3.5999999999999999E-3</v>
      </c>
      <c r="P21" s="3106">
        <f t="shared" si="67"/>
        <v>-2.5000000000000001E-3</v>
      </c>
      <c r="Q21" s="3104"/>
      <c r="R21" s="3113">
        <v>1</v>
      </c>
      <c r="S21" s="3113">
        <v>1</v>
      </c>
      <c r="T21" s="3113">
        <v>1</v>
      </c>
      <c r="U21" s="3113">
        <v>1</v>
      </c>
      <c r="V21" s="3113">
        <v>1</v>
      </c>
      <c r="W21" s="3113">
        <f t="shared" si="68"/>
        <v>1</v>
      </c>
      <c r="X21" s="3104"/>
      <c r="Y21" s="3106">
        <f>IF(D21=0,0,ROUND(AVERAGE(D21:D21)/100,4))</f>
        <v>9.7000000000000003E-3</v>
      </c>
      <c r="Z21" s="3106">
        <f>IF(E21=0,0,ROUND(AVERAGE(E21:E21)/100,4))</f>
        <v>1.6000000000000001E-3</v>
      </c>
      <c r="AA21" s="3106">
        <f>IF(F21=0,0,ROUND(AVERAGE(F21:F21)/100,4))</f>
        <v>-2.5000000000000001E-3</v>
      </c>
      <c r="AB21" s="3106">
        <f>IF(G21=0,0,ROUND(AVERAGE(G21:G21)/100,4))</f>
        <v>1.11E-2</v>
      </c>
      <c r="AC21" s="3106">
        <f>IF(H21=0,0,ROUND(AVERAGE(H21:H21)/100,4))</f>
        <v>3.5999999999999999E-3</v>
      </c>
      <c r="AD21" s="3106">
        <f>AA21</f>
        <v>-2.5000000000000001E-3</v>
      </c>
    </row>
    <row r="22" spans="1:30" ht="14.25" thickTop="1"/>
    <row r="23" spans="1:30">
      <c r="A23" s="3382" t="s">
        <v>3263</v>
      </c>
    </row>
    <row r="24" spans="1:30">
      <c r="I24" s="2743" t="s">
        <v>2790</v>
      </c>
    </row>
    <row r="26" spans="1:30">
      <c r="A26" s="2436"/>
      <c r="B26" s="3084" t="s">
        <v>3262</v>
      </c>
      <c r="C26" s="3085"/>
      <c r="D26" s="3085"/>
      <c r="E26" s="3085"/>
      <c r="F26" s="3085"/>
      <c r="G26" s="3085"/>
      <c r="H26" s="3085"/>
      <c r="I26" s="3085"/>
      <c r="J26" s="3086"/>
      <c r="K26" s="3085" t="s">
        <v>2783</v>
      </c>
      <c r="L26" s="3085"/>
      <c r="M26" s="3085"/>
      <c r="N26" s="3085"/>
      <c r="O26" s="3085"/>
      <c r="P26" s="3085"/>
      <c r="Q26" s="3086"/>
      <c r="R26" s="3771" t="s">
        <v>2798</v>
      </c>
      <c r="S26" s="3772"/>
      <c r="T26" s="3772"/>
      <c r="U26" s="3772"/>
      <c r="V26" s="3772"/>
      <c r="W26" s="3772"/>
      <c r="X26" s="3086"/>
      <c r="Y26" s="3771" t="s">
        <v>1923</v>
      </c>
      <c r="Z26" s="3772"/>
      <c r="AA26" s="3772"/>
      <c r="AB26" s="3772"/>
      <c r="AC26" s="3772"/>
      <c r="AD26" s="3772"/>
    </row>
    <row r="27" spans="1:30" ht="14.25" thickBot="1">
      <c r="A27" s="3079"/>
      <c r="B27" s="3087"/>
      <c r="C27" s="3088"/>
      <c r="D27" s="2420" t="s">
        <v>2785</v>
      </c>
      <c r="E27" s="2421" t="s">
        <v>2786</v>
      </c>
      <c r="F27" s="2421" t="s">
        <v>2787</v>
      </c>
      <c r="G27" s="2421" t="s">
        <v>1469</v>
      </c>
      <c r="H27" s="2421"/>
      <c r="I27" s="2421" t="s">
        <v>2731</v>
      </c>
      <c r="J27" s="3089"/>
      <c r="K27" s="2420" t="s">
        <v>2785</v>
      </c>
      <c r="L27" s="2421" t="s">
        <v>2786</v>
      </c>
      <c r="M27" s="2421" t="s">
        <v>2787</v>
      </c>
      <c r="N27" s="2421" t="s">
        <v>2788</v>
      </c>
      <c r="O27" s="2421"/>
      <c r="P27" s="2421" t="s">
        <v>2731</v>
      </c>
      <c r="Q27" s="3089"/>
      <c r="R27" s="2420" t="s">
        <v>2799</v>
      </c>
      <c r="S27" s="2421" t="s">
        <v>2800</v>
      </c>
      <c r="T27" s="2421" t="s">
        <v>2787</v>
      </c>
      <c r="U27" s="2421" t="s">
        <v>1469</v>
      </c>
      <c r="V27" s="2421"/>
      <c r="W27" s="2421" t="s">
        <v>2801</v>
      </c>
      <c r="X27" s="3089"/>
      <c r="Y27" s="2420" t="s">
        <v>2784</v>
      </c>
      <c r="Z27" s="2421" t="s">
        <v>2786</v>
      </c>
      <c r="AA27" s="2421" t="s">
        <v>2787</v>
      </c>
      <c r="AB27" s="2421" t="s">
        <v>1469</v>
      </c>
      <c r="AC27" s="2421"/>
      <c r="AD27" s="2421" t="s">
        <v>2804</v>
      </c>
    </row>
    <row r="28" spans="1:30">
      <c r="A28" s="3080" t="s">
        <v>2780</v>
      </c>
      <c r="B28" s="3090"/>
      <c r="C28" s="3091"/>
      <c r="D28" s="3091"/>
      <c r="E28" s="3091">
        <f>ROUND(AVERAGEIF(E29:E46,"&lt;&gt;0"),2)</f>
        <v>0.26</v>
      </c>
      <c r="F28" s="3091">
        <f>ROUND(AVERAGEIF(F29:F46,"&lt;&gt;0"),2)</f>
        <v>0.19</v>
      </c>
      <c r="G28" s="3091">
        <f>ROUND(AVERAGEIF(G29:G46,"&lt;&gt;0"),2)</f>
        <v>0.38</v>
      </c>
      <c r="H28" s="3091"/>
      <c r="I28" s="3091">
        <f>F28</f>
        <v>0.19</v>
      </c>
      <c r="J28" s="3092"/>
      <c r="K28" s="3093"/>
      <c r="L28" s="3094">
        <f>ROUND(AVERAGEIF(L29:L46,"&lt;&gt;0"),4)</f>
        <v>2.5999999999999999E-3</v>
      </c>
      <c r="M28" s="3094">
        <f>ROUND(AVERAGEIF(M29:M46,"&lt;&gt;0"),4)</f>
        <v>1.9E-3</v>
      </c>
      <c r="N28" s="3094">
        <f>ROUND(AVERAGEIF(N29:N46,"&lt;&gt;0"),4)</f>
        <v>3.8E-3</v>
      </c>
      <c r="O28" s="3094"/>
      <c r="P28" s="3094">
        <f>M28</f>
        <v>1.9E-3</v>
      </c>
      <c r="Q28" s="3092"/>
      <c r="R28" s="3107"/>
      <c r="S28" s="3108">
        <f>ROUND(SUMPRODUCT(PRODUCT(1+L29:L46)),4)</f>
        <v>1.04</v>
      </c>
      <c r="T28" s="3108">
        <f>ROUND(SUMPRODUCT(PRODUCT(1+M29:M46)),4)</f>
        <v>1.0293000000000001</v>
      </c>
      <c r="U28" s="3108">
        <f>ROUND(SUMPRODUCT(PRODUCT(1+N29:N46)),4)</f>
        <v>1.0583</v>
      </c>
      <c r="V28" s="3108"/>
      <c r="W28" s="3107">
        <f>T28</f>
        <v>1.0293000000000001</v>
      </c>
      <c r="X28" s="3092"/>
      <c r="Y28" s="3114"/>
      <c r="Z28" s="3115">
        <f>ROUND(AVERAGEIF(Z29:Z46,"&lt;&gt;0"),4)</f>
        <v>4.1000000000000003E-3</v>
      </c>
      <c r="AA28" s="3116">
        <f>ROUND(AVERAGEIF(AA29:AA46,"&lt;&gt;0"),4)</f>
        <v>3.2000000000000002E-3</v>
      </c>
      <c r="AB28" s="3114">
        <f>ROUND(AVERAGEIF(AB29:AB46,"&lt;&gt;0"),4)</f>
        <v>7.6E-3</v>
      </c>
      <c r="AC28" s="3117"/>
      <c r="AD28" s="3114">
        <f>AA28</f>
        <v>3.2000000000000002E-3</v>
      </c>
    </row>
    <row r="29" spans="1:30">
      <c r="A29" s="2436"/>
      <c r="B29" s="3095"/>
      <c r="C29" s="2436"/>
      <c r="D29" s="2436"/>
      <c r="E29" s="2436"/>
      <c r="F29" s="2436"/>
      <c r="G29" s="2436"/>
      <c r="H29" s="2436"/>
      <c r="I29" s="2436"/>
      <c r="J29" s="3086"/>
      <c r="K29" s="3096"/>
      <c r="L29" s="3097"/>
      <c r="M29" s="3097"/>
      <c r="N29" s="3097"/>
      <c r="O29" s="3097"/>
      <c r="P29" s="3097"/>
      <c r="Q29" s="3086"/>
      <c r="R29" s="3109"/>
      <c r="S29" s="3110"/>
      <c r="T29" s="3111"/>
      <c r="U29" s="3109"/>
      <c r="V29" s="3112"/>
      <c r="W29" s="3109"/>
      <c r="X29" s="3086"/>
      <c r="Y29" s="3100"/>
      <c r="Z29" s="3118"/>
      <c r="AA29" s="3119"/>
      <c r="AB29" s="3100"/>
      <c r="AC29" s="3120"/>
      <c r="AD29" s="3100"/>
    </row>
    <row r="30" spans="1:30">
      <c r="A30" s="3383" t="s">
        <v>3256</v>
      </c>
      <c r="B30" s="3130">
        <v>2025</v>
      </c>
      <c r="C30" s="3131">
        <v>1</v>
      </c>
      <c r="D30" s="3131"/>
      <c r="E30" s="3131">
        <v>0</v>
      </c>
      <c r="F30" s="3131">
        <v>0</v>
      </c>
      <c r="G30" s="3131">
        <v>0</v>
      </c>
      <c r="H30" s="3131"/>
      <c r="I30" s="3132">
        <f t="shared" ref="I30" si="69">F30</f>
        <v>0</v>
      </c>
      <c r="J30" s="3098"/>
      <c r="K30" s="3099"/>
      <c r="L30" s="3100">
        <f t="shared" ref="L30" si="70">E30/100</f>
        <v>0</v>
      </c>
      <c r="M30" s="3100">
        <f t="shared" ref="M30" si="71">F30/100</f>
        <v>0</v>
      </c>
      <c r="N30" s="3100">
        <f t="shared" ref="N30" si="72">G30/100</f>
        <v>0</v>
      </c>
      <c r="O30" s="3100"/>
      <c r="P30" s="3100">
        <f>M30</f>
        <v>0</v>
      </c>
      <c r="Q30" s="3098"/>
      <c r="R30" s="3109"/>
      <c r="S30" s="3109">
        <f>ROUND(IF(项目基本情况!$B$8="出让",SUMPRODUCT(PRODUCT(1+L30:L$46)),SUMPRODUCT(PRODUCT(1+L30:L$45))),4)</f>
        <v>1.0364</v>
      </c>
      <c r="T30" s="3109">
        <f>ROUND(IF(项目基本情况!$B$8="出让",SUMPRODUCT(PRODUCT(1+M30:M$46)),SUMPRODUCT(PRODUCT(1+M30:M$45))),4)</f>
        <v>1.0244</v>
      </c>
      <c r="U30" s="3109">
        <f>ROUND(IF(项目基本情况!$B$8="出让",SUMPRODUCT(PRODUCT(1+N30:N$46)),SUMPRODUCT(PRODUCT(1+N30:N$45))),4)</f>
        <v>1.048</v>
      </c>
      <c r="V30" s="3109"/>
      <c r="W30" s="3109">
        <f>T30</f>
        <v>1.0244</v>
      </c>
      <c r="X30" s="3098"/>
      <c r="Y30" s="3100"/>
      <c r="Z30" s="3118">
        <f t="shared" ref="Z30" si="73">IF(E30=0,0,ROUND(AVERAGE(E30:E43)/100,4))</f>
        <v>0</v>
      </c>
      <c r="AA30" s="3118">
        <f t="shared" ref="AA30" si="74">IF(F30=0,0,ROUND(AVERAGE(F30:F43)/100,4))</f>
        <v>0</v>
      </c>
      <c r="AB30" s="3118">
        <f t="shared" ref="AB30" si="75">IF(G30=0,0,ROUND(AVERAGE(G30:G43)/100,4))</f>
        <v>0</v>
      </c>
      <c r="AC30" s="3120"/>
      <c r="AD30" s="3100">
        <f>IF(I30=0,0,ROUND(AVERAGE(I30:I43)/100,4))</f>
        <v>0</v>
      </c>
    </row>
    <row r="31" spans="1:30">
      <c r="A31" s="3082" t="s">
        <v>3259</v>
      </c>
      <c r="B31" s="3133">
        <v>2024</v>
      </c>
      <c r="C31" s="3134">
        <v>4</v>
      </c>
      <c r="D31" s="3134"/>
      <c r="E31" s="3134">
        <v>0</v>
      </c>
      <c r="F31" s="3134">
        <v>0</v>
      </c>
      <c r="G31" s="3134">
        <v>0</v>
      </c>
      <c r="H31" s="3135"/>
      <c r="I31" s="3136">
        <f t="shared" ref="I31" si="76">F31</f>
        <v>0</v>
      </c>
      <c r="J31" s="3101"/>
      <c r="K31" s="3102"/>
      <c r="L31" s="3103">
        <f t="shared" ref="L31" si="77">E31/100</f>
        <v>0</v>
      </c>
      <c r="M31" s="3103">
        <f t="shared" ref="M31" si="78">F31/100</f>
        <v>0</v>
      </c>
      <c r="N31" s="3103">
        <f t="shared" ref="N31" si="79">G31/100</f>
        <v>0</v>
      </c>
      <c r="O31" s="3103"/>
      <c r="P31" s="3103">
        <f>M31</f>
        <v>0</v>
      </c>
      <c r="Q31" s="3101"/>
      <c r="R31" s="3101"/>
      <c r="S31" s="3101">
        <f>ROUND(IF(项目基本情况!$B$8="出让",SUMPRODUCT(PRODUCT(1+L31:L$46)),SUMPRODUCT(PRODUCT(1+L31:L$45))),4)</f>
        <v>1.0364</v>
      </c>
      <c r="T31" s="3101">
        <f>ROUND(IF(项目基本情况!$B$8="出让",SUMPRODUCT(PRODUCT(1+M31:M$46)),SUMPRODUCT(PRODUCT(1+M31:M$45))),4)</f>
        <v>1.0244</v>
      </c>
      <c r="U31" s="3101">
        <f>ROUND(IF(项目基本情况!$B$8="出让",SUMPRODUCT(PRODUCT(1+N31:N$46)),SUMPRODUCT(PRODUCT(1+N31:N$45))),4)</f>
        <v>1.048</v>
      </c>
      <c r="V31" s="3101"/>
      <c r="W31" s="3101">
        <f>T31</f>
        <v>1.0244</v>
      </c>
      <c r="X31" s="3101"/>
      <c r="Y31" s="3103"/>
      <c r="Z31" s="3121">
        <f t="shared" ref="Z31" si="80">IF(E31=0,0,ROUND(AVERAGE(E31:E44)/100,4))</f>
        <v>0</v>
      </c>
      <c r="AA31" s="3122">
        <f t="shared" ref="AA31" si="81">IF(F31=0,0,ROUND(AVERAGE(F31:F44)/100,4))</f>
        <v>0</v>
      </c>
      <c r="AB31" s="3103">
        <f t="shared" ref="AB31" si="82">IF(G31=0,0,ROUND(AVERAGE(G31:G44)/100,4))</f>
        <v>0</v>
      </c>
      <c r="AC31" s="3123"/>
      <c r="AD31" s="3103">
        <f>IF(I31=0,0,ROUND(AVERAGE(I31:I44)/100,4))</f>
        <v>0</v>
      </c>
    </row>
    <row r="32" spans="1:30">
      <c r="A32" s="3383" t="s">
        <v>3251</v>
      </c>
      <c r="B32" s="3130">
        <v>2024</v>
      </c>
      <c r="C32" s="3131">
        <v>3</v>
      </c>
      <c r="D32" s="3131"/>
      <c r="E32" s="3131">
        <v>-0.66</v>
      </c>
      <c r="F32" s="3131">
        <v>-0.52</v>
      </c>
      <c r="G32" s="3131">
        <v>-2.87</v>
      </c>
      <c r="H32" s="3131"/>
      <c r="I32" s="3132">
        <f t="shared" ref="I32" si="83">F32</f>
        <v>-0.52</v>
      </c>
      <c r="J32" s="3098"/>
      <c r="K32" s="3099"/>
      <c r="L32" s="3100">
        <f t="shared" ref="L32" si="84">E32/100</f>
        <v>-6.6E-3</v>
      </c>
      <c r="M32" s="3100">
        <f t="shared" ref="M32" si="85">F32/100</f>
        <v>-5.1999999999999998E-3</v>
      </c>
      <c r="N32" s="3100">
        <f t="shared" ref="N32" si="86">G32/100</f>
        <v>-2.87E-2</v>
      </c>
      <c r="O32" s="3100"/>
      <c r="P32" s="3100">
        <f>M32</f>
        <v>-5.1999999999999998E-3</v>
      </c>
      <c r="Q32" s="3098"/>
      <c r="R32" s="3109"/>
      <c r="S32" s="3109">
        <f>ROUND(IF(项目基本情况!$B$8="出让",SUMPRODUCT(PRODUCT(1+L32:L$46)),SUMPRODUCT(PRODUCT(1+L32:L$45))),4)</f>
        <v>1.0364</v>
      </c>
      <c r="T32" s="3109">
        <f>ROUND(IF(项目基本情况!$B$8="出让",SUMPRODUCT(PRODUCT(1+M32:M$46)),SUMPRODUCT(PRODUCT(1+M32:M$45))),4)</f>
        <v>1.0244</v>
      </c>
      <c r="U32" s="3109">
        <f>ROUND(IF(项目基本情况!$B$8="出让",SUMPRODUCT(PRODUCT(1+N32:N$46)),SUMPRODUCT(PRODUCT(1+N32:N$45))),4)</f>
        <v>1.048</v>
      </c>
      <c r="V32" s="3109"/>
      <c r="W32" s="3109">
        <f>T32</f>
        <v>1.0244</v>
      </c>
      <c r="X32" s="3098"/>
      <c r="Y32" s="3100"/>
      <c r="Z32" s="3118">
        <f t="shared" ref="Z32:AB33" si="87">IF(E32=0,0,ROUND(AVERAGE(E32:E45)/100,4))</f>
        <v>2.5999999999999999E-3</v>
      </c>
      <c r="AA32" s="3118">
        <f t="shared" si="87"/>
        <v>1.6999999999999999E-3</v>
      </c>
      <c r="AB32" s="3118">
        <f t="shared" si="87"/>
        <v>3.3999999999999998E-3</v>
      </c>
      <c r="AC32" s="3120"/>
      <c r="AD32" s="3100">
        <f>IF(I32=0,0,ROUND(AVERAGE(I32:I45)/100,4))</f>
        <v>1.6999999999999999E-3</v>
      </c>
    </row>
    <row r="33" spans="1:30">
      <c r="A33" s="3081" t="s">
        <v>3260</v>
      </c>
      <c r="B33" s="3130">
        <v>2024</v>
      </c>
      <c r="C33" s="3131">
        <v>2</v>
      </c>
      <c r="D33" s="3131"/>
      <c r="E33" s="3131">
        <v>-0.31</v>
      </c>
      <c r="F33" s="3131">
        <v>-0.39</v>
      </c>
      <c r="G33" s="3131">
        <v>1.23</v>
      </c>
      <c r="H33" s="3137"/>
      <c r="I33" s="3132">
        <f t="shared" ref="I33:I46" si="88">F33</f>
        <v>-0.39</v>
      </c>
      <c r="J33" s="3098"/>
      <c r="K33" s="3099"/>
      <c r="L33" s="3100">
        <f t="shared" ref="L33:N46" si="89">E33/100</f>
        <v>-3.0999999999999999E-3</v>
      </c>
      <c r="M33" s="3100">
        <f t="shared" si="89"/>
        <v>-3.9000000000000003E-3</v>
      </c>
      <c r="N33" s="3100">
        <f t="shared" si="89"/>
        <v>1.23E-2</v>
      </c>
      <c r="O33" s="3100"/>
      <c r="P33" s="3100">
        <f>M33</f>
        <v>-3.9000000000000003E-3</v>
      </c>
      <c r="Q33" s="3098"/>
      <c r="R33" s="3109"/>
      <c r="S33" s="3109">
        <f>ROUND(IF(项目基本情况!$B$8="出让",SUMPRODUCT(PRODUCT(1+L33:L$46)),SUMPRODUCT(PRODUCT(1+L33:L$45))),4)</f>
        <v>1.0432999999999999</v>
      </c>
      <c r="T33" s="3109">
        <f>ROUND(IF(项目基本情况!$B$8="出让",SUMPRODUCT(PRODUCT(1+M33:M$46)),SUMPRODUCT(PRODUCT(1+M33:M$45))),4)</f>
        <v>1.0298</v>
      </c>
      <c r="U33" s="3109">
        <f>ROUND(IF(项目基本情况!$B$8="出让",SUMPRODUCT(PRODUCT(1+N33:N$46)),SUMPRODUCT(PRODUCT(1+N33:N$45))),4)</f>
        <v>1.079</v>
      </c>
      <c r="V33" s="3109"/>
      <c r="W33" s="3109">
        <f>T33</f>
        <v>1.0298</v>
      </c>
      <c r="X33" s="3098"/>
      <c r="Y33" s="3100"/>
      <c r="Z33" s="3118">
        <f t="shared" si="87"/>
        <v>3.3E-3</v>
      </c>
      <c r="AA33" s="3119">
        <f t="shared" si="87"/>
        <v>2.3999999999999998E-3</v>
      </c>
      <c r="AB33" s="3100">
        <f t="shared" si="87"/>
        <v>6.1999999999999998E-3</v>
      </c>
      <c r="AC33" s="3120"/>
      <c r="AD33" s="3100">
        <f>IF(I33=0,0,ROUND(AVERAGE(I33:I46)/100,4))</f>
        <v>2.3999999999999998E-3</v>
      </c>
    </row>
    <row r="34" spans="1:30">
      <c r="A34" s="3081" t="s">
        <v>3253</v>
      </c>
      <c r="B34" s="3130">
        <v>2024</v>
      </c>
      <c r="C34" s="3131">
        <v>1</v>
      </c>
      <c r="D34" s="3131"/>
      <c r="E34" s="3131">
        <v>0.25</v>
      </c>
      <c r="F34" s="3131">
        <v>0.4</v>
      </c>
      <c r="G34" s="3131">
        <v>-0.63</v>
      </c>
      <c r="H34" s="3137"/>
      <c r="I34" s="3132">
        <f t="shared" si="88"/>
        <v>0.4</v>
      </c>
      <c r="J34" s="3098"/>
      <c r="K34" s="3099"/>
      <c r="L34" s="3100">
        <f t="shared" ref="L34" si="90">E34/100</f>
        <v>2.5000000000000001E-3</v>
      </c>
      <c r="M34" s="3100">
        <f t="shared" ref="M34" si="91">F34/100</f>
        <v>4.0000000000000001E-3</v>
      </c>
      <c r="N34" s="3100">
        <f t="shared" ref="N34" si="92">G34/100</f>
        <v>-6.3E-3</v>
      </c>
      <c r="O34" s="3100"/>
      <c r="P34" s="3100">
        <f t="shared" ref="P34" si="93">M34</f>
        <v>4.0000000000000001E-3</v>
      </c>
      <c r="Q34" s="3098"/>
      <c r="R34" s="3109"/>
      <c r="S34" s="3109">
        <f>ROUND(IF(项目基本情况!$B$8="出让",SUMPRODUCT(PRODUCT(1+L34:L$46)),SUMPRODUCT(PRODUCT(1+L34:L$45))),4)</f>
        <v>1.0465</v>
      </c>
      <c r="T34" s="3109">
        <f>ROUND(IF(项目基本情况!$B$8="出让",SUMPRODUCT(PRODUCT(1+M34:M$46)),SUMPRODUCT(PRODUCT(1+M34:M$45))),4)</f>
        <v>1.0338000000000001</v>
      </c>
      <c r="U34" s="3109">
        <f>ROUND(IF(项目基本情况!$B$8="出让",SUMPRODUCT(PRODUCT(1+N34:N$46)),SUMPRODUCT(PRODUCT(1+N34:N$45))),4)</f>
        <v>1.0659000000000001</v>
      </c>
      <c r="V34" s="3109"/>
      <c r="W34" s="3109">
        <f t="shared" ref="W34" si="94">T34</f>
        <v>1.0338000000000001</v>
      </c>
      <c r="X34" s="3098"/>
      <c r="Y34" s="3100"/>
      <c r="Z34" s="3118">
        <f t="shared" ref="Z34" si="95">IF(E34=0,0,ROUND(AVERAGE(E34:E45)/100,4))</f>
        <v>3.8E-3</v>
      </c>
      <c r="AA34" s="3119">
        <f t="shared" ref="AA34" si="96">IF(F34=0,0,ROUND(AVERAGE(F34:F45)/100,4))</f>
        <v>2.8E-3</v>
      </c>
      <c r="AB34" s="3100">
        <f t="shared" ref="AB34" si="97">IF(G34=0,0,ROUND(AVERAGE(G34:G45)/100,4))</f>
        <v>5.3E-3</v>
      </c>
      <c r="AC34" s="3120"/>
      <c r="AD34" s="3100">
        <f t="shared" ref="AD34" si="98">IF(I34=0,0,ROUND(AVERAGE(I34:I45)/100,4))</f>
        <v>2.8E-3</v>
      </c>
    </row>
    <row r="35" spans="1:30">
      <c r="A35" s="3081" t="s">
        <v>3249</v>
      </c>
      <c r="B35" s="3130">
        <v>2023</v>
      </c>
      <c r="C35" s="3131">
        <v>4</v>
      </c>
      <c r="D35" s="3131"/>
      <c r="E35" s="3131">
        <v>7.0000000000000007E-2</v>
      </c>
      <c r="F35" s="3131">
        <v>0.09</v>
      </c>
      <c r="G35" s="3131">
        <v>0.03</v>
      </c>
      <c r="H35" s="3137"/>
      <c r="I35" s="3132">
        <f t="shared" ref="I35" si="99">F35</f>
        <v>0.09</v>
      </c>
      <c r="J35" s="3098"/>
      <c r="K35" s="3099"/>
      <c r="L35" s="3100">
        <f t="shared" si="89"/>
        <v>7.000000000000001E-4</v>
      </c>
      <c r="M35" s="3100">
        <f t="shared" si="89"/>
        <v>8.9999999999999998E-4</v>
      </c>
      <c r="N35" s="3100">
        <f t="shared" si="89"/>
        <v>2.9999999999999997E-4</v>
      </c>
      <c r="O35" s="3100"/>
      <c r="P35" s="3100">
        <f t="shared" ref="P35" si="100">M35</f>
        <v>8.9999999999999998E-4</v>
      </c>
      <c r="Q35" s="3098"/>
      <c r="R35" s="3109"/>
      <c r="S35" s="3109">
        <f>ROUND(IF(项目基本情况!$B$8="出让",SUMPRODUCT(PRODUCT(1+L35:L$46)),SUMPRODUCT(PRODUCT(1+L35:L$45))),4)</f>
        <v>1.0439000000000001</v>
      </c>
      <c r="T35" s="3109">
        <f>ROUND(IF(项目基本情况!$B$8="出让",SUMPRODUCT(PRODUCT(1+M35:M$46)),SUMPRODUCT(PRODUCT(1+M35:M$45))),4)</f>
        <v>1.0297000000000001</v>
      </c>
      <c r="U35" s="3109">
        <f>ROUND(IF(项目基本情况!$B$8="出让",SUMPRODUCT(PRODUCT(1+N35:N$46)),SUMPRODUCT(PRODUCT(1+N35:N$45))),4)</f>
        <v>1.0727</v>
      </c>
      <c r="V35" s="3109"/>
      <c r="W35" s="3109">
        <f t="shared" ref="W35" si="101">T35</f>
        <v>1.0297000000000001</v>
      </c>
      <c r="X35" s="3098"/>
      <c r="Y35" s="3100"/>
      <c r="Z35" s="3118">
        <f t="shared" ref="Z35" si="102">IF(E35=0,0,ROUND(AVERAGE(E35:E46)/100,4))</f>
        <v>3.8999999999999998E-3</v>
      </c>
      <c r="AA35" s="3119">
        <f t="shared" ref="AA35" si="103">IF(F35=0,0,ROUND(AVERAGE(F35:F46)/100,4))</f>
        <v>2.8E-3</v>
      </c>
      <c r="AB35" s="3100">
        <f t="shared" ref="AB35" si="104">IF(G35=0,0,ROUND(AVERAGE(G35:G46)/100,4))</f>
        <v>6.7000000000000002E-3</v>
      </c>
      <c r="AC35" s="3120"/>
      <c r="AD35" s="3100">
        <f t="shared" ref="AD35" si="105">IF(I35=0,0,ROUND(AVERAGE(I35:I46)/100,4))</f>
        <v>2.8E-3</v>
      </c>
    </row>
    <row r="36" spans="1:30">
      <c r="A36" s="3081" t="s">
        <v>3247</v>
      </c>
      <c r="B36" s="3130">
        <v>2023</v>
      </c>
      <c r="C36" s="3131">
        <v>3</v>
      </c>
      <c r="D36" s="3131"/>
      <c r="E36" s="3131">
        <v>0.35</v>
      </c>
      <c r="F36" s="3131">
        <v>0.17</v>
      </c>
      <c r="G36" s="3131">
        <v>0.52</v>
      </c>
      <c r="H36" s="3137"/>
      <c r="I36" s="3132">
        <f t="shared" si="88"/>
        <v>0.17</v>
      </c>
      <c r="J36" s="3098"/>
      <c r="K36" s="3099"/>
      <c r="L36" s="3100">
        <f t="shared" ref="L36:L38" si="106">E36/100</f>
        <v>3.4999999999999996E-3</v>
      </c>
      <c r="M36" s="3100">
        <f t="shared" ref="M36:M38" si="107">F36/100</f>
        <v>1.7000000000000001E-3</v>
      </c>
      <c r="N36" s="3100">
        <f t="shared" ref="N36:N38" si="108">G36/100</f>
        <v>5.1999999999999998E-3</v>
      </c>
      <c r="O36" s="3100"/>
      <c r="P36" s="3100">
        <f t="shared" ref="P36:P38" si="109">M36</f>
        <v>1.7000000000000001E-3</v>
      </c>
      <c r="Q36" s="3098"/>
      <c r="R36" s="3109"/>
      <c r="S36" s="3109">
        <f>ROUND(IF(项目基本情况!$B$8="出让",SUMPRODUCT(PRODUCT(1+L36:L$46)),SUMPRODUCT(PRODUCT(1+L36:L$45))),4)</f>
        <v>1.0431999999999999</v>
      </c>
      <c r="T36" s="3109">
        <f>ROUND(IF(项目基本情况!$B$8="出让",SUMPRODUCT(PRODUCT(1+M36:M$46)),SUMPRODUCT(PRODUCT(1+M36:M$45))),4)</f>
        <v>1.0286999999999999</v>
      </c>
      <c r="U36" s="3109">
        <f>ROUND(IF(项目基本情况!$B$8="出让",SUMPRODUCT(PRODUCT(1+N36:N$46)),SUMPRODUCT(PRODUCT(1+N36:N$45))),4)</f>
        <v>1.0723</v>
      </c>
      <c r="V36" s="3109"/>
      <c r="W36" s="3109">
        <f t="shared" ref="W36:W38" si="110">T36</f>
        <v>1.0286999999999999</v>
      </c>
      <c r="X36" s="3098"/>
      <c r="Y36" s="3100"/>
      <c r="Z36" s="3118">
        <f t="shared" ref="Z36:AB36" si="111">IF(E36=0,0,ROUND(AVERAGE(E36:E47)/100,4))</f>
        <v>4.1999999999999997E-3</v>
      </c>
      <c r="AA36" s="3119">
        <f t="shared" si="111"/>
        <v>3.0000000000000001E-3</v>
      </c>
      <c r="AB36" s="3100">
        <f t="shared" si="111"/>
        <v>7.3000000000000001E-3</v>
      </c>
      <c r="AC36" s="3120"/>
      <c r="AD36" s="3100">
        <f t="shared" ref="AD36:AD38" si="112">IF(I36=0,0,ROUND(AVERAGE(I36:I47)/100,4))</f>
        <v>3.0000000000000001E-3</v>
      </c>
    </row>
    <row r="37" spans="1:30">
      <c r="A37" s="3081" t="s">
        <v>3246</v>
      </c>
      <c r="B37" s="3130">
        <v>2023</v>
      </c>
      <c r="C37" s="3131">
        <v>2</v>
      </c>
      <c r="D37" s="3131"/>
      <c r="E37" s="3131">
        <v>0.5</v>
      </c>
      <c r="F37" s="3131">
        <v>0.45</v>
      </c>
      <c r="G37" s="3131">
        <v>0.89</v>
      </c>
      <c r="H37" s="3137"/>
      <c r="I37" s="3132">
        <f t="shared" si="88"/>
        <v>0.45</v>
      </c>
      <c r="J37" s="3098"/>
      <c r="K37" s="3099"/>
      <c r="L37" s="3100">
        <f t="shared" si="106"/>
        <v>5.0000000000000001E-3</v>
      </c>
      <c r="M37" s="3100">
        <f t="shared" si="107"/>
        <v>4.5000000000000005E-3</v>
      </c>
      <c r="N37" s="3100">
        <f t="shared" si="108"/>
        <v>8.8999999999999999E-3</v>
      </c>
      <c r="O37" s="3100"/>
      <c r="P37" s="3100">
        <f t="shared" si="109"/>
        <v>4.5000000000000005E-3</v>
      </c>
      <c r="Q37" s="3098"/>
      <c r="R37" s="3109"/>
      <c r="S37" s="3109">
        <f>ROUND(IF(项目基本情况!$B$8="出让",SUMPRODUCT(PRODUCT(1+L37:L$46)),SUMPRODUCT(PRODUCT(1+L37:L$45))),4)</f>
        <v>1.0396000000000001</v>
      </c>
      <c r="T37" s="3109">
        <f>ROUND(IF(项目基本情况!$B$8="出让",SUMPRODUCT(PRODUCT(1+M37:M$46)),SUMPRODUCT(PRODUCT(1+M37:M$45))),4)</f>
        <v>1.0269999999999999</v>
      </c>
      <c r="U37" s="3109">
        <f>ROUND(IF(项目基本情况!$B$8="出让",SUMPRODUCT(PRODUCT(1+N37:N$46)),SUMPRODUCT(PRODUCT(1+N37:N$45))),4)</f>
        <v>1.0668</v>
      </c>
      <c r="V37" s="3109"/>
      <c r="W37" s="3109">
        <f t="shared" si="110"/>
        <v>1.0269999999999999</v>
      </c>
      <c r="X37" s="3098"/>
      <c r="Y37" s="3100"/>
      <c r="Z37" s="3118">
        <f t="shared" ref="Z37:AB37" si="113">IF(E37=0,0,ROUND(AVERAGE(E37:E48)/100,4))</f>
        <v>4.1999999999999997E-3</v>
      </c>
      <c r="AA37" s="3119">
        <f t="shared" si="113"/>
        <v>3.2000000000000002E-3</v>
      </c>
      <c r="AB37" s="3100">
        <f t="shared" si="113"/>
        <v>7.4999999999999997E-3</v>
      </c>
      <c r="AC37" s="3120"/>
      <c r="AD37" s="3100">
        <f t="shared" si="112"/>
        <v>3.2000000000000002E-3</v>
      </c>
    </row>
    <row r="38" spans="1:30">
      <c r="A38" s="3081" t="s">
        <v>3244</v>
      </c>
      <c r="B38" s="3130">
        <v>2023</v>
      </c>
      <c r="C38" s="3131">
        <v>1</v>
      </c>
      <c r="D38" s="3131"/>
      <c r="E38" s="3131">
        <v>0.55000000000000004</v>
      </c>
      <c r="F38" s="3131">
        <v>0.59</v>
      </c>
      <c r="G38" s="3131">
        <v>0.64</v>
      </c>
      <c r="H38" s="3137"/>
      <c r="I38" s="3132">
        <f t="shared" si="88"/>
        <v>0.59</v>
      </c>
      <c r="J38" s="3098"/>
      <c r="K38" s="3099"/>
      <c r="L38" s="3100">
        <f t="shared" si="106"/>
        <v>5.5000000000000005E-3</v>
      </c>
      <c r="M38" s="3100">
        <f t="shared" si="107"/>
        <v>5.8999999999999999E-3</v>
      </c>
      <c r="N38" s="3100">
        <f t="shared" si="108"/>
        <v>6.4000000000000003E-3</v>
      </c>
      <c r="O38" s="3100"/>
      <c r="P38" s="3100">
        <f t="shared" si="109"/>
        <v>5.8999999999999999E-3</v>
      </c>
      <c r="Q38" s="3098"/>
      <c r="R38" s="3109"/>
      <c r="S38" s="3109">
        <f>ROUND(IF(项目基本情况!$B$8="出让",SUMPRODUCT(PRODUCT(1+L38:L$46)),SUMPRODUCT(PRODUCT(1+L38:L$45))),4)</f>
        <v>1.0344</v>
      </c>
      <c r="T38" s="3109">
        <f>ROUND(IF(项目基本情况!$B$8="出让",SUMPRODUCT(PRODUCT(1+M38:M$46)),SUMPRODUCT(PRODUCT(1+M38:M$45))),4)</f>
        <v>1.0224</v>
      </c>
      <c r="U38" s="3109">
        <f>ROUND(IF(项目基本情况!$B$8="出让",SUMPRODUCT(PRODUCT(1+N38:N$46)),SUMPRODUCT(PRODUCT(1+N38:N$45))),4)</f>
        <v>1.0573999999999999</v>
      </c>
      <c r="V38" s="3109"/>
      <c r="W38" s="3109">
        <f t="shared" si="110"/>
        <v>1.0224</v>
      </c>
      <c r="X38" s="3098"/>
      <c r="Y38" s="3100"/>
      <c r="Z38" s="3118">
        <f t="shared" ref="Z38:AB38" si="114">IF(E38=0,0,ROUND(AVERAGE(E38:E49)/100,4))</f>
        <v>4.1999999999999997E-3</v>
      </c>
      <c r="AA38" s="3119">
        <f t="shared" si="114"/>
        <v>3.0000000000000001E-3</v>
      </c>
      <c r="AB38" s="3100">
        <f t="shared" si="114"/>
        <v>7.3000000000000001E-3</v>
      </c>
      <c r="AC38" s="3120"/>
      <c r="AD38" s="3100">
        <f t="shared" si="112"/>
        <v>3.0000000000000001E-3</v>
      </c>
    </row>
    <row r="39" spans="1:30">
      <c r="A39" s="3081" t="s">
        <v>3242</v>
      </c>
      <c r="B39" s="3130">
        <v>2022</v>
      </c>
      <c r="C39" s="3131">
        <v>4</v>
      </c>
      <c r="D39" s="3131"/>
      <c r="E39" s="3131">
        <v>0.45</v>
      </c>
      <c r="F39" s="3131">
        <v>0.2</v>
      </c>
      <c r="G39" s="3131">
        <v>0.38</v>
      </c>
      <c r="H39" s="3137"/>
      <c r="I39" s="3132">
        <f t="shared" si="88"/>
        <v>0.2</v>
      </c>
      <c r="J39" s="3098"/>
      <c r="K39" s="3099"/>
      <c r="L39" s="3100">
        <f t="shared" si="89"/>
        <v>4.5000000000000005E-3</v>
      </c>
      <c r="M39" s="3100">
        <f t="shared" si="89"/>
        <v>2E-3</v>
      </c>
      <c r="N39" s="3100">
        <f t="shared" si="89"/>
        <v>3.8E-3</v>
      </c>
      <c r="O39" s="3100"/>
      <c r="P39" s="3100">
        <f t="shared" ref="P39:P46" si="115">M39</f>
        <v>2E-3</v>
      </c>
      <c r="Q39" s="3098"/>
      <c r="R39" s="3109"/>
      <c r="S39" s="3109">
        <f>ROUND(IF(项目基本情况!$B$8="出让",SUMPRODUCT(PRODUCT(1+L39:L$46)),SUMPRODUCT(PRODUCT(1+L39:L$45))),4)</f>
        <v>1.0286999999999999</v>
      </c>
      <c r="T39" s="3109">
        <f>ROUND(IF(项目基本情况!$B$8="出让",SUMPRODUCT(PRODUCT(1+M39:M$46)),SUMPRODUCT(PRODUCT(1+M39:M$45))),4)</f>
        <v>1.0164</v>
      </c>
      <c r="U39" s="3109">
        <f>ROUND(IF(项目基本情况!$B$8="出让",SUMPRODUCT(PRODUCT(1+N39:N$46)),SUMPRODUCT(PRODUCT(1+N39:N$45))),4)</f>
        <v>1.0506</v>
      </c>
      <c r="V39" s="3109"/>
      <c r="W39" s="3109">
        <f t="shared" ref="W39:W46" si="116">T39</f>
        <v>1.0164</v>
      </c>
      <c r="X39" s="3098"/>
      <c r="Y39" s="3100"/>
      <c r="Z39" s="3118">
        <f t="shared" ref="Z39:AD46" si="117">IF(E39=0,0,ROUND(AVERAGE(E39:E47)/100,4))</f>
        <v>4.0000000000000001E-3</v>
      </c>
      <c r="AA39" s="3119">
        <f t="shared" si="117"/>
        <v>2.5999999999999999E-3</v>
      </c>
      <c r="AB39" s="3100">
        <f t="shared" si="117"/>
        <v>7.4000000000000003E-3</v>
      </c>
      <c r="AC39" s="3120"/>
      <c r="AD39" s="3100">
        <f t="shared" si="117"/>
        <v>2.5999999999999999E-3</v>
      </c>
    </row>
    <row r="40" spans="1:30">
      <c r="A40" s="3081" t="s">
        <v>3240</v>
      </c>
      <c r="B40" s="3130">
        <v>2022</v>
      </c>
      <c r="C40" s="3131">
        <v>3</v>
      </c>
      <c r="D40" s="3131"/>
      <c r="E40" s="3131">
        <v>0.3</v>
      </c>
      <c r="F40" s="3131">
        <v>0.28999999999999998</v>
      </c>
      <c r="G40" s="3131">
        <v>0.83</v>
      </c>
      <c r="H40" s="3137"/>
      <c r="I40" s="3132">
        <f t="shared" si="88"/>
        <v>0.28999999999999998</v>
      </c>
      <c r="J40" s="3098"/>
      <c r="K40" s="3099"/>
      <c r="L40" s="3100">
        <f t="shared" si="89"/>
        <v>3.0000000000000001E-3</v>
      </c>
      <c r="M40" s="3100">
        <f t="shared" si="89"/>
        <v>2.8999999999999998E-3</v>
      </c>
      <c r="N40" s="3100">
        <f t="shared" si="89"/>
        <v>8.3000000000000001E-3</v>
      </c>
      <c r="O40" s="3100"/>
      <c r="P40" s="3100">
        <f t="shared" si="115"/>
        <v>2.8999999999999998E-3</v>
      </c>
      <c r="Q40" s="3098"/>
      <c r="R40" s="3109"/>
      <c r="S40" s="3109">
        <f>ROUND(IF(项目基本情况!$B$8="出让",SUMPRODUCT(PRODUCT(1+L40:L$46)),SUMPRODUCT(PRODUCT(1+L40:L$45))),4)</f>
        <v>1.0241</v>
      </c>
      <c r="T40" s="3109">
        <f>ROUND(IF(项目基本情况!$B$8="出让",SUMPRODUCT(PRODUCT(1+M40:M$46)),SUMPRODUCT(PRODUCT(1+M40:M$45))),4)</f>
        <v>1.0144</v>
      </c>
      <c r="U40" s="3109">
        <f>ROUND(IF(项目基本情况!$B$8="出让",SUMPRODUCT(PRODUCT(1+N40:N$46)),SUMPRODUCT(PRODUCT(1+N40:N$45))),4)</f>
        <v>1.0467</v>
      </c>
      <c r="V40" s="3109"/>
      <c r="W40" s="3109">
        <f t="shared" si="116"/>
        <v>1.0144</v>
      </c>
      <c r="X40" s="3098"/>
      <c r="Y40" s="3100"/>
      <c r="Z40" s="3118">
        <f t="shared" si="117"/>
        <v>3.8999999999999998E-3</v>
      </c>
      <c r="AA40" s="3119">
        <f t="shared" si="117"/>
        <v>2.7000000000000001E-3</v>
      </c>
      <c r="AB40" s="3100">
        <f t="shared" si="117"/>
        <v>7.9000000000000008E-3</v>
      </c>
      <c r="AC40" s="3120"/>
      <c r="AD40" s="3100">
        <f t="shared" si="117"/>
        <v>2.7000000000000001E-3</v>
      </c>
    </row>
    <row r="41" spans="1:30">
      <c r="A41" s="3081" t="s">
        <v>3239</v>
      </c>
      <c r="B41" s="3130">
        <v>2022</v>
      </c>
      <c r="C41" s="3131">
        <v>2</v>
      </c>
      <c r="D41" s="3131"/>
      <c r="E41" s="3131">
        <v>-0.11</v>
      </c>
      <c r="F41" s="3131">
        <v>-0.13</v>
      </c>
      <c r="G41" s="3131">
        <v>0.53</v>
      </c>
      <c r="H41" s="3137"/>
      <c r="I41" s="3132">
        <f t="shared" si="88"/>
        <v>-0.13</v>
      </c>
      <c r="J41" s="3098"/>
      <c r="K41" s="3099"/>
      <c r="L41" s="3100">
        <f t="shared" si="89"/>
        <v>-1.1000000000000001E-3</v>
      </c>
      <c r="M41" s="3100">
        <f t="shared" si="89"/>
        <v>-1.2999999999999999E-3</v>
      </c>
      <c r="N41" s="3100">
        <f t="shared" si="89"/>
        <v>5.3E-3</v>
      </c>
      <c r="O41" s="3100"/>
      <c r="P41" s="3100">
        <f t="shared" si="115"/>
        <v>-1.2999999999999999E-3</v>
      </c>
      <c r="Q41" s="3098"/>
      <c r="R41" s="3109"/>
      <c r="S41" s="3109">
        <f>ROUND(IF(项目基本情况!$B$8="出让",SUMPRODUCT(PRODUCT(1+L41:L$46)),SUMPRODUCT(PRODUCT(1+L41:L$45))),4)</f>
        <v>1.0210999999999999</v>
      </c>
      <c r="T41" s="3109">
        <f>ROUND(IF(项目基本情况!$B$8="出让",SUMPRODUCT(PRODUCT(1+M41:M$46)),SUMPRODUCT(PRODUCT(1+M41:M$45))),4)</f>
        <v>1.0114000000000001</v>
      </c>
      <c r="U41" s="3109">
        <f>ROUND(IF(项目基本情况!$B$8="出让",SUMPRODUCT(PRODUCT(1+N41:N$46)),SUMPRODUCT(PRODUCT(1+N41:N$45))),4)</f>
        <v>1.0381</v>
      </c>
      <c r="V41" s="3109"/>
      <c r="W41" s="3109">
        <f t="shared" si="116"/>
        <v>1.0114000000000001</v>
      </c>
      <c r="X41" s="3098"/>
      <c r="Y41" s="3100"/>
      <c r="Z41" s="3118">
        <f t="shared" si="117"/>
        <v>4.1000000000000003E-3</v>
      </c>
      <c r="AA41" s="3119">
        <f t="shared" si="117"/>
        <v>2.7000000000000001E-3</v>
      </c>
      <c r="AB41" s="3100">
        <f t="shared" si="117"/>
        <v>7.9000000000000008E-3</v>
      </c>
      <c r="AC41" s="3120"/>
      <c r="AD41" s="3100">
        <f t="shared" si="117"/>
        <v>2.7000000000000001E-3</v>
      </c>
    </row>
    <row r="42" spans="1:30">
      <c r="A42" s="3081" t="s">
        <v>2775</v>
      </c>
      <c r="B42" s="3130">
        <v>2022</v>
      </c>
      <c r="C42" s="3131">
        <v>1</v>
      </c>
      <c r="D42" s="3131"/>
      <c r="E42" s="3131">
        <v>0.6</v>
      </c>
      <c r="F42" s="3131">
        <v>0.45</v>
      </c>
      <c r="G42" s="3131">
        <v>0.53</v>
      </c>
      <c r="H42" s="3137"/>
      <c r="I42" s="3132">
        <f t="shared" si="88"/>
        <v>0.45</v>
      </c>
      <c r="J42" s="3098"/>
      <c r="K42" s="3099"/>
      <c r="L42" s="3100">
        <f t="shared" si="89"/>
        <v>6.0000000000000001E-3</v>
      </c>
      <c r="M42" s="3100">
        <f t="shared" si="89"/>
        <v>4.5000000000000005E-3</v>
      </c>
      <c r="N42" s="3100">
        <f t="shared" si="89"/>
        <v>5.3E-3</v>
      </c>
      <c r="O42" s="3100"/>
      <c r="P42" s="3100">
        <f t="shared" si="115"/>
        <v>4.5000000000000005E-3</v>
      </c>
      <c r="Q42" s="3098"/>
      <c r="R42" s="3109"/>
      <c r="S42" s="3109">
        <f>ROUND(IF(项目基本情况!$B$8="出让",SUMPRODUCT(PRODUCT(1+L42:L$46)),SUMPRODUCT(PRODUCT(1+L42:L$45))),4)</f>
        <v>1.0222</v>
      </c>
      <c r="T42" s="3109">
        <f>ROUND(IF(项目基本情况!$B$8="出让",SUMPRODUCT(PRODUCT(1+M42:M$46)),SUMPRODUCT(PRODUCT(1+M42:M$45))),4)</f>
        <v>1.0127999999999999</v>
      </c>
      <c r="U42" s="3109">
        <f>ROUND(IF(项目基本情况!$B$8="出让",SUMPRODUCT(PRODUCT(1+N42:N$46)),SUMPRODUCT(PRODUCT(1+N42:N$45))),4)</f>
        <v>1.0326</v>
      </c>
      <c r="V42" s="3109"/>
      <c r="W42" s="3109">
        <f t="shared" si="116"/>
        <v>1.0127999999999999</v>
      </c>
      <c r="X42" s="3098"/>
      <c r="Y42" s="3100"/>
      <c r="Z42" s="3118">
        <f t="shared" si="117"/>
        <v>5.1000000000000004E-3</v>
      </c>
      <c r="AA42" s="3119">
        <f t="shared" si="117"/>
        <v>3.5000000000000001E-3</v>
      </c>
      <c r="AB42" s="3100">
        <f t="shared" si="117"/>
        <v>8.3999999999999995E-3</v>
      </c>
      <c r="AC42" s="3120"/>
      <c r="AD42" s="3100">
        <f t="shared" si="117"/>
        <v>3.5000000000000001E-3</v>
      </c>
    </row>
    <row r="43" spans="1:30">
      <c r="A43" s="3081" t="s">
        <v>2776</v>
      </c>
      <c r="B43" s="3130">
        <v>2021</v>
      </c>
      <c r="C43" s="3131">
        <v>4</v>
      </c>
      <c r="D43" s="3131"/>
      <c r="E43" s="3131">
        <v>0.57999999999999996</v>
      </c>
      <c r="F43" s="3131">
        <v>0.08</v>
      </c>
      <c r="G43" s="3131">
        <v>0.68</v>
      </c>
      <c r="H43" s="3137"/>
      <c r="I43" s="3132">
        <f t="shared" si="88"/>
        <v>0.08</v>
      </c>
      <c r="J43" s="3098"/>
      <c r="K43" s="3099"/>
      <c r="L43" s="3100">
        <f t="shared" si="89"/>
        <v>5.7999999999999996E-3</v>
      </c>
      <c r="M43" s="3100">
        <f t="shared" si="89"/>
        <v>8.0000000000000004E-4</v>
      </c>
      <c r="N43" s="3100">
        <f t="shared" si="89"/>
        <v>6.8000000000000005E-3</v>
      </c>
      <c r="O43" s="3100"/>
      <c r="P43" s="3100">
        <f t="shared" si="115"/>
        <v>8.0000000000000004E-4</v>
      </c>
      <c r="Q43" s="3098"/>
      <c r="R43" s="3109"/>
      <c r="S43" s="3109">
        <f>ROUND(IF(项目基本情况!$B$8="出让",SUMPRODUCT(PRODUCT(1+L43:L$46)),SUMPRODUCT(PRODUCT(1+L43:L$45))),4)</f>
        <v>1.0161</v>
      </c>
      <c r="T43" s="3109">
        <f>ROUND(IF(项目基本情况!$B$8="出让",SUMPRODUCT(PRODUCT(1+M43:M$46)),SUMPRODUCT(PRODUCT(1+M43:M$45))),4)</f>
        <v>1.0082</v>
      </c>
      <c r="U43" s="3109">
        <f>ROUND(IF(项目基本情况!$B$8="出让",SUMPRODUCT(PRODUCT(1+N43:N$46)),SUMPRODUCT(PRODUCT(1+N43:N$45))),4)</f>
        <v>1.0270999999999999</v>
      </c>
      <c r="V43" s="3109"/>
      <c r="W43" s="3109">
        <f t="shared" si="116"/>
        <v>1.0082</v>
      </c>
      <c r="X43" s="3098"/>
      <c r="Y43" s="3100"/>
      <c r="Z43" s="3118">
        <f t="shared" si="117"/>
        <v>4.8999999999999998E-3</v>
      </c>
      <c r="AA43" s="3119">
        <f t="shared" si="117"/>
        <v>3.3E-3</v>
      </c>
      <c r="AB43" s="3100">
        <f t="shared" si="117"/>
        <v>9.1999999999999998E-3</v>
      </c>
      <c r="AC43" s="3120"/>
      <c r="AD43" s="3100">
        <f t="shared" si="117"/>
        <v>3.3E-3</v>
      </c>
    </row>
    <row r="44" spans="1:30">
      <c r="A44" s="3081" t="s">
        <v>2777</v>
      </c>
      <c r="B44" s="3130">
        <v>2021</v>
      </c>
      <c r="C44" s="3131">
        <v>3</v>
      </c>
      <c r="D44" s="3131"/>
      <c r="E44" s="3131">
        <v>0.47</v>
      </c>
      <c r="F44" s="3131">
        <v>0.28000000000000003</v>
      </c>
      <c r="G44" s="3131">
        <v>0.91</v>
      </c>
      <c r="H44" s="3137"/>
      <c r="I44" s="3132">
        <f t="shared" si="88"/>
        <v>0.28000000000000003</v>
      </c>
      <c r="J44" s="3098"/>
      <c r="K44" s="3099"/>
      <c r="L44" s="3100">
        <f t="shared" si="89"/>
        <v>4.6999999999999993E-3</v>
      </c>
      <c r="M44" s="3100">
        <f t="shared" si="89"/>
        <v>2.8000000000000004E-3</v>
      </c>
      <c r="N44" s="3100">
        <f t="shared" si="89"/>
        <v>9.1000000000000004E-3</v>
      </c>
      <c r="O44" s="3100"/>
      <c r="P44" s="3100">
        <f t="shared" si="115"/>
        <v>2.8000000000000004E-3</v>
      </c>
      <c r="Q44" s="3098"/>
      <c r="R44" s="3109"/>
      <c r="S44" s="3109">
        <f>ROUND(IF(项目基本情况!$B$8="出让",SUMPRODUCT(PRODUCT(1+L44:L$46)),SUMPRODUCT(PRODUCT(1+L44:L$45))),4)</f>
        <v>1.0102</v>
      </c>
      <c r="T44" s="3109">
        <f>ROUND(IF(项目基本情况!$B$8="出让",SUMPRODUCT(PRODUCT(1+M44:M$46)),SUMPRODUCT(PRODUCT(1+M44:M$45))),4)</f>
        <v>1.0074000000000001</v>
      </c>
      <c r="U44" s="3109">
        <f>ROUND(IF(项目基本情况!$B$8="出让",SUMPRODUCT(PRODUCT(1+N44:N$46)),SUMPRODUCT(PRODUCT(1+N44:N$45))),4)</f>
        <v>1.0202</v>
      </c>
      <c r="V44" s="3109"/>
      <c r="W44" s="3109">
        <f t="shared" si="116"/>
        <v>1.0074000000000001</v>
      </c>
      <c r="X44" s="3098"/>
      <c r="Y44" s="3100"/>
      <c r="Z44" s="3118">
        <f t="shared" si="117"/>
        <v>4.5999999999999999E-3</v>
      </c>
      <c r="AA44" s="3119">
        <f t="shared" si="117"/>
        <v>4.1000000000000003E-3</v>
      </c>
      <c r="AB44" s="3100">
        <f t="shared" si="117"/>
        <v>0.01</v>
      </c>
      <c r="AC44" s="3120"/>
      <c r="AD44" s="3100">
        <f t="shared" si="117"/>
        <v>4.1000000000000003E-3</v>
      </c>
    </row>
    <row r="45" spans="1:30">
      <c r="A45" s="3081" t="s">
        <v>2781</v>
      </c>
      <c r="B45" s="3130">
        <v>2021</v>
      </c>
      <c r="C45" s="3131">
        <v>2</v>
      </c>
      <c r="D45" s="3131"/>
      <c r="E45" s="3131">
        <v>0.55000000000000004</v>
      </c>
      <c r="F45" s="3131">
        <v>0.46</v>
      </c>
      <c r="G45" s="3131">
        <v>1.1000000000000001</v>
      </c>
      <c r="H45" s="3137"/>
      <c r="I45" s="3132">
        <f t="shared" si="88"/>
        <v>0.46</v>
      </c>
      <c r="J45" s="3098"/>
      <c r="K45" s="3099"/>
      <c r="L45" s="3100">
        <f t="shared" si="89"/>
        <v>5.5000000000000005E-3</v>
      </c>
      <c r="M45" s="3100">
        <f t="shared" si="89"/>
        <v>4.5999999999999999E-3</v>
      </c>
      <c r="N45" s="3100">
        <f t="shared" si="89"/>
        <v>1.1000000000000001E-2</v>
      </c>
      <c r="O45" s="3100"/>
      <c r="P45" s="3100">
        <f t="shared" si="115"/>
        <v>4.5999999999999999E-3</v>
      </c>
      <c r="Q45" s="3098"/>
      <c r="R45" s="3109"/>
      <c r="S45" s="3109">
        <f>ROUND(IF(项目基本情况!$B$8="出让",SUMPRODUCT(PRODUCT(1+L45:L$46)),SUMPRODUCT(PRODUCT(1+L45:L$45))),4)</f>
        <v>1.0055000000000001</v>
      </c>
      <c r="T45" s="3109">
        <f>ROUND(IF(项目基本情况!$B$8="出让",SUMPRODUCT(PRODUCT(1+M45:M$46)),SUMPRODUCT(PRODUCT(1+M45:M$45))),4)</f>
        <v>1.0045999999999999</v>
      </c>
      <c r="U45" s="3109">
        <f>ROUND(IF(项目基本情况!$B$8="出让",SUMPRODUCT(PRODUCT(1+N45:N$46)),SUMPRODUCT(PRODUCT(1+N45:N$45))),4)</f>
        <v>1.0109999999999999</v>
      </c>
      <c r="V45" s="3109"/>
      <c r="W45" s="3109">
        <f t="shared" si="116"/>
        <v>1.0045999999999999</v>
      </c>
      <c r="X45" s="3098"/>
      <c r="Y45" s="3100"/>
      <c r="Z45" s="3118">
        <f t="shared" si="117"/>
        <v>4.4999999999999997E-3</v>
      </c>
      <c r="AA45" s="3119">
        <f t="shared" si="117"/>
        <v>4.7000000000000002E-3</v>
      </c>
      <c r="AB45" s="3100">
        <f t="shared" si="117"/>
        <v>1.04E-2</v>
      </c>
      <c r="AC45" s="3120"/>
      <c r="AD45" s="3100">
        <f t="shared" si="117"/>
        <v>4.7000000000000002E-3</v>
      </c>
    </row>
    <row r="46" spans="1:30" ht="14.25" thickBot="1">
      <c r="A46" s="3083" t="s">
        <v>2782</v>
      </c>
      <c r="B46" s="3138">
        <v>2021</v>
      </c>
      <c r="C46" s="3139">
        <v>1</v>
      </c>
      <c r="D46" s="3139"/>
      <c r="E46" s="3139">
        <v>0.35</v>
      </c>
      <c r="F46" s="3139">
        <v>0.48</v>
      </c>
      <c r="G46" s="3139">
        <v>0.98</v>
      </c>
      <c r="H46" s="3140"/>
      <c r="I46" s="3141">
        <f t="shared" si="88"/>
        <v>0.48</v>
      </c>
      <c r="J46" s="3104"/>
      <c r="K46" s="3105"/>
      <c r="L46" s="3106">
        <f t="shared" si="89"/>
        <v>3.4999999999999996E-3</v>
      </c>
      <c r="M46" s="3106">
        <f>F46/100</f>
        <v>4.7999999999999996E-3</v>
      </c>
      <c r="N46" s="3106">
        <f t="shared" si="89"/>
        <v>9.7999999999999997E-3</v>
      </c>
      <c r="O46" s="3106"/>
      <c r="P46" s="3106">
        <f t="shared" si="115"/>
        <v>4.7999999999999996E-3</v>
      </c>
      <c r="Q46" s="3104"/>
      <c r="R46" s="3113"/>
      <c r="S46" s="3113">
        <v>1</v>
      </c>
      <c r="T46" s="3113">
        <v>1</v>
      </c>
      <c r="U46" s="3113">
        <v>1</v>
      </c>
      <c r="V46" s="3113"/>
      <c r="W46" s="3113">
        <f t="shared" si="116"/>
        <v>1</v>
      </c>
      <c r="X46" s="3104"/>
      <c r="Y46" s="3106"/>
      <c r="Z46" s="3124">
        <f t="shared" si="117"/>
        <v>3.5000000000000001E-3</v>
      </c>
      <c r="AA46" s="3125">
        <f t="shared" si="117"/>
        <v>4.7999999999999996E-3</v>
      </c>
      <c r="AB46" s="3106">
        <f t="shared" si="117"/>
        <v>9.7999999999999997E-3</v>
      </c>
      <c r="AC46" s="3126"/>
      <c r="AD46" s="3106">
        <f t="shared" si="117"/>
        <v>4.7999999999999996E-3</v>
      </c>
    </row>
    <row r="47" spans="1:30" ht="14.25" thickTop="1"/>
    <row r="48" spans="1:30">
      <c r="A48" s="3382"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8.375" style="1669" customWidth="1"/>
    <col min="16" max="16" width="30.25" style="1669" customWidth="1"/>
    <col min="17" max="17" width="13.75" style="1669" customWidth="1"/>
    <col min="18" max="18" width="22.25" style="1669" customWidth="1"/>
    <col min="19" max="19" width="1.5" style="1669" customWidth="1"/>
    <col min="20" max="25" width="9" style="1669"/>
    <col min="26" max="16384" width="9" style="1670"/>
  </cols>
  <sheetData>
    <row r="1" spans="1:25" s="1664" customFormat="1" ht="21">
      <c r="A1" s="705" t="s">
        <v>576</v>
      </c>
      <c r="B1" s="673"/>
      <c r="C1" s="706"/>
      <c r="D1" s="1660"/>
      <c r="E1" s="1944" t="s">
        <v>1726</v>
      </c>
      <c r="F1" s="1945">
        <f ca="1">J54</f>
        <v>-2</v>
      </c>
      <c r="G1" s="707">
        <f>MATCH(C1,'数据-取费表'!A6:A16,0)+5</f>
        <v>11</v>
      </c>
      <c r="H1" s="1141"/>
      <c r="I1" s="1661"/>
      <c r="J1" s="1661"/>
      <c r="K1" s="1662"/>
      <c r="L1" s="1661"/>
      <c r="M1" s="1661"/>
      <c r="N1" s="1663"/>
      <c r="O1" s="1663"/>
      <c r="P1" s="1663"/>
      <c r="Q1" s="1663"/>
      <c r="R1" s="1663"/>
      <c r="S1" s="1663"/>
      <c r="T1" s="1663"/>
      <c r="U1" s="1663"/>
      <c r="V1" s="1663"/>
      <c r="W1" s="1663"/>
      <c r="X1" s="1663"/>
      <c r="Y1" s="1663"/>
    </row>
    <row r="2" spans="1:25" ht="18" customHeight="1">
      <c r="A2" s="1361" t="s">
        <v>577</v>
      </c>
      <c r="B2" s="708">
        <f ca="1">IF(ISERROR(C45+J31),0,C45+J31)</f>
        <v>0</v>
      </c>
      <c r="C2" s="1142"/>
      <c r="D2" s="1665"/>
      <c r="E2" s="1666"/>
      <c r="F2" s="1666"/>
      <c r="G2" s="1320"/>
      <c r="H2" s="1154"/>
      <c r="I2" s="1667"/>
      <c r="J2" s="1667"/>
      <c r="K2" s="1668"/>
      <c r="L2" s="1667"/>
      <c r="M2" s="1667"/>
    </row>
    <row r="3" spans="1:25" ht="18" customHeight="1">
      <c r="A3" s="1362" t="s">
        <v>1219</v>
      </c>
      <c r="B3" s="1174">
        <f ca="1">ROUND(B2*10000/'数据-汇总表'!E3,0)</f>
        <v>0</v>
      </c>
      <c r="C3" s="1142"/>
      <c r="D3" s="1665"/>
      <c r="E3" s="1666"/>
      <c r="F3" s="1666"/>
      <c r="G3" s="1320"/>
      <c r="H3" s="709" t="s">
        <v>642</v>
      </c>
      <c r="I3" s="1667"/>
      <c r="J3" s="1667"/>
      <c r="K3" s="1668"/>
      <c r="L3" s="1667"/>
      <c r="M3" s="1667"/>
    </row>
    <row r="4" spans="1:25" ht="18" customHeight="1">
      <c r="A4" s="1363" t="s">
        <v>643</v>
      </c>
      <c r="B4" s="1143">
        <f ca="1">ROUND(B2*10000/'数据-汇总表'!D3,0)</f>
        <v>0</v>
      </c>
      <c r="C4" s="396"/>
      <c r="D4" s="1665"/>
      <c r="E4" s="1666"/>
      <c r="F4" s="1666"/>
      <c r="G4" s="1320"/>
      <c r="H4" s="709"/>
      <c r="I4" s="1667"/>
      <c r="J4" s="1667"/>
      <c r="K4" s="1668"/>
      <c r="L4" s="1667"/>
      <c r="M4" s="1667"/>
    </row>
    <row r="5" spans="1:25" ht="18" customHeight="1" thickBot="1">
      <c r="A5" s="1364"/>
      <c r="B5" s="398">
        <f ca="1">ROUND(B2/('数据-汇总表'!D3/666.67),0)</f>
        <v>0</v>
      </c>
      <c r="C5" s="399" t="s">
        <v>644</v>
      </c>
      <c r="D5" s="1665"/>
      <c r="E5" s="1666"/>
      <c r="F5" s="1666"/>
      <c r="G5" s="1320"/>
      <c r="H5" s="709"/>
      <c r="I5" s="1667"/>
      <c r="J5" s="1667"/>
      <c r="K5" s="1668"/>
      <c r="L5" s="1667"/>
      <c r="M5" s="1667"/>
    </row>
    <row r="6" spans="1:25" ht="18" customHeight="1">
      <c r="A6" s="1516" t="s">
        <v>645</v>
      </c>
      <c r="B6" s="1510" t="s">
        <v>646</v>
      </c>
      <c r="C6" s="1510" t="s">
        <v>580</v>
      </c>
      <c r="D6" s="1510" t="s">
        <v>581</v>
      </c>
      <c r="E6" s="712" t="s">
        <v>582</v>
      </c>
      <c r="F6" s="713"/>
      <c r="G6" s="1142"/>
      <c r="H6" s="1516" t="s">
        <v>578</v>
      </c>
      <c r="I6" s="1510" t="s">
        <v>579</v>
      </c>
      <c r="J6" s="1510" t="s">
        <v>580</v>
      </c>
      <c r="K6" s="1510" t="s">
        <v>581</v>
      </c>
      <c r="L6" s="712" t="s">
        <v>582</v>
      </c>
      <c r="M6" s="713"/>
    </row>
    <row r="7" spans="1:25" ht="18" customHeight="1">
      <c r="A7" s="714">
        <v>1</v>
      </c>
      <c r="B7" s="715" t="s">
        <v>1800</v>
      </c>
      <c r="C7" s="49">
        <f ca="1">C8+C12+C14</f>
        <v>0</v>
      </c>
      <c r="D7" s="1998" t="s">
        <v>1803</v>
      </c>
      <c r="E7" s="1992"/>
      <c r="F7" s="1993"/>
      <c r="G7" s="1142"/>
      <c r="H7" s="714">
        <v>1</v>
      </c>
      <c r="I7" s="715" t="s">
        <v>1800</v>
      </c>
      <c r="J7" s="49">
        <f ca="1">J8+J12+J14</f>
        <v>0</v>
      </c>
      <c r="K7" s="1998" t="s">
        <v>1803</v>
      </c>
      <c r="L7" s="1992"/>
      <c r="M7" s="1993"/>
    </row>
    <row r="8" spans="1:25" ht="18" customHeight="1">
      <c r="A8" s="1518" t="s">
        <v>1353</v>
      </c>
      <c r="B8" s="3701" t="s">
        <v>1805</v>
      </c>
      <c r="C8" s="1513">
        <f ca="1">ROUND(F8*F10*F9*(1-F11)/10000,0)</f>
        <v>0</v>
      </c>
      <c r="D8" s="315" t="s">
        <v>1815</v>
      </c>
      <c r="E8" s="57" t="s">
        <v>585</v>
      </c>
      <c r="F8" s="718">
        <f ca="1">INDIRECT("'数据-取费表'!u"&amp;$G$1)</f>
        <v>0</v>
      </c>
      <c r="G8" s="1142"/>
      <c r="H8" s="2006" t="s">
        <v>1353</v>
      </c>
      <c r="I8" s="3701" t="s">
        <v>1805</v>
      </c>
      <c r="J8" s="716">
        <f ca="1">ROUND(M8*M10*M9*(1-M11)/10000,0)</f>
        <v>0</v>
      </c>
      <c r="K8" s="313" t="s">
        <v>1815</v>
      </c>
      <c r="L8" s="717" t="s">
        <v>1267</v>
      </c>
      <c r="M8" s="718">
        <f ca="1">INDIRECT("'数据-取费表'!z"&amp;$G$1)</f>
        <v>0</v>
      </c>
    </row>
    <row r="9" spans="1:25" ht="18" customHeight="1">
      <c r="A9" s="2002"/>
      <c r="B9" s="3702"/>
      <c r="C9" s="1514"/>
      <c r="D9" s="328"/>
      <c r="E9" s="57" t="s">
        <v>586</v>
      </c>
      <c r="F9" s="718">
        <f ca="1">IF(INDIRECT("'数据-取费表'!ah"&amp;$G$1)="",INDIRECT("'数据-取费表'!k"&amp;$G$1),INDIRECT("'数据-取费表'!ah"&amp;$G$1))</f>
        <v>0</v>
      </c>
      <c r="G9" s="1142"/>
      <c r="H9" s="1991"/>
      <c r="I9" s="3702"/>
      <c r="J9" s="721"/>
      <c r="K9" s="722"/>
      <c r="L9" s="717" t="s">
        <v>1268</v>
      </c>
      <c r="M9" s="718">
        <f ca="1">F9</f>
        <v>0</v>
      </c>
    </row>
    <row r="10" spans="1:25" ht="18" customHeight="1">
      <c r="A10" s="1995"/>
      <c r="B10" s="3703"/>
      <c r="C10" s="1514"/>
      <c r="D10" s="328"/>
      <c r="E10" s="57" t="s">
        <v>587</v>
      </c>
      <c r="F10" s="718">
        <f ca="1">INDIRECT("'数据-取费表'!ai"&amp;$G$1)</f>
        <v>0</v>
      </c>
      <c r="G10" s="1142"/>
      <c r="H10" s="1991"/>
      <c r="I10" s="3703"/>
      <c r="J10" s="721"/>
      <c r="K10" s="722"/>
      <c r="L10" s="717" t="s">
        <v>1269</v>
      </c>
      <c r="M10" s="718">
        <f ca="1">INDIRECT("'数据-取费表'!ai"&amp;$G$1)</f>
        <v>0</v>
      </c>
    </row>
    <row r="11" spans="1:25" ht="18" customHeight="1">
      <c r="A11" s="719"/>
      <c r="B11" s="3704"/>
      <c r="C11" s="1514"/>
      <c r="D11" s="328"/>
      <c r="E11" s="57" t="s">
        <v>588</v>
      </c>
      <c r="F11" s="727">
        <f ca="1">INDIRECT("'数据-取费表'!w"&amp;$G$1)</f>
        <v>0</v>
      </c>
      <c r="G11" s="1142"/>
      <c r="H11" s="2007"/>
      <c r="I11" s="3703"/>
      <c r="J11" s="721"/>
      <c r="K11" s="722"/>
      <c r="L11" s="728" t="s">
        <v>1270</v>
      </c>
      <c r="M11" s="729">
        <f ca="1">INDIRECT("'数据-取费表'!ab"&amp;$G$1)</f>
        <v>0</v>
      </c>
    </row>
    <row r="12" spans="1:25" ht="18" customHeight="1">
      <c r="A12" s="1518" t="s">
        <v>1354</v>
      </c>
      <c r="B12" s="1996" t="s">
        <v>1801</v>
      </c>
      <c r="C12" s="732">
        <f ca="1">ROUND(IF(F12="押一",C8/12*F13,IF(F12="押二",C8/12*2*F13,IF(F12="押三",C8/12*3*F13,C13*F13))),0)</f>
        <v>0</v>
      </c>
      <c r="D12" s="2003" t="s">
        <v>2225</v>
      </c>
      <c r="E12" s="2000" t="s">
        <v>1806</v>
      </c>
      <c r="F12" s="2073"/>
      <c r="G12" s="1142"/>
      <c r="H12" s="2034" t="s">
        <v>1354</v>
      </c>
      <c r="I12" s="2038" t="s">
        <v>1801</v>
      </c>
      <c r="J12" s="716">
        <f ca="1">ROUND(IF(M12="押一",J8/12*M13,IF(M12="押二",J8/12*2*M13,IF(M12="押三",J8/12*3*M13,J13*M13))),0)</f>
        <v>0</v>
      </c>
      <c r="K12" s="2003" t="s">
        <v>2225</v>
      </c>
      <c r="L12" s="2000" t="s">
        <v>1806</v>
      </c>
      <c r="M12" s="2073"/>
    </row>
    <row r="13" spans="1:25" ht="18" customHeight="1">
      <c r="A13" s="723"/>
      <c r="B13" s="1997" t="s">
        <v>1854</v>
      </c>
      <c r="C13" s="2001"/>
      <c r="D13" s="722"/>
      <c r="E13" s="2000" t="s">
        <v>1799</v>
      </c>
      <c r="F13" s="729">
        <f ca="1">'数据-取费表'!B39</f>
        <v>1.4999999999999999E-2</v>
      </c>
      <c r="G13" s="1142"/>
      <c r="H13" s="2035"/>
      <c r="I13" s="1997" t="s">
        <v>1854</v>
      </c>
      <c r="J13" s="2001"/>
      <c r="K13" s="285"/>
      <c r="L13" s="2000" t="s">
        <v>1799</v>
      </c>
      <c r="M13" s="1994">
        <f ca="1">'数据-取费表'!B39</f>
        <v>1.4999999999999999E-2</v>
      </c>
    </row>
    <row r="14" spans="1:25" ht="18" customHeight="1" thickBot="1">
      <c r="A14" s="2010" t="s">
        <v>1809</v>
      </c>
      <c r="B14" s="2011" t="s">
        <v>1802</v>
      </c>
      <c r="C14" s="2012"/>
      <c r="D14" s="2013"/>
      <c r="E14" s="2014"/>
      <c r="F14" s="2015"/>
      <c r="G14" s="1142"/>
      <c r="H14" s="2024" t="s">
        <v>1809</v>
      </c>
      <c r="I14" s="2036" t="s">
        <v>1802</v>
      </c>
      <c r="J14" s="2037"/>
      <c r="K14" s="2013"/>
      <c r="L14" s="2014"/>
      <c r="M14" s="2027"/>
    </row>
    <row r="15" spans="1:25" ht="18" customHeight="1" thickTop="1">
      <c r="A15" s="1517" t="s">
        <v>1399</v>
      </c>
      <c r="B15" s="1515" t="s">
        <v>589</v>
      </c>
      <c r="C15" s="725">
        <f ca="1">ROUND(C31*F15,0)</f>
        <v>0</v>
      </c>
      <c r="D15" s="1522" t="s">
        <v>590</v>
      </c>
      <c r="E15" s="728" t="s">
        <v>591</v>
      </c>
      <c r="F15" s="733">
        <f ca="1">INDIRECT("'数据-取费表'!y"&amp;$G$1)</f>
        <v>0</v>
      </c>
      <c r="G15" s="1142"/>
      <c r="H15" s="1517" t="s">
        <v>1355</v>
      </c>
      <c r="I15" s="1515" t="s">
        <v>592</v>
      </c>
      <c r="J15" s="1509">
        <f ca="1">ROUND(J16*J17,0)</f>
        <v>0</v>
      </c>
      <c r="K15" s="1511" t="s">
        <v>590</v>
      </c>
      <c r="L15" s="734"/>
      <c r="M15" s="735"/>
    </row>
    <row r="16" spans="1:25" ht="18" customHeight="1">
      <c r="A16" s="736" t="s">
        <v>1400</v>
      </c>
      <c r="B16" s="717" t="s">
        <v>593</v>
      </c>
      <c r="C16" s="737">
        <f ca="1">INDIRECT("'数据-取费表'!m"&amp;$G$1)+INDIRECT("'数据-取费表'!t"&amp;$G$1)</f>
        <v>0</v>
      </c>
      <c r="D16" s="903" t="s">
        <v>594</v>
      </c>
      <c r="E16" s="902"/>
      <c r="F16" s="738"/>
      <c r="G16" s="1142"/>
      <c r="H16" s="736" t="s">
        <v>1585</v>
      </c>
      <c r="I16" s="1822" t="s">
        <v>2100</v>
      </c>
      <c r="J16" s="49">
        <f ca="1">C31</f>
        <v>0</v>
      </c>
      <c r="K16" s="22"/>
      <c r="L16" s="734"/>
      <c r="M16" s="735"/>
    </row>
    <row r="17" spans="1:25" s="1673" customFormat="1" ht="18" customHeight="1">
      <c r="A17" s="736" t="s">
        <v>1378</v>
      </c>
      <c r="B17" s="717" t="s">
        <v>595</v>
      </c>
      <c r="C17" s="49">
        <f ca="1">ROUND(C16*F17,0)</f>
        <v>0</v>
      </c>
      <c r="D17" s="739" t="s">
        <v>596</v>
      </c>
      <c r="E17" s="739" t="s">
        <v>597</v>
      </c>
      <c r="F17" s="740">
        <f>'数据-取费表'!B33</f>
        <v>0.05</v>
      </c>
      <c r="G17" s="1322"/>
      <c r="H17" s="736" t="s">
        <v>1586</v>
      </c>
      <c r="I17" s="717" t="s">
        <v>591</v>
      </c>
      <c r="J17" s="741">
        <f ca="1">INDIRECT("'数据-取费表'!ad"&amp;$G$1)</f>
        <v>0</v>
      </c>
      <c r="K17" s="22"/>
      <c r="L17" s="734"/>
      <c r="M17" s="735"/>
      <c r="N17" s="1672"/>
      <c r="O17" s="1672"/>
      <c r="P17" s="1672"/>
      <c r="Q17" s="1672"/>
      <c r="R17" s="1672"/>
      <c r="S17" s="1672"/>
      <c r="T17" s="1672"/>
      <c r="U17" s="1672"/>
      <c r="V17" s="1672"/>
      <c r="W17" s="1672"/>
      <c r="X17" s="1672"/>
      <c r="Y17" s="1672"/>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2"/>
      <c r="H18" s="730" t="s">
        <v>1356</v>
      </c>
      <c r="I18" s="731" t="s">
        <v>599</v>
      </c>
      <c r="J18" s="732">
        <f ca="1">ROUND(J19+J24+J25+J26,0)</f>
        <v>0</v>
      </c>
      <c r="K18" s="22" t="s">
        <v>600</v>
      </c>
      <c r="L18" s="912"/>
      <c r="M18" s="52"/>
    </row>
    <row r="19" spans="1:25" s="1673" customFormat="1" ht="18" customHeight="1">
      <c r="A19" s="736" t="s">
        <v>1380</v>
      </c>
      <c r="B19" s="717" t="s">
        <v>601</v>
      </c>
      <c r="C19" s="49">
        <f ca="1">ROUND(F19*(INDIRECT("'数据-取费表'!k"&amp;$G$1)+INDIRECT("'数据-取费表'!S"&amp;$G$1))/10000,0)</f>
        <v>0</v>
      </c>
      <c r="D19" s="717" t="s">
        <v>602</v>
      </c>
      <c r="E19" s="717" t="s">
        <v>603</v>
      </c>
      <c r="F19" s="52">
        <f>'数据-取费表'!B35</f>
        <v>200</v>
      </c>
      <c r="G19" s="1322"/>
      <c r="H19" s="736" t="s">
        <v>1585</v>
      </c>
      <c r="I19" s="717" t="s">
        <v>604</v>
      </c>
      <c r="J19" s="2551">
        <f ca="1">ROUND(IF(AND(项目基本情况!B11="自然人",项目基本情况!B10="北京市"),J8*M19/(1+'数据-取费表'!C42),J20+J21+J22),0)</f>
        <v>0</v>
      </c>
      <c r="K19" s="903" t="s">
        <v>605</v>
      </c>
      <c r="L19" s="904" t="s">
        <v>606</v>
      </c>
      <c r="M19" s="2550"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6" t="s">
        <v>1381</v>
      </c>
      <c r="B20" s="717" t="s">
        <v>607</v>
      </c>
      <c r="C20" s="49">
        <f ca="1">ROUND(C16*F20,0)</f>
        <v>0</v>
      </c>
      <c r="D20" s="717" t="s">
        <v>596</v>
      </c>
      <c r="E20" s="717" t="s">
        <v>597</v>
      </c>
      <c r="F20" s="742">
        <f>'数据-取费表'!B36</f>
        <v>0.02</v>
      </c>
      <c r="G20" s="1322"/>
      <c r="H20" s="736" t="s">
        <v>1360</v>
      </c>
      <c r="I20" s="717" t="s">
        <v>608</v>
      </c>
      <c r="J20" s="49">
        <f ca="1">ROUND(J8*M20/(1+'数据-取费表'!C42),1)</f>
        <v>0</v>
      </c>
      <c r="K20" s="904" t="s">
        <v>609</v>
      </c>
      <c r="L20" s="717" t="s">
        <v>597</v>
      </c>
      <c r="M20" s="742">
        <f>'数据-取费表'!B41</f>
        <v>5.5000000000000007E-2</v>
      </c>
      <c r="N20" s="1672"/>
      <c r="O20" s="1672"/>
      <c r="P20" s="1672"/>
      <c r="Q20" s="1672"/>
      <c r="R20" s="1672"/>
      <c r="S20" s="1672"/>
      <c r="T20" s="1672"/>
      <c r="U20" s="1672"/>
      <c r="V20" s="1672"/>
      <c r="W20" s="1672"/>
      <c r="X20" s="1672"/>
      <c r="Y20" s="1672"/>
    </row>
    <row r="21" spans="1:25" ht="18" customHeight="1">
      <c r="A21" s="736" t="s">
        <v>1401</v>
      </c>
      <c r="B21" s="717" t="s">
        <v>610</v>
      </c>
      <c r="C21" s="49">
        <f ca="1">SUM(C16:C20)</f>
        <v>0</v>
      </c>
      <c r="D21" s="239" t="s">
        <v>611</v>
      </c>
      <c r="E21" s="912"/>
      <c r="F21" s="52"/>
      <c r="G21" s="1142"/>
      <c r="H21" s="1518" t="s">
        <v>1378</v>
      </c>
      <c r="I21" s="717" t="s">
        <v>612</v>
      </c>
      <c r="J21" s="49">
        <f ca="1">IF(K21="按租金收入计税",ROUND(J8*M21/(1+'数据-取费表'!C42),1),ROUND(C31*F35*0.7,1))</f>
        <v>0</v>
      </c>
      <c r="K21" s="743" t="s">
        <v>3237</v>
      </c>
      <c r="L21" s="717" t="s">
        <v>597</v>
      </c>
      <c r="M21" s="742">
        <f>IF(K21="按租金收入计税",'数据-取费表'!B51,'数据-取费表'!B50)</f>
        <v>0.12</v>
      </c>
    </row>
    <row r="22" spans="1:25" s="1673" customFormat="1" ht="18" customHeight="1">
      <c r="A22" s="736" t="s">
        <v>1402</v>
      </c>
      <c r="B22" s="717" t="s">
        <v>613</v>
      </c>
      <c r="C22" s="49">
        <f ca="1">ROUND(C21*F22,0)</f>
        <v>0</v>
      </c>
      <c r="D22" s="744" t="s">
        <v>614</v>
      </c>
      <c r="E22" s="717" t="s">
        <v>597</v>
      </c>
      <c r="F22" s="742">
        <f>'数据-取费表'!B37</f>
        <v>0.02</v>
      </c>
      <c r="G22" s="1322"/>
      <c r="H22" s="1520" t="s">
        <v>1379</v>
      </c>
      <c r="I22" s="315" t="s">
        <v>615</v>
      </c>
      <c r="J22" s="50">
        <f ca="1">ROUND(M22*M23/10000,0)</f>
        <v>0</v>
      </c>
      <c r="K22" s="746" t="s">
        <v>616</v>
      </c>
      <c r="L22" s="717" t="s">
        <v>617</v>
      </c>
      <c r="M22" s="585">
        <f>'数据-取费表'!B52</f>
        <v>1.5</v>
      </c>
      <c r="N22" s="1672"/>
      <c r="O22" s="1672"/>
      <c r="P22" s="1672"/>
      <c r="Q22" s="1672"/>
      <c r="R22" s="1672"/>
      <c r="S22" s="1672"/>
      <c r="T22" s="1672"/>
      <c r="U22" s="1672"/>
      <c r="V22" s="1672"/>
      <c r="W22" s="1672"/>
      <c r="X22" s="1672"/>
      <c r="Y22" s="1672"/>
    </row>
    <row r="23" spans="1:25" s="1673" customFormat="1" ht="18" customHeight="1">
      <c r="A23" s="736" t="s">
        <v>1403</v>
      </c>
      <c r="B23" s="717" t="s">
        <v>618</v>
      </c>
      <c r="C23" s="49" t="s">
        <v>0</v>
      </c>
      <c r="D23" s="744" t="s">
        <v>619</v>
      </c>
      <c r="E23" s="717" t="s">
        <v>620</v>
      </c>
      <c r="F23" s="742">
        <f>'数据-取费表'!B38</f>
        <v>0.02</v>
      </c>
      <c r="G23" s="1322"/>
      <c r="H23" s="1521"/>
      <c r="I23" s="1512"/>
      <c r="J23" s="65"/>
      <c r="K23" s="748"/>
      <c r="L23" s="717" t="s">
        <v>621</v>
      </c>
      <c r="M23" s="718">
        <f ca="1">INDIRECT("'数据-取费表'!r"&amp;$G$1)</f>
        <v>0</v>
      </c>
      <c r="N23" s="1672"/>
      <c r="O23" s="1672"/>
      <c r="P23" s="1672"/>
      <c r="Q23" s="1672"/>
      <c r="R23" s="1672"/>
      <c r="S23" s="1672"/>
      <c r="T23" s="1672"/>
      <c r="U23" s="1672"/>
      <c r="V23" s="1672"/>
      <c r="W23" s="1672"/>
      <c r="X23" s="1672"/>
      <c r="Y23" s="1672"/>
    </row>
    <row r="24" spans="1:25" ht="18" customHeight="1">
      <c r="A24" s="736" t="s">
        <v>1404</v>
      </c>
      <c r="B24" s="717" t="s">
        <v>622</v>
      </c>
      <c r="C24" s="49"/>
      <c r="D24" s="2042" t="str">
        <f>IF(F25&lt;=1,"单利计息。","复利计息。")&amp;"建造成本、管理费用、销售费用产生的利息。"</f>
        <v>复利计息。建造成本、管理费用、销售费用产生的利息。</v>
      </c>
      <c r="E24" s="912"/>
      <c r="F24" s="52"/>
      <c r="G24" s="1142"/>
      <c r="H24" s="1519" t="s">
        <v>1586</v>
      </c>
      <c r="I24" s="717" t="s">
        <v>623</v>
      </c>
      <c r="J24" s="49">
        <f ca="1">ROUND(J16*M24,0)</f>
        <v>0</v>
      </c>
      <c r="K24" s="904" t="s">
        <v>624</v>
      </c>
      <c r="L24" s="717" t="s">
        <v>597</v>
      </c>
      <c r="M24" s="749">
        <f ca="1">INDIRECT("'数据-取费表'!Ak"&amp;$G$1)</f>
        <v>0</v>
      </c>
    </row>
    <row r="25" spans="1:25" s="1673" customFormat="1" ht="18" customHeight="1">
      <c r="A25" s="736" t="s">
        <v>1400</v>
      </c>
      <c r="B25" s="717" t="s">
        <v>1782</v>
      </c>
      <c r="C25" s="49">
        <f ca="1">ROUND(IF('数据-取费表'!B22&lt;=1,(C21+C22)*F26*F25/2,(C21+C22)*(POWER((1+F26),F25/2)-1)),0)</f>
        <v>0</v>
      </c>
      <c r="D25" s="2041" t="str">
        <f>IF(F25&lt;=1,"(建造成本+管理费用)×利率×(建设周期÷2)","(建造成本+管理费用)×((1+利率)^(建设周期÷2)-1)")</f>
        <v>(建造成本+管理费用)×((1+利率)^(建设周期÷2)-1)</v>
      </c>
      <c r="E25" s="717" t="s">
        <v>625</v>
      </c>
      <c r="F25" s="585">
        <f>'数据-取费表'!B20</f>
        <v>2</v>
      </c>
      <c r="G25" s="1322"/>
      <c r="H25" s="736" t="s">
        <v>1403</v>
      </c>
      <c r="I25" s="717" t="s">
        <v>626</v>
      </c>
      <c r="J25" s="49">
        <f ca="1">ROUND(J15*M25,0)</f>
        <v>0</v>
      </c>
      <c r="K25" s="904" t="s">
        <v>627</v>
      </c>
      <c r="L25" s="717" t="s">
        <v>597</v>
      </c>
      <c r="M25" s="750">
        <f ca="1">INDIRECT("'数据-取费表'!Al"&amp;$G$1)</f>
        <v>0</v>
      </c>
      <c r="N25" s="1672"/>
      <c r="O25" s="1672"/>
      <c r="P25" s="1672"/>
      <c r="Q25" s="1672"/>
      <c r="R25" s="1672"/>
      <c r="S25" s="1672"/>
      <c r="T25" s="1672"/>
      <c r="U25" s="1672"/>
      <c r="V25" s="1672"/>
      <c r="W25" s="1672"/>
      <c r="X25" s="1672"/>
      <c r="Y25" s="1672"/>
    </row>
    <row r="26" spans="1:25" s="1673" customFormat="1" ht="18" customHeight="1">
      <c r="A26" s="736" t="s">
        <v>1378</v>
      </c>
      <c r="B26" s="717" t="s">
        <v>628</v>
      </c>
      <c r="C26" s="49">
        <f ca="1">ROUND(IF('数据-取费表'!B22&lt;=1,F23*F26*F25/2,F23*(POWER((1+F26),F25/2)-1)),4)</f>
        <v>5.9999999999999995E-4</v>
      </c>
      <c r="D26" s="2041" t="str">
        <f>IF(F25&lt;=1,"销售费用×利率×(建设周期÷2)","销售费用×((1+利率)^(建设周期÷2)-1)")</f>
        <v>销售费用×((1+利率)^(建设周期÷2)-1)</v>
      </c>
      <c r="E26" s="717" t="s">
        <v>629</v>
      </c>
      <c r="F26" s="751">
        <f ca="1">'数据-取费表'!B40</f>
        <v>3.1E-2</v>
      </c>
      <c r="G26" s="1322"/>
      <c r="H26" s="736" t="s">
        <v>1404</v>
      </c>
      <c r="I26" s="717" t="s">
        <v>613</v>
      </c>
      <c r="J26" s="49">
        <f ca="1">ROUND(J7*M26,0)</f>
        <v>0</v>
      </c>
      <c r="K26" s="904" t="s">
        <v>630</v>
      </c>
      <c r="L26" s="717" t="s">
        <v>597</v>
      </c>
      <c r="M26" s="727">
        <f ca="1">INDIRECT("'数据-取费表'!Am"&amp;$G$1)</f>
        <v>0</v>
      </c>
      <c r="N26" s="1672"/>
      <c r="O26" s="1672"/>
      <c r="P26" s="1672"/>
      <c r="Q26" s="1672"/>
      <c r="R26" s="1672"/>
      <c r="S26" s="1672"/>
      <c r="T26" s="1672"/>
      <c r="U26" s="1672"/>
      <c r="V26" s="1672"/>
      <c r="W26" s="1672"/>
      <c r="X26" s="1672"/>
      <c r="Y26" s="1672"/>
    </row>
    <row r="27" spans="1:25" ht="18" customHeight="1">
      <c r="A27" s="736" t="s">
        <v>1406</v>
      </c>
      <c r="B27" s="717" t="s">
        <v>631</v>
      </c>
      <c r="C27" s="49"/>
      <c r="D27" s="239" t="s">
        <v>632</v>
      </c>
      <c r="E27" s="912"/>
      <c r="F27" s="52"/>
      <c r="G27" s="1142"/>
      <c r="H27" s="730" t="s">
        <v>1357</v>
      </c>
      <c r="I27" s="2294" t="s">
        <v>2097</v>
      </c>
      <c r="J27" s="732">
        <f ca="1">J7-J18</f>
        <v>0</v>
      </c>
      <c r="K27" s="903" t="s">
        <v>647</v>
      </c>
      <c r="L27" s="901"/>
      <c r="M27" s="752"/>
    </row>
    <row r="28" spans="1:25" ht="18" customHeight="1">
      <c r="A28" s="736" t="s">
        <v>1400</v>
      </c>
      <c r="B28" s="717" t="s">
        <v>1783</v>
      </c>
      <c r="C28" s="49">
        <f ca="1">ROUND((C21+C22)*F28,0)</f>
        <v>0</v>
      </c>
      <c r="D28" s="744" t="s">
        <v>648</v>
      </c>
      <c r="E28" s="728" t="s">
        <v>649</v>
      </c>
      <c r="F28" s="727">
        <f ca="1">INDIRECT("'数据-取费表'!q"&amp;$G$1)</f>
        <v>0</v>
      </c>
      <c r="G28" s="1142"/>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2"/>
      <c r="H29" s="719"/>
      <c r="I29" s="720"/>
      <c r="J29" s="721"/>
      <c r="K29" s="753" t="s">
        <v>654</v>
      </c>
      <c r="L29" s="717" t="s">
        <v>655</v>
      </c>
      <c r="M29" s="754">
        <f ca="1">INDIRECT("'数据-取费表'!ag"&amp;$G$1)</f>
        <v>0</v>
      </c>
    </row>
    <row r="30" spans="1:25" s="1673" customFormat="1" ht="18" customHeight="1">
      <c r="A30" s="736" t="s">
        <v>1407</v>
      </c>
      <c r="B30" s="717" t="s">
        <v>634</v>
      </c>
      <c r="C30" s="49">
        <f>ROUND(F30/(1+'数据-取费表'!C42),4)</f>
        <v>5.2400000000000002E-2</v>
      </c>
      <c r="D30" s="744" t="s">
        <v>656</v>
      </c>
      <c r="E30" s="717" t="s">
        <v>597</v>
      </c>
      <c r="F30" s="742">
        <f>'数据-取费表'!B41</f>
        <v>5.5000000000000007E-2</v>
      </c>
      <c r="G30" s="1322"/>
      <c r="H30" s="723"/>
      <c r="I30" s="724"/>
      <c r="J30" s="725"/>
      <c r="K30" s="748"/>
      <c r="L30" s="717" t="s">
        <v>657</v>
      </c>
      <c r="M30" s="727">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2098</v>
      </c>
      <c r="C31" s="2017">
        <f ca="1">ROUND((C21+C22+C25+C28)/(1-F23-C26-C29-C30),0)</f>
        <v>0</v>
      </c>
      <c r="D31" s="2018"/>
      <c r="E31" s="2019"/>
      <c r="F31" s="2020"/>
      <c r="G31" s="1322"/>
      <c r="H31" s="755" t="s">
        <v>1397</v>
      </c>
      <c r="I31" s="2295" t="s">
        <v>2099</v>
      </c>
      <c r="J31" s="757">
        <f ca="1">ROUND(J28/(1+F45)^F46,0)</f>
        <v>0</v>
      </c>
      <c r="K31" s="758" t="s">
        <v>635</v>
      </c>
      <c r="L31" s="759"/>
      <c r="M31" s="760">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5">
        <f ca="1">ROUND(C33+C38+C39+C40,0)</f>
        <v>0</v>
      </c>
      <c r="D32" s="1511" t="s">
        <v>600</v>
      </c>
      <c r="E32" s="906"/>
      <c r="F32" s="1993"/>
      <c r="G32" s="1665"/>
      <c r="H32" s="1674"/>
      <c r="I32" s="1675"/>
      <c r="J32" s="1676"/>
      <c r="K32" s="1633"/>
      <c r="L32" s="1677"/>
      <c r="M32" s="1678"/>
    </row>
    <row r="33" spans="1:18" ht="18" customHeight="1">
      <c r="A33" s="736" t="s">
        <v>1401</v>
      </c>
      <c r="B33" s="717" t="s">
        <v>604</v>
      </c>
      <c r="C33" s="2551">
        <f ca="1">ROUND(IF(AND(项目基本情况!B11="自然人",项目基本情况!B10="北京市"),C8*F33/(1+'数据-取费表'!C42),C34+C35+C36),2)</f>
        <v>0</v>
      </c>
      <c r="D33" s="903" t="s">
        <v>605</v>
      </c>
      <c r="E33" s="904" t="s">
        <v>637</v>
      </c>
      <c r="F33" s="2550" t="str">
        <f>IF(项目基本情况!B11="企业","——",IF(M48="住宅",IF(F8*F9*F10/12/(1+'数据-取费表'!F30)&gt;100000,4%,2.5%),IF(F8*F9*F10/12/(1+'数据-取费表'!F30)&gt;100000,12%,7%)))</f>
        <v>——</v>
      </c>
      <c r="G33" s="1665"/>
      <c r="H33" s="2753" t="s">
        <v>2274</v>
      </c>
      <c r="I33" s="1675"/>
      <c r="J33" s="1676"/>
      <c r="K33" s="1633"/>
      <c r="L33" s="1677"/>
      <c r="M33" s="1678"/>
    </row>
    <row r="34" spans="1:18" ht="18" customHeight="1">
      <c r="A34" s="736" t="s">
        <v>1400</v>
      </c>
      <c r="B34" s="717" t="s">
        <v>608</v>
      </c>
      <c r="C34" s="49">
        <f ca="1">ROUND(C8*F34/(1+'数据-取费表'!C42),2)</f>
        <v>0</v>
      </c>
      <c r="D34" s="904" t="s">
        <v>609</v>
      </c>
      <c r="E34" s="717" t="s">
        <v>597</v>
      </c>
      <c r="F34" s="742">
        <f>'数据-取费表'!B41</f>
        <v>5.5000000000000007E-2</v>
      </c>
      <c r="G34" s="1665"/>
      <c r="H34" s="1679"/>
      <c r="I34" s="1680"/>
      <c r="J34" s="1681"/>
      <c r="K34" s="1682"/>
      <c r="L34" s="1683"/>
      <c r="M34" s="1684"/>
    </row>
    <row r="35" spans="1:18" ht="18" customHeight="1">
      <c r="A35" s="736" t="s">
        <v>1378</v>
      </c>
      <c r="B35" s="717" t="s">
        <v>612</v>
      </c>
      <c r="C35" s="49">
        <f ca="1">IF(D35="按租金收入计税",ROUND(C8*F35/(1+'数据-取费表'!C42),2),IF(D35="按房产原值计税",ROUND(C31*F35*0.7,2),INDIRECT("'数据-取费表'!Aj"&amp;$G$1)))</f>
        <v>0</v>
      </c>
      <c r="D35" s="743" t="s">
        <v>3237</v>
      </c>
      <c r="E35" s="717" t="s">
        <v>597</v>
      </c>
      <c r="F35" s="742">
        <f>IF(D35="按租金收入计税",'数据-取费表'!B51,'数据-取费表'!B50)</f>
        <v>0.12</v>
      </c>
      <c r="G35" s="1665"/>
      <c r="H35" s="1685"/>
      <c r="I35" s="1685"/>
      <c r="J35" s="1685"/>
      <c r="K35" s="1686"/>
      <c r="L35" s="1685"/>
      <c r="M35" s="1685"/>
    </row>
    <row r="36" spans="1:18" ht="18" customHeight="1">
      <c r="A36" s="745" t="s">
        <v>1405</v>
      </c>
      <c r="B36" s="313" t="s">
        <v>615</v>
      </c>
      <c r="C36" s="50">
        <f ca="1">ROUND(F36*F37/10000,2)</f>
        <v>0</v>
      </c>
      <c r="D36" s="746" t="s">
        <v>616</v>
      </c>
      <c r="E36" s="717" t="s">
        <v>617</v>
      </c>
      <c r="F36" s="585">
        <f>'数据-取费表'!B52</f>
        <v>1.5</v>
      </c>
      <c r="G36" s="1665"/>
      <c r="H36" s="1674"/>
      <c r="I36" s="3773"/>
      <c r="J36" s="1687"/>
      <c r="K36" s="1688"/>
      <c r="L36" s="1687"/>
      <c r="M36" s="1687"/>
    </row>
    <row r="37" spans="1:18" ht="18" customHeight="1">
      <c r="A37" s="747"/>
      <c r="B37" s="726"/>
      <c r="C37" s="65"/>
      <c r="D37" s="748"/>
      <c r="E37" s="717" t="s">
        <v>621</v>
      </c>
      <c r="F37" s="718">
        <f ca="1">INDIRECT("'数据-取费表'!r"&amp;$G$1)</f>
        <v>0</v>
      </c>
      <c r="G37" s="1665"/>
      <c r="H37" s="1674"/>
      <c r="I37" s="3773"/>
      <c r="J37" s="1685"/>
      <c r="K37" s="1686"/>
      <c r="L37" s="1685"/>
      <c r="M37" s="1685"/>
    </row>
    <row r="38" spans="1:18" ht="18" customHeight="1">
      <c r="A38" s="736" t="s">
        <v>1402</v>
      </c>
      <c r="B38" s="717" t="s">
        <v>623</v>
      </c>
      <c r="C38" s="49">
        <f ca="1">ROUND(C31*F38,2)</f>
        <v>0</v>
      </c>
      <c r="D38" s="904" t="s">
        <v>638</v>
      </c>
      <c r="E38" s="717" t="s">
        <v>597</v>
      </c>
      <c r="F38" s="749">
        <f ca="1">INDIRECT("'数据-取费表'!Ak"&amp;$G$1)</f>
        <v>0</v>
      </c>
      <c r="G38" s="1665"/>
      <c r="H38" s="1685"/>
      <c r="I38" s="2553"/>
      <c r="J38" s="1633"/>
      <c r="K38" s="1689"/>
      <c r="L38" s="1685"/>
      <c r="M38" s="1685"/>
    </row>
    <row r="39" spans="1:18" ht="18" customHeight="1">
      <c r="A39" s="736" t="s">
        <v>1403</v>
      </c>
      <c r="B39" s="717" t="s">
        <v>626</v>
      </c>
      <c r="C39" s="49">
        <f ca="1">ROUND(C15*F39,2)</f>
        <v>0</v>
      </c>
      <c r="D39" s="904" t="s">
        <v>627</v>
      </c>
      <c r="E39" s="717" t="s">
        <v>597</v>
      </c>
      <c r="F39" s="750">
        <f ca="1">INDIRECT("'数据-取费表'!Al"&amp;$G$1)</f>
        <v>0</v>
      </c>
      <c r="G39" s="1665"/>
      <c r="H39" s="1685"/>
      <c r="I39" s="2553"/>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3"/>
      <c r="J40" s="1633"/>
      <c r="K40" s="1690"/>
      <c r="L40" s="1685"/>
      <c r="M40" s="1685"/>
    </row>
    <row r="41" spans="1:18" ht="18" customHeight="1" thickTop="1">
      <c r="A41" s="1517">
        <v>4</v>
      </c>
      <c r="B41" s="1515" t="s">
        <v>639</v>
      </c>
      <c r="C41" s="1144"/>
      <c r="D41" s="1145"/>
      <c r="E41" s="1145"/>
      <c r="F41" s="1146"/>
      <c r="G41" s="1665"/>
      <c r="H41" s="1665"/>
      <c r="I41" s="1665"/>
      <c r="J41" s="1665"/>
      <c r="K41" s="1690"/>
      <c r="L41" s="1665"/>
      <c r="M41" s="1665"/>
    </row>
    <row r="42" spans="1:18" ht="18" customHeight="1">
      <c r="A42" s="736" t="s">
        <v>1401</v>
      </c>
      <c r="B42" s="767" t="s">
        <v>640</v>
      </c>
      <c r="C42" s="761">
        <f ca="1">C7-C32</f>
        <v>0</v>
      </c>
      <c r="D42" s="903" t="s">
        <v>641</v>
      </c>
      <c r="E42" s="901"/>
      <c r="F42" s="752"/>
      <c r="G42" s="1665"/>
      <c r="H42" s="1665"/>
      <c r="I42" s="1665"/>
      <c r="J42" s="1665"/>
      <c r="K42" s="1690"/>
      <c r="L42" s="1665"/>
      <c r="M42" s="1665"/>
    </row>
    <row r="43" spans="1:18" ht="18" customHeight="1">
      <c r="A43" s="736" t="s">
        <v>1402</v>
      </c>
      <c r="B43" s="767" t="s">
        <v>658</v>
      </c>
      <c r="C43" s="768">
        <f ca="1">ROUND(C15*F43,0)</f>
        <v>0</v>
      </c>
      <c r="D43" s="1147" t="s">
        <v>659</v>
      </c>
      <c r="E43" s="2356" t="s">
        <v>2215</v>
      </c>
      <c r="F43" s="2357">
        <f ca="1">INDIRECT("'数据-取费表'!j"&amp;$G$1)</f>
        <v>0</v>
      </c>
      <c r="G43" s="1665"/>
      <c r="H43" s="1665"/>
      <c r="I43" s="1665"/>
      <c r="J43" s="1665"/>
      <c r="K43" s="1690"/>
      <c r="L43" s="1665"/>
      <c r="M43" s="1665"/>
    </row>
    <row r="44" spans="1:18" ht="18" customHeight="1">
      <c r="A44" s="736" t="s">
        <v>1403</v>
      </c>
      <c r="B44" s="767" t="s">
        <v>660</v>
      </c>
      <c r="C44" s="1148">
        <f ca="1">C42-C43</f>
        <v>0</v>
      </c>
      <c r="D44" s="430" t="s">
        <v>661</v>
      </c>
      <c r="E44" s="431"/>
      <c r="F44" s="432"/>
      <c r="G44" s="1665"/>
      <c r="H44" s="1665"/>
      <c r="I44" s="1665"/>
      <c r="J44" s="1665"/>
      <c r="K44" s="1690"/>
      <c r="L44" s="1665"/>
      <c r="M44" s="1665"/>
    </row>
    <row r="45" spans="1:18" ht="18" customHeight="1">
      <c r="A45" s="736" t="s">
        <v>1404</v>
      </c>
      <c r="B45" s="1147" t="s">
        <v>662</v>
      </c>
      <c r="C45" s="716">
        <f ca="1">ROUND(-PV(F45,F46,C44,0),0)</f>
        <v>0</v>
      </c>
      <c r="D45" s="1149" t="s">
        <v>663</v>
      </c>
      <c r="E45" s="739" t="s">
        <v>664</v>
      </c>
      <c r="F45" s="762">
        <f ca="1">INDIRECT("'数据-取费表'!h"&amp;$G$1)</f>
        <v>0</v>
      </c>
      <c r="G45" s="1665"/>
      <c r="H45" s="1665"/>
      <c r="I45" s="1665"/>
      <c r="J45" s="1665"/>
      <c r="K45" s="1690"/>
      <c r="L45" s="1665"/>
      <c r="M45" s="1665"/>
    </row>
    <row r="46" spans="1:18" ht="18" customHeight="1" thickBot="1">
      <c r="A46" s="763"/>
      <c r="B46" s="1150"/>
      <c r="C46" s="1151"/>
      <c r="D46" s="1152"/>
      <c r="E46" s="2358" t="s">
        <v>2218</v>
      </c>
      <c r="F46" s="760">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1695</v>
      </c>
      <c r="J47" s="1937"/>
      <c r="K47" s="1938"/>
      <c r="L47" s="2371" t="e">
        <f ca="1">IF(M48="住宅",0,IF(L49&gt;J52,L61,J61))</f>
        <v>#DIV/0!</v>
      </c>
      <c r="O47" s="1950" t="s">
        <v>1762</v>
      </c>
      <c r="P47" s="1142"/>
      <c r="Q47" s="1327"/>
      <c r="R47" s="1142"/>
    </row>
    <row r="48" spans="1:18" s="1669" customFormat="1" ht="18" customHeight="1" thickBot="1">
      <c r="A48" s="1691"/>
      <c r="C48" s="1694"/>
      <c r="D48" s="1692"/>
      <c r="E48" s="1692"/>
      <c r="F48" s="1695"/>
      <c r="G48" s="1696"/>
      <c r="I48" s="2363" t="s">
        <v>1696</v>
      </c>
      <c r="J48" s="1939"/>
      <c r="K48" s="2368" t="s">
        <v>1701</v>
      </c>
      <c r="L48" s="2372">
        <f ca="1">INDIRECT("'数据-取费表'!d"&amp;$G$1)</f>
        <v>0</v>
      </c>
      <c r="M48" s="2355" t="str">
        <f>IF(ISNUMBER(FIND("住宅",C1)),"住宅","非住宅")</f>
        <v>非住宅</v>
      </c>
      <c r="O48" s="1951" t="s">
        <v>1727</v>
      </c>
      <c r="P48" s="1952" t="s">
        <v>1728</v>
      </c>
      <c r="Q48" s="1953" t="s">
        <v>1729</v>
      </c>
      <c r="R48" s="1952" t="s">
        <v>1730</v>
      </c>
    </row>
    <row r="49" spans="1:18" s="1669" customFormat="1" ht="18" customHeight="1" thickBot="1">
      <c r="A49" s="1691"/>
      <c r="D49" s="1697"/>
      <c r="E49" s="1698"/>
      <c r="F49" s="1695"/>
      <c r="G49" s="1696"/>
      <c r="H49" s="1699"/>
      <c r="I49" s="2360" t="s">
        <v>1697</v>
      </c>
      <c r="J49" s="1940"/>
      <c r="K49" s="2369" t="s">
        <v>1703</v>
      </c>
      <c r="L49" s="1564">
        <f ca="1">INDIRECT("'数据-取费表'!f"&amp;$G$1)</f>
        <v>0</v>
      </c>
      <c r="O49" s="1954" t="s">
        <v>1731</v>
      </c>
      <c r="P49" s="1955" t="s">
        <v>1757</v>
      </c>
      <c r="Q49" s="1956">
        <f ca="1">C41+J31</f>
        <v>0</v>
      </c>
      <c r="R49" s="1955" t="s">
        <v>1732</v>
      </c>
    </row>
    <row r="50" spans="1:18" s="1669" customFormat="1" ht="18" customHeight="1" thickBot="1">
      <c r="A50" s="1691"/>
      <c r="D50" s="1700"/>
      <c r="E50" s="1700"/>
      <c r="F50" s="1692"/>
      <c r="H50" s="1699"/>
      <c r="I50" s="2360" t="s">
        <v>1698</v>
      </c>
      <c r="J50" s="1941"/>
      <c r="K50" s="2370" t="s">
        <v>1704</v>
      </c>
      <c r="L50" s="1563"/>
      <c r="O50" s="1954" t="s">
        <v>1733</v>
      </c>
      <c r="P50" s="1955" t="s">
        <v>1758</v>
      </c>
      <c r="Q50" s="1956" t="e">
        <f ca="1">J61</f>
        <v>#DIV/0!</v>
      </c>
      <c r="R50" s="1955" t="s">
        <v>1734</v>
      </c>
    </row>
    <row r="51" spans="1:18" s="1669" customFormat="1" ht="18" customHeight="1" thickBot="1">
      <c r="A51" s="1701"/>
      <c r="D51" s="1700"/>
      <c r="E51" s="1700"/>
      <c r="F51" s="1692"/>
      <c r="H51" s="1699"/>
      <c r="I51" s="2360" t="s">
        <v>1699</v>
      </c>
      <c r="J51" s="2367">
        <f>SUMPRODUCT((I64:I66=J48)*(J63:L63=J49)*(J64:L66))</f>
        <v>0</v>
      </c>
      <c r="K51" s="2370" t="s">
        <v>1705</v>
      </c>
      <c r="L51" s="1563"/>
      <c r="O51" s="1957" t="s">
        <v>1735</v>
      </c>
      <c r="P51" s="1955" t="s">
        <v>1759</v>
      </c>
      <c r="Q51" s="1956">
        <f ca="1">C31</f>
        <v>0</v>
      </c>
      <c r="R51" s="1955" t="s">
        <v>1732</v>
      </c>
    </row>
    <row r="52" spans="1:18" s="1669" customFormat="1" ht="18" customHeight="1" thickBot="1">
      <c r="A52" s="1701"/>
      <c r="F52" s="1692"/>
      <c r="I52" s="2364" t="s">
        <v>1700</v>
      </c>
      <c r="J52" s="1564">
        <f>IF(J50="",J51,J50+J51-YEAR('数据-取费表'!B3))</f>
        <v>0</v>
      </c>
      <c r="K52" s="2360" t="s">
        <v>1706</v>
      </c>
      <c r="L52" s="2373">
        <f ca="1">C45</f>
        <v>0</v>
      </c>
      <c r="O52" s="1957" t="s">
        <v>1736</v>
      </c>
      <c r="P52" s="1955" t="s">
        <v>1737</v>
      </c>
      <c r="Q52" s="1958" t="e">
        <f ca="1">J59</f>
        <v>#DIV/0!</v>
      </c>
      <c r="R52" s="1959"/>
    </row>
    <row r="53" spans="1:18" s="1669" customFormat="1" ht="18" customHeight="1" thickBot="1">
      <c r="A53" s="1701"/>
      <c r="F53" s="1692"/>
      <c r="I53" s="2365" t="s">
        <v>1773</v>
      </c>
      <c r="J53" s="1942"/>
      <c r="K53" s="2365" t="s">
        <v>1772</v>
      </c>
      <c r="L53" s="1942"/>
      <c r="O53" s="1957" t="s">
        <v>1738</v>
      </c>
      <c r="P53" s="1955" t="s">
        <v>1739</v>
      </c>
      <c r="Q53" s="1958">
        <f>J53</f>
        <v>0</v>
      </c>
      <c r="R53" s="1959"/>
    </row>
    <row r="54" spans="1:18" s="1669" customFormat="1" ht="29.25" thickBot="1">
      <c r="A54" s="1701"/>
      <c r="I54" s="2366" t="s">
        <v>2229</v>
      </c>
      <c r="J54" s="2412">
        <f ca="1">IF(M48="住宅",MAX(J52,L49-'数据-取费表'!B20),MIN(J52,L49-'数据-取费表'!B20))</f>
        <v>-2</v>
      </c>
      <c r="K54" s="3774"/>
      <c r="L54" s="3775"/>
      <c r="O54" s="1957" t="s">
        <v>1740</v>
      </c>
      <c r="P54" s="1955" t="s">
        <v>1741</v>
      </c>
      <c r="Q54" s="1956">
        <f ca="1">J54</f>
        <v>-2</v>
      </c>
      <c r="R54" s="1955" t="s">
        <v>1742</v>
      </c>
    </row>
    <row r="55" spans="1:18" s="1669" customFormat="1" ht="18" customHeight="1" thickBot="1">
      <c r="A55" s="1701"/>
      <c r="I55" s="237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4"/>
      <c r="K55" s="2375"/>
      <c r="O55" s="1954" t="s">
        <v>1743</v>
      </c>
      <c r="P55" s="1955" t="s">
        <v>1760</v>
      </c>
      <c r="Q55" s="1956" t="e">
        <f ca="1">Q49+Q50</f>
        <v>#DIV/0!</v>
      </c>
      <c r="R55" s="1959" t="s">
        <v>1744</v>
      </c>
    </row>
    <row r="56" spans="1:18" s="1669" customFormat="1" ht="16.5" thickBot="1">
      <c r="A56" s="1701"/>
      <c r="B56" s="1702"/>
      <c r="C56" s="1702"/>
      <c r="I56" s="2376" t="s">
        <v>1707</v>
      </c>
      <c r="J56" s="2349" t="e">
        <f ca="1">ROUND(IF(J48="钢混",J58/J51,1-(1-2%)*(J51-J58)/J51),3)</f>
        <v>#DIV/0!</v>
      </c>
      <c r="K56" s="2377" t="s">
        <v>1708</v>
      </c>
      <c r="L56" s="1943"/>
      <c r="O56" s="1960" t="s">
        <v>1763</v>
      </c>
      <c r="P56" s="1142"/>
      <c r="Q56" s="1327"/>
      <c r="R56" s="1142"/>
    </row>
    <row r="57" spans="1:18" s="1669" customFormat="1" ht="43.5" thickBot="1">
      <c r="A57" s="1701"/>
      <c r="B57" s="1702"/>
      <c r="C57" s="1702"/>
      <c r="I57" s="2378" t="s">
        <v>1709</v>
      </c>
      <c r="J57" s="2388"/>
      <c r="K57" s="2360" t="s">
        <v>1714</v>
      </c>
      <c r="L57" s="1564">
        <f ca="1">IF(L49&lt;J52,"——",L49-J52)</f>
        <v>0</v>
      </c>
      <c r="O57" s="1951" t="s">
        <v>1727</v>
      </c>
      <c r="P57" s="1952" t="s">
        <v>1728</v>
      </c>
      <c r="Q57" s="1953" t="s">
        <v>1729</v>
      </c>
      <c r="R57" s="1952" t="s">
        <v>1730</v>
      </c>
    </row>
    <row r="58" spans="1:18" s="1669" customFormat="1" ht="29.25" thickBot="1">
      <c r="A58" s="1701"/>
      <c r="B58" s="1702"/>
      <c r="C58" s="1702"/>
      <c r="I58" s="2379" t="s">
        <v>1710</v>
      </c>
      <c r="J58" s="2380">
        <f ca="1">IF(OR(M48="住宅",J52&lt;L49,J57="是"),"——",J52-L49)</f>
        <v>0</v>
      </c>
      <c r="K58" s="2360" t="s">
        <v>1715</v>
      </c>
      <c r="L58" s="1564">
        <f ca="1">IF(L49&lt;J52,"——",IF(L56="比较法",L50,IF(L56="基准地价",L51,L52)))</f>
        <v>0</v>
      </c>
      <c r="O58" s="1954" t="s">
        <v>1731</v>
      </c>
      <c r="P58" s="1955" t="s">
        <v>1757</v>
      </c>
      <c r="Q58" s="1956">
        <f ca="1">C41+J31</f>
        <v>0</v>
      </c>
      <c r="R58" s="1955" t="s">
        <v>1732</v>
      </c>
    </row>
    <row r="59" spans="1:18" s="1669" customFormat="1" ht="29.25" thickBot="1">
      <c r="A59" s="1701"/>
      <c r="B59" s="1702"/>
      <c r="C59" s="1702"/>
      <c r="I59" s="2379" t="s">
        <v>1711</v>
      </c>
      <c r="J59" s="2350" t="e">
        <f ca="1">IF(J56&lt;0.4,0.4,J56)</f>
        <v>#DIV/0!</v>
      </c>
      <c r="K59" s="2360" t="s">
        <v>1716</v>
      </c>
      <c r="L59" s="1564">
        <f ca="1">IF(ISERROR(POWER(1+L53,L48-L49)*(POWER(1+L53,L49)-1)/(POWER(1+L53,L48)-1)),0,POWER(1+L53,L48-L49)*(POWER(1+L53,L49)-1)/(POWER(1+L53,L48)-1))</f>
        <v>0</v>
      </c>
      <c r="O59" s="1954" t="s">
        <v>1733</v>
      </c>
      <c r="P59" s="1955" t="s">
        <v>1764</v>
      </c>
      <c r="Q59" s="1956" t="e">
        <f ca="1">L61</f>
        <v>#DIV/0!</v>
      </c>
      <c r="R59" s="1959" t="s">
        <v>1766</v>
      </c>
    </row>
    <row r="60" spans="1:18" s="1669" customFormat="1" ht="29.25" thickBot="1">
      <c r="A60" s="1701"/>
      <c r="B60" s="1702"/>
      <c r="C60" s="1702"/>
      <c r="I60" s="2379" t="s">
        <v>1712</v>
      </c>
      <c r="J60" s="2380" t="e">
        <f ca="1">IF(OR(M48="住宅",J52&lt;L49,J57="是"),"——",ROUND(C30*J59,0))</f>
        <v>#DIV/0!</v>
      </c>
      <c r="K60" s="2360" t="s">
        <v>1717</v>
      </c>
      <c r="L60" s="1564">
        <f ca="1">IF(ISERROR(POWER(1+L53,L48-J52)*(POWER(1+L53,J52)-1)/(POWER(1+L53,L48)-1)),0,POWER(1+L53,L48-J52)*(POWER(1+L53,J52)-1)/(POWER(1+L53,L48)-1))</f>
        <v>0</v>
      </c>
      <c r="O60" s="1957" t="s">
        <v>1735</v>
      </c>
      <c r="P60" s="1955" t="s">
        <v>1765</v>
      </c>
      <c r="Q60" s="1956">
        <f>IF(L56="比较法",L50,IF(L56="基准地价",L51,0))</f>
        <v>0</v>
      </c>
      <c r="R60" s="1955" t="s">
        <v>1732</v>
      </c>
    </row>
    <row r="61" spans="1:18" s="1669" customFormat="1" ht="15.75" thickBot="1">
      <c r="A61" s="1701"/>
      <c r="B61" s="1702"/>
      <c r="C61" s="1702"/>
      <c r="I61" s="2381" t="s">
        <v>1713</v>
      </c>
      <c r="J61" s="2382" t="e">
        <f ca="1">IF(OR(M48="住宅",J52&lt;L49,J57="是"),"0",ROUND(J60/(1+J53)^J54,0))</f>
        <v>#DIV/0!</v>
      </c>
      <c r="K61" s="2383" t="s">
        <v>1718</v>
      </c>
      <c r="L61" s="2382" t="e">
        <f ca="1">IF(OR(M48="住宅",L49&lt;J52),0,ROUND(L58*(L59/L60-1),0))</f>
        <v>#DIV/0!</v>
      </c>
      <c r="O61" s="1957" t="s">
        <v>1736</v>
      </c>
      <c r="P61" s="1955" t="s">
        <v>1745</v>
      </c>
      <c r="Q61" s="1958">
        <f>L53</f>
        <v>0</v>
      </c>
      <c r="R61" s="1959"/>
    </row>
    <row r="62" spans="1:18" s="1669" customFormat="1" ht="20.25" thickBot="1">
      <c r="A62" s="1701"/>
      <c r="B62" s="1702"/>
      <c r="C62" s="1702"/>
      <c r="K62" s="1693"/>
      <c r="O62" s="1957" t="s">
        <v>1738</v>
      </c>
      <c r="P62" s="1955" t="s">
        <v>1746</v>
      </c>
      <c r="Q62" s="1956">
        <f ca="1">L59</f>
        <v>0</v>
      </c>
      <c r="R62" s="1959" t="s">
        <v>1747</v>
      </c>
    </row>
    <row r="63" spans="1:18" s="1669" customFormat="1" ht="20.25" thickBot="1">
      <c r="A63" s="1701"/>
      <c r="B63" s="1702"/>
      <c r="C63" s="1702"/>
      <c r="I63" s="2384" t="s">
        <v>1719</v>
      </c>
      <c r="J63" s="2385" t="s">
        <v>1720</v>
      </c>
      <c r="K63" s="2385" t="s">
        <v>1721</v>
      </c>
      <c r="L63" s="2385" t="s">
        <v>1702</v>
      </c>
      <c r="M63" s="2386" t="s">
        <v>2198</v>
      </c>
      <c r="O63" s="1957" t="s">
        <v>1740</v>
      </c>
      <c r="P63" s="1955" t="s">
        <v>1748</v>
      </c>
      <c r="Q63" s="1956">
        <f ca="1">L60</f>
        <v>0</v>
      </c>
      <c r="R63" s="1959" t="s">
        <v>1749</v>
      </c>
    </row>
    <row r="64" spans="1:18" s="1669" customFormat="1" ht="15.75" thickBot="1">
      <c r="A64" s="1701"/>
      <c r="B64" s="1702"/>
      <c r="C64" s="1702"/>
      <c r="I64" s="2384" t="s">
        <v>1722</v>
      </c>
      <c r="J64" s="2385">
        <v>70</v>
      </c>
      <c r="K64" s="2385">
        <v>50</v>
      </c>
      <c r="L64" s="2385">
        <v>80</v>
      </c>
      <c r="M64" s="2387">
        <v>0.02</v>
      </c>
      <c r="O64" s="1954" t="s">
        <v>1743</v>
      </c>
      <c r="P64" s="1955" t="s">
        <v>1760</v>
      </c>
      <c r="Q64" s="1956" t="e">
        <f ca="1">Q58+Q59</f>
        <v>#DIV/0!</v>
      </c>
      <c r="R64" s="1959" t="s">
        <v>1744</v>
      </c>
    </row>
    <row r="65" spans="1:18" s="1669" customFormat="1" ht="16.5" thickBot="1">
      <c r="A65" s="1701"/>
      <c r="B65" s="1702"/>
      <c r="C65" s="1702"/>
      <c r="I65" s="2384" t="s">
        <v>1723</v>
      </c>
      <c r="J65" s="2385">
        <v>50</v>
      </c>
      <c r="K65" s="2385">
        <v>35</v>
      </c>
      <c r="L65" s="2385">
        <v>60</v>
      </c>
      <c r="M65" s="778">
        <v>0</v>
      </c>
      <c r="O65" s="1960" t="s">
        <v>1767</v>
      </c>
      <c r="P65" s="1142"/>
      <c r="Q65" s="1327"/>
      <c r="R65" s="1142"/>
    </row>
    <row r="66" spans="1:18" s="1669" customFormat="1" ht="15.75" thickBot="1">
      <c r="A66" s="1701"/>
      <c r="B66" s="1702"/>
      <c r="C66" s="1702"/>
      <c r="I66" s="2384" t="s">
        <v>1724</v>
      </c>
      <c r="J66" s="2385">
        <v>40</v>
      </c>
      <c r="K66" s="2385">
        <v>30</v>
      </c>
      <c r="L66" s="2385">
        <v>50</v>
      </c>
      <c r="M66" s="2387">
        <v>0.02</v>
      </c>
      <c r="O66" s="1951" t="s">
        <v>1727</v>
      </c>
      <c r="P66" s="1952" t="s">
        <v>1728</v>
      </c>
      <c r="Q66" s="1953" t="s">
        <v>1729</v>
      </c>
      <c r="R66" s="1952" t="s">
        <v>1730</v>
      </c>
    </row>
    <row r="67" spans="1:18" s="1669" customFormat="1" ht="15.75" thickBot="1">
      <c r="A67" s="1701"/>
      <c r="B67" s="1702"/>
      <c r="C67" s="1702"/>
      <c r="K67" s="1693"/>
      <c r="O67" s="1954" t="s">
        <v>1731</v>
      </c>
      <c r="P67" s="1955" t="s">
        <v>1757</v>
      </c>
      <c r="Q67" s="1956">
        <f ca="1">C41+J31</f>
        <v>0</v>
      </c>
      <c r="R67" s="1955" t="s">
        <v>1732</v>
      </c>
    </row>
    <row r="68" spans="1:18" s="1669" customFormat="1" ht="20.25" thickBot="1">
      <c r="A68" s="1701"/>
      <c r="B68" s="1702"/>
      <c r="C68" s="1702"/>
      <c r="K68" s="1693"/>
      <c r="O68" s="1954" t="s">
        <v>1733</v>
      </c>
      <c r="P68" s="1955" t="s">
        <v>1764</v>
      </c>
      <c r="Q68" s="1956" t="e">
        <f ca="1">L61</f>
        <v>#DIV/0!</v>
      </c>
      <c r="R68" s="1959" t="s">
        <v>1766</v>
      </c>
    </row>
    <row r="69" spans="1:18" s="1669" customFormat="1" ht="21.75" thickBot="1">
      <c r="A69" s="1701"/>
      <c r="B69" s="1702"/>
      <c r="C69" s="1702"/>
      <c r="K69" s="1693"/>
      <c r="O69" s="1957" t="s">
        <v>1735</v>
      </c>
      <c r="P69" s="1955" t="s">
        <v>1765</v>
      </c>
      <c r="Q69" s="1961">
        <f ca="1">L52</f>
        <v>0</v>
      </c>
      <c r="R69" s="1962" t="s">
        <v>1768</v>
      </c>
    </row>
    <row r="70" spans="1:18" s="1669" customFormat="1" ht="20.25" thickBot="1">
      <c r="A70" s="1701"/>
      <c r="B70" s="1702"/>
      <c r="C70" s="1702"/>
      <c r="K70" s="1693"/>
      <c r="O70" s="1957" t="s">
        <v>1736</v>
      </c>
      <c r="P70" s="1963" t="s">
        <v>1750</v>
      </c>
      <c r="Q70" s="1956">
        <f ca="1">ROUND(Q71-Q72*Q73,0)</f>
        <v>0</v>
      </c>
      <c r="R70" s="1959"/>
    </row>
    <row r="71" spans="1:18" s="1669" customFormat="1" ht="15.75" thickBot="1">
      <c r="A71" s="1701"/>
      <c r="B71" s="1702"/>
      <c r="C71" s="1702"/>
      <c r="K71" s="1693"/>
      <c r="O71" s="1957" t="s">
        <v>1751</v>
      </c>
      <c r="P71" s="1963" t="s">
        <v>1752</v>
      </c>
      <c r="Q71" s="1956">
        <f ca="1">C42</f>
        <v>0</v>
      </c>
      <c r="R71" s="1955" t="s">
        <v>1732</v>
      </c>
    </row>
    <row r="72" spans="1:18" s="1669" customFormat="1" ht="15.75" thickBot="1">
      <c r="A72" s="1701"/>
      <c r="B72" s="1702"/>
      <c r="C72" s="1702"/>
      <c r="K72" s="1693"/>
      <c r="O72" s="1957" t="s">
        <v>1753</v>
      </c>
      <c r="P72" s="1963" t="s">
        <v>1754</v>
      </c>
      <c r="Q72" s="1956">
        <f ca="1">C15</f>
        <v>0</v>
      </c>
      <c r="R72" s="1955" t="s">
        <v>1732</v>
      </c>
    </row>
    <row r="73" spans="1:18" s="1669" customFormat="1" ht="15.75" thickBot="1">
      <c r="A73" s="1701"/>
      <c r="B73" s="1702"/>
      <c r="C73" s="1702"/>
      <c r="K73" s="1693"/>
      <c r="O73" s="1957" t="s">
        <v>1755</v>
      </c>
      <c r="P73" s="1963" t="s">
        <v>1756</v>
      </c>
      <c r="Q73" s="1958">
        <f ca="1">F43</f>
        <v>0</v>
      </c>
      <c r="R73" s="1959"/>
    </row>
    <row r="74" spans="1:18" s="1669" customFormat="1" ht="15.75" thickBot="1">
      <c r="A74" s="1701"/>
      <c r="B74" s="1702"/>
      <c r="C74" s="1702"/>
      <c r="K74" s="1693"/>
      <c r="O74" s="1957" t="s">
        <v>1738</v>
      </c>
      <c r="P74" s="1955" t="s">
        <v>1745</v>
      </c>
      <c r="Q74" s="1958">
        <f>L53</f>
        <v>0</v>
      </c>
      <c r="R74" s="1959"/>
    </row>
    <row r="75" spans="1:18" s="1669" customFormat="1" ht="20.25" thickBot="1">
      <c r="A75" s="1701"/>
      <c r="B75" s="1702"/>
      <c r="C75" s="1702"/>
      <c r="K75" s="1693"/>
      <c r="O75" s="1957" t="s">
        <v>1740</v>
      </c>
      <c r="P75" s="1955" t="s">
        <v>1746</v>
      </c>
      <c r="Q75" s="1956">
        <f ca="1">L59</f>
        <v>0</v>
      </c>
      <c r="R75" s="1959" t="s">
        <v>1747</v>
      </c>
    </row>
    <row r="76" spans="1:18" s="1669" customFormat="1" ht="20.25" thickBot="1">
      <c r="A76" s="1701"/>
      <c r="B76" s="1702"/>
      <c r="C76" s="1702"/>
      <c r="K76" s="1693"/>
      <c r="O76" s="1957" t="s">
        <v>1769</v>
      </c>
      <c r="P76" s="1955" t="s">
        <v>1748</v>
      </c>
      <c r="Q76" s="1956">
        <f ca="1">L60</f>
        <v>0</v>
      </c>
      <c r="R76" s="1959" t="s">
        <v>1749</v>
      </c>
    </row>
    <row r="77" spans="1:18" s="1669" customFormat="1" ht="15.75" thickBot="1">
      <c r="A77" s="1701"/>
      <c r="B77" s="1702"/>
      <c r="C77" s="1702"/>
      <c r="K77" s="1693"/>
      <c r="O77" s="1954" t="s">
        <v>1743</v>
      </c>
      <c r="P77" s="1955" t="s">
        <v>1760</v>
      </c>
      <c r="Q77" s="1956" t="e">
        <f ca="1">Q67+Q68</f>
        <v>#DIV/0!</v>
      </c>
      <c r="R77" s="1959" t="s">
        <v>1744</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5" customWidth="1"/>
    <col min="2" max="2" width="24.625" style="1271" customWidth="1"/>
    <col min="3" max="4" width="12" style="1186"/>
    <col min="5" max="5" width="14.625" style="1186" customWidth="1"/>
    <col min="6" max="8" width="12" style="1186"/>
    <col min="9" max="9" width="12.25" style="1186" bestFit="1" customWidth="1"/>
    <col min="10" max="10" width="12" style="1186"/>
    <col min="11" max="11" width="9.625" style="1183" customWidth="1"/>
    <col min="12" max="12" width="15.75" style="1186" customWidth="1"/>
    <col min="13" max="14" width="10.625" style="1186" customWidth="1"/>
    <col min="15" max="17" width="12" style="1186"/>
    <col min="18" max="18" width="12" style="1185"/>
    <col min="19" max="22" width="15.5" style="1185" customWidth="1"/>
    <col min="23" max="28" width="12" style="1186"/>
    <col min="29" max="29" width="9.375" style="1185" customWidth="1"/>
    <col min="30" max="35" width="9.375" style="1184" customWidth="1"/>
    <col min="36" max="39" width="9.375" style="1185" customWidth="1"/>
    <col min="40" max="41" width="9.375" style="1186" customWidth="1"/>
    <col min="42" max="16384" width="12" style="1186"/>
  </cols>
  <sheetData>
    <row r="1" spans="1:39" ht="20.25">
      <c r="A1" s="1180" t="s">
        <v>1227</v>
      </c>
      <c r="B1" s="1181"/>
      <c r="C1" s="1187" t="s">
        <v>915</v>
      </c>
      <c r="D1" s="1264">
        <f>SUM(D33:D34,D37:D42)</f>
        <v>5896.96</v>
      </c>
      <c r="E1" s="1187" t="s">
        <v>1777</v>
      </c>
      <c r="F1" s="1249"/>
      <c r="G1" s="1182"/>
      <c r="H1" s="1182"/>
      <c r="I1" s="1182"/>
      <c r="J1" s="1182"/>
      <c r="K1" s="1786"/>
      <c r="L1" s="1538" t="s">
        <v>1595</v>
      </c>
      <c r="M1" s="1539">
        <f>SUMPRODUCT((区片价!B5:B9=I2)*(区片价!C3:G3=E2)*(区片价!C5:G9))</f>
        <v>0</v>
      </c>
      <c r="N1" s="1540">
        <f>SUMPRODUCT((因素修正幅度!B5:B9=I2)*(因素修正幅度!C3:G3=E2)*(因素修正幅度!C5:G9))</f>
        <v>0</v>
      </c>
      <c r="O1" s="1786"/>
      <c r="P1" s="1786"/>
      <c r="Q1" s="1786"/>
      <c r="R1" s="2228" t="s">
        <v>2041</v>
      </c>
      <c r="S1" s="2228" t="s">
        <v>1174</v>
      </c>
      <c r="T1" s="2228" t="s">
        <v>2059</v>
      </c>
      <c r="U1" s="2228" t="s">
        <v>2060</v>
      </c>
      <c r="V1" s="2228" t="s">
        <v>916</v>
      </c>
      <c r="W1" s="1786"/>
      <c r="X1" s="1786"/>
      <c r="Y1" s="1786"/>
      <c r="Z1" s="1786"/>
      <c r="AA1" s="1786"/>
      <c r="AB1" s="1786"/>
      <c r="AC1" s="1787"/>
    </row>
    <row r="2" spans="1:39" ht="15.75">
      <c r="A2" s="1187" t="s">
        <v>848</v>
      </c>
      <c r="B2" s="938">
        <f>C30</f>
        <v>2658</v>
      </c>
      <c r="C2" s="1188" t="s">
        <v>849</v>
      </c>
      <c r="D2" s="1189" t="s">
        <v>833</v>
      </c>
      <c r="E2" s="1190" t="s">
        <v>2732</v>
      </c>
      <c r="F2" s="1189" t="s">
        <v>834</v>
      </c>
      <c r="G2" s="1369" t="str">
        <f>IF(E2="商业",项目基本情况!B43,IF(E2="办公",项目基本情况!C43,IF(E2="住宅",项目基本情况!D43,IF(E2="工业",项目基本情况!E43,项目基本情况!F43))))</f>
        <v>九级</v>
      </c>
      <c r="H2" s="1189" t="s">
        <v>854</v>
      </c>
      <c r="I2" s="943" t="str">
        <f>IF(E2="商业",项目基本情况!B44,IF(E2="办公",项目基本情况!C44,IF(E2="住宅",项目基本情况!D44,IF(E2="工业",项目基本情况!E44,项目基本情况!F44))))</f>
        <v>Ⅸ-兴3</v>
      </c>
      <c r="J2" s="1182"/>
      <c r="K2" s="1786"/>
      <c r="L2" s="1541" t="s">
        <v>1596</v>
      </c>
      <c r="M2" s="1542">
        <f>SUMPRODUCT((区片价!B10:B29=I2)*(区片价!C3:G3=E2)*(区片价!C10:G29))</f>
        <v>0</v>
      </c>
      <c r="N2" s="1543">
        <f>SUMPRODUCT((因素修正幅度!B10:B29=I2)*(因素修正幅度!C3:G3=E2)*(因素修正幅度!C10:G29))</f>
        <v>0</v>
      </c>
      <c r="O2" s="1786"/>
      <c r="P2" s="1786"/>
      <c r="Q2" s="1786"/>
      <c r="R2" s="2229">
        <v>1</v>
      </c>
      <c r="S2" s="2229">
        <f>ROUND(SUMPRODUCT((B107:B111=R2)*(C106:N106=G2)*(C107:N111)),4)</f>
        <v>1.5418000000000001</v>
      </c>
      <c r="T2" s="2229">
        <f>ROUND($C$5*$C$22*$C$23*$C$24*S2*$C$28,0)</f>
        <v>6949</v>
      </c>
      <c r="U2" s="2219"/>
      <c r="V2" s="2229">
        <f>ROUND(T2*U2/10000,0)</f>
        <v>0</v>
      </c>
      <c r="W2" s="1786"/>
      <c r="X2" s="1786"/>
      <c r="Y2" s="1786"/>
      <c r="Z2" s="1786"/>
      <c r="AA2" s="1786"/>
      <c r="AB2" s="1786"/>
      <c r="AC2" s="1787"/>
    </row>
    <row r="3" spans="1:39" ht="15.75">
      <c r="A3" s="1191" t="s">
        <v>1220</v>
      </c>
      <c r="B3" s="938">
        <f>ROUND(B2*10000/D1,0)</f>
        <v>4507</v>
      </c>
      <c r="C3" s="1188" t="s">
        <v>855</v>
      </c>
      <c r="D3" s="1189" t="s">
        <v>856</v>
      </c>
      <c r="E3" s="1192" t="s">
        <v>2460</v>
      </c>
      <c r="F3" s="1193" t="s">
        <v>3348</v>
      </c>
      <c r="G3" s="939">
        <f>IF(F3="宗地容积率",'数据-汇总表'!I4,IF(F3="估价对象容积率",'数据-汇总表'!I6,'数据-汇总表'!I7))</f>
        <v>2</v>
      </c>
      <c r="H3" s="1189" t="s">
        <v>857</v>
      </c>
      <c r="I3" s="940"/>
      <c r="J3" s="1182" t="s">
        <v>858</v>
      </c>
      <c r="K3" s="1786"/>
      <c r="L3" s="1541" t="s">
        <v>1597</v>
      </c>
      <c r="M3" s="1542">
        <f>SUMPRODUCT((区片价!B30:B54=I2)*(区片价!C3:G3=E2)*(区片价!C30:G54))</f>
        <v>0</v>
      </c>
      <c r="N3" s="1543">
        <f>SUMPRODUCT((因素修正幅度!B30:B54=I2)*(因素修正幅度!C3:G3=E2)*(因素修正幅度!C30:G54))</f>
        <v>0</v>
      </c>
      <c r="O3" s="1786"/>
      <c r="P3" s="1786"/>
      <c r="Q3" s="1786"/>
      <c r="R3" s="2229">
        <v>2</v>
      </c>
      <c r="S3" s="2229">
        <f>ROUND(SUMPRODUCT((B107:B111=R3)*(C106:N106=G2)*(C107:N111)),4)</f>
        <v>1.1883999999999999</v>
      </c>
      <c r="T3" s="2229">
        <f t="shared" ref="T3:T16" si="0">ROUND($C$5*$C$22*$C$23*$C$24*S3*$C$28,0)</f>
        <v>5356</v>
      </c>
      <c r="U3" s="2219"/>
      <c r="V3" s="2229">
        <f t="shared" ref="V3:V16" si="1">ROUND(T3*U3/10000,0)</f>
        <v>0</v>
      </c>
      <c r="W3" s="1786"/>
      <c r="X3" s="1786"/>
      <c r="Y3" s="1786"/>
      <c r="Z3" s="1786"/>
      <c r="AA3" s="1786"/>
      <c r="AB3" s="1786"/>
      <c r="AC3" s="1787"/>
    </row>
    <row r="4" spans="1:39" ht="28.5">
      <c r="A4" s="1547" t="s">
        <v>1636</v>
      </c>
      <c r="B4" s="1967" t="e">
        <f>ROUND(B2*10000/F1,0)</f>
        <v>#DIV/0!</v>
      </c>
      <c r="C4" s="1550" t="s">
        <v>1611</v>
      </c>
      <c r="D4" s="1550" t="e">
        <f>ROUND(B2/(F1/666.67),0)</f>
        <v>#DIV/0!</v>
      </c>
      <c r="E4" s="1550" t="s">
        <v>1612</v>
      </c>
      <c r="F4" s="1548"/>
      <c r="G4" s="1548"/>
      <c r="H4" s="1548"/>
      <c r="I4" s="1548"/>
      <c r="J4" s="1549"/>
      <c r="K4" s="2733"/>
      <c r="L4" s="1541" t="s">
        <v>1598</v>
      </c>
      <c r="M4" s="1542">
        <f>SUMPRODUCT((区片价!B55:B86=I2)*(区片价!C3:G3=E2)*(区片价!C55:G86))</f>
        <v>0</v>
      </c>
      <c r="N4" s="1543">
        <f>SUMPRODUCT((因素修正幅度!B55:B86=I2)*(因素修正幅度!C3:G3=E2)*(因素修正幅度!C55:G86))</f>
        <v>0</v>
      </c>
      <c r="O4" s="2733"/>
      <c r="P4" s="1786"/>
      <c r="Q4" s="1786"/>
      <c r="R4" s="2229">
        <v>3</v>
      </c>
      <c r="S4" s="2229">
        <f>ROUND(SUMPRODUCT((B107:B111=R4)*(C106:N106=G2)*(C107:N111)),4)</f>
        <v>0.96940000000000004</v>
      </c>
      <c r="T4" s="2229">
        <f t="shared" si="0"/>
        <v>4369</v>
      </c>
      <c r="U4" s="2219"/>
      <c r="V4" s="2229">
        <f t="shared" si="1"/>
        <v>0</v>
      </c>
      <c r="W4" s="1786"/>
      <c r="X4" s="1786"/>
      <c r="Y4" s="1786"/>
      <c r="Z4" s="1786"/>
      <c r="AA4" s="1786"/>
      <c r="AB4" s="1786"/>
      <c r="AC4" s="1787"/>
    </row>
    <row r="5" spans="1:39" s="1200" customFormat="1" ht="15.75" thickBot="1">
      <c r="A5" s="1356" t="s">
        <v>1352</v>
      </c>
      <c r="B5" s="1194" t="s">
        <v>859</v>
      </c>
      <c r="C5" s="941">
        <f>ROUND(IF(E2="商业",C6*C7*C17+C20,(IF(E2="住宅",C6*C13*C17+C20,IF(E2="办公",C6*C12*C17+C20,C6+C20)))),0)</f>
        <v>4842</v>
      </c>
      <c r="D5" s="2354">
        <f>ROUND(C6*C17+C20,0)</f>
        <v>4842</v>
      </c>
      <c r="E5" s="2354"/>
      <c r="F5" s="1195"/>
      <c r="G5" s="1196"/>
      <c r="H5" s="1196"/>
      <c r="I5" s="1196"/>
      <c r="J5" s="1197"/>
      <c r="K5" s="2734"/>
      <c r="L5" s="1541" t="s">
        <v>1599</v>
      </c>
      <c r="M5" s="1542">
        <f>SUMPRODUCT((区片价!B87:B126=I2)*(区片价!C3:G3=E2)*(区片价!C87:G126))</f>
        <v>0</v>
      </c>
      <c r="N5" s="1543">
        <f>SUMPRODUCT((因素修正幅度!B87:B126=I2)*(因素修正幅度!C3:G3=E2)*(因素修正幅度!C87:G126))</f>
        <v>0</v>
      </c>
      <c r="O5" s="2734"/>
      <c r="P5" s="2736"/>
      <c r="Q5" s="1786"/>
      <c r="R5" s="2229">
        <v>4</v>
      </c>
      <c r="S5" s="2229">
        <f>ROUND(SUMPRODUCT((B107:B111=R5)*(C106:N106=G2)*(C107:N111)),4)</f>
        <v>0.82299999999999995</v>
      </c>
      <c r="T5" s="2229">
        <f t="shared" si="0"/>
        <v>3709</v>
      </c>
      <c r="U5" s="2219"/>
      <c r="V5" s="2229">
        <f t="shared" si="1"/>
        <v>0</v>
      </c>
      <c r="W5" s="1786"/>
      <c r="X5" s="1786"/>
      <c r="Y5" s="1786"/>
      <c r="Z5" s="1786"/>
      <c r="AA5" s="1786"/>
      <c r="AB5" s="1786"/>
      <c r="AC5" s="1788"/>
      <c r="AD5" s="1198"/>
      <c r="AE5" s="1198"/>
      <c r="AF5" s="1198"/>
      <c r="AG5" s="1198"/>
      <c r="AH5" s="1198"/>
      <c r="AI5" s="1198"/>
      <c r="AJ5" s="1199"/>
      <c r="AK5" s="1199"/>
      <c r="AL5" s="1199"/>
      <c r="AM5" s="1199"/>
    </row>
    <row r="6" spans="1:39" ht="15.75" thickBot="1">
      <c r="A6" s="3244" t="s">
        <v>1395</v>
      </c>
      <c r="B6" s="1201" t="s">
        <v>859</v>
      </c>
      <c r="C6" s="3245">
        <f>SUMIF(L1:L12,G2,M1:M12)</f>
        <v>4870</v>
      </c>
      <c r="D6" s="3246" t="s">
        <v>1228</v>
      </c>
      <c r="E6" s="1201"/>
      <c r="F6" s="1201"/>
      <c r="G6" s="3247"/>
      <c r="H6" s="3247"/>
      <c r="I6" s="3247"/>
      <c r="J6" s="3248"/>
      <c r="K6" s="1786"/>
      <c r="L6" s="1541" t="s">
        <v>1600</v>
      </c>
      <c r="M6" s="1542">
        <f>SUMPRODUCT((区片价!B127:B189=I2)*(区片价!C3:G3=E2)*(区片价!C127:G189))</f>
        <v>0</v>
      </c>
      <c r="N6" s="1543">
        <f>SUMPRODUCT((因素修正幅度!B127:B189=I2)*(因素修正幅度!C3:G3=E2)*(因素修正幅度!C127:G189))</f>
        <v>0</v>
      </c>
      <c r="O6" s="1786"/>
      <c r="P6" s="2737"/>
      <c r="Q6" s="1786"/>
      <c r="R6" s="2229">
        <v>5</v>
      </c>
      <c r="S6" s="2229">
        <f>ROUND(SUMPRODUCT((B107:B111=R6)*(C106:N106=G2)*(C107:N111)),4)</f>
        <v>0.74980000000000002</v>
      </c>
      <c r="T6" s="2229">
        <f t="shared" si="0"/>
        <v>3380</v>
      </c>
      <c r="U6" s="2219"/>
      <c r="V6" s="2229">
        <f t="shared" si="1"/>
        <v>0</v>
      </c>
      <c r="W6" s="1786"/>
      <c r="X6" s="1786"/>
      <c r="Y6" s="1786"/>
      <c r="Z6" s="1786"/>
      <c r="AA6" s="1786"/>
      <c r="AB6" s="1786"/>
      <c r="AC6" s="1788"/>
      <c r="AD6" s="1198"/>
      <c r="AE6" s="1198"/>
      <c r="AF6" s="1198"/>
      <c r="AG6" s="1198"/>
      <c r="AH6" s="1198"/>
      <c r="AI6" s="1198"/>
      <c r="AJ6" s="1199"/>
    </row>
    <row r="7" spans="1:39" ht="24.75" thickBot="1">
      <c r="A7" s="3249" t="s">
        <v>1396</v>
      </c>
      <c r="B7" s="1202" t="s">
        <v>860</v>
      </c>
      <c r="C7" s="3250">
        <f>IF(C8="不临65条商业街",1,ROUND(1+(1.6*E8+1.2*E9+0.8*E10+0.4*E11)*C9,4))</f>
        <v>1</v>
      </c>
      <c r="D7" s="3251" t="s">
        <v>861</v>
      </c>
      <c r="E7" s="3252"/>
      <c r="F7" s="3253"/>
      <c r="G7" s="3253"/>
      <c r="H7" s="3253"/>
      <c r="I7" s="3253"/>
      <c r="J7" s="3254"/>
      <c r="K7" s="1786"/>
      <c r="L7" s="1541" t="s">
        <v>1601</v>
      </c>
      <c r="M7" s="1542">
        <f>SUMPRODUCT((区片价!B190:B233=I2)*(区片价!C3:G3=E2)*(区片价!C190:G233))</f>
        <v>0</v>
      </c>
      <c r="N7" s="1543">
        <f>SUMPRODUCT((因素修正幅度!B190:B233=I2)*(因素修正幅度!C3:G3=E2)*(因素修正幅度!C190:G233))</f>
        <v>0</v>
      </c>
      <c r="O7" s="1786"/>
      <c r="P7" s="2737"/>
      <c r="Q7" s="1786"/>
      <c r="R7" s="2229">
        <v>6</v>
      </c>
      <c r="S7" s="2219"/>
      <c r="T7" s="2229">
        <f t="shared" si="0"/>
        <v>0</v>
      </c>
      <c r="U7" s="2219"/>
      <c r="V7" s="2229">
        <f t="shared" si="1"/>
        <v>0</v>
      </c>
      <c r="W7" s="2227" t="s">
        <v>2044</v>
      </c>
      <c r="X7" s="2220" t="str">
        <f>G2</f>
        <v>九级</v>
      </c>
      <c r="Y7" s="2220" t="s">
        <v>2045</v>
      </c>
      <c r="Z7" s="2221">
        <f>G3</f>
        <v>2</v>
      </c>
      <c r="AA7" s="1789"/>
      <c r="AB7" s="1789"/>
      <c r="AC7" s="1790"/>
      <c r="AD7" s="2222"/>
      <c r="AE7" s="2222"/>
      <c r="AF7" s="2222"/>
      <c r="AG7" s="2222"/>
      <c r="AH7" s="2222"/>
      <c r="AI7" s="2222"/>
      <c r="AJ7" s="2223"/>
    </row>
    <row r="8" spans="1:39" ht="25.5">
      <c r="A8" s="3255"/>
      <c r="B8" s="1189" t="s">
        <v>862</v>
      </c>
      <c r="C8" s="3256" t="s">
        <v>3349</v>
      </c>
      <c r="D8" s="3257" t="s">
        <v>863</v>
      </c>
      <c r="E8" s="3258" t="e">
        <f>ROUND(C11/E7,4)</f>
        <v>#DIV/0!</v>
      </c>
      <c r="F8" s="3259" t="s">
        <v>864</v>
      </c>
      <c r="G8" s="3260"/>
      <c r="H8" s="3260"/>
      <c r="I8" s="3260"/>
      <c r="J8" s="3261"/>
      <c r="K8" s="1786"/>
      <c r="L8" s="1541" t="s">
        <v>1602</v>
      </c>
      <c r="M8" s="1542">
        <f>SUMPRODUCT((区片价!B234:B276=I2)*(区片价!C3:G3=E2)*(区片价!C234:G276))</f>
        <v>0</v>
      </c>
      <c r="N8" s="1543">
        <f>SUMPRODUCT((因素修正幅度!B234:B276=I2)*(因素修正幅度!C3:G3=E2)*(因素修正幅度!C234:G276))</f>
        <v>0</v>
      </c>
      <c r="O8" s="1786"/>
      <c r="P8" s="1786"/>
      <c r="Q8" s="1786"/>
      <c r="R8" s="2229">
        <v>7</v>
      </c>
      <c r="S8" s="2219"/>
      <c r="T8" s="2229">
        <f t="shared" si="0"/>
        <v>0</v>
      </c>
      <c r="U8" s="2219"/>
      <c r="V8" s="2229">
        <f t="shared" si="1"/>
        <v>0</v>
      </c>
      <c r="W8" s="3727" t="s">
        <v>2058</v>
      </c>
      <c r="X8" s="3728"/>
      <c r="Y8" s="1535" t="s">
        <v>2046</v>
      </c>
      <c r="Z8" s="1535" t="s">
        <v>2047</v>
      </c>
      <c r="AA8" s="1535" t="s">
        <v>2048</v>
      </c>
      <c r="AB8" s="1535" t="s">
        <v>2049</v>
      </c>
      <c r="AC8" s="1535" t="s">
        <v>2050</v>
      </c>
      <c r="AD8" s="1535" t="s">
        <v>2051</v>
      </c>
      <c r="AE8" s="1535" t="s">
        <v>2052</v>
      </c>
      <c r="AF8" s="1535" t="s">
        <v>2053</v>
      </c>
      <c r="AG8" s="1535" t="s">
        <v>2054</v>
      </c>
      <c r="AH8" s="1535" t="s">
        <v>2055</v>
      </c>
      <c r="AI8" s="1535" t="s">
        <v>2056</v>
      </c>
      <c r="AJ8" s="1535" t="s">
        <v>2057</v>
      </c>
    </row>
    <row r="9" spans="1:39" ht="15">
      <c r="A9" s="3255"/>
      <c r="B9" s="1189" t="s">
        <v>865</v>
      </c>
      <c r="C9" s="3262">
        <f>SUMIF(修正!C71:C139,C8,修正!E71:E139)</f>
        <v>0</v>
      </c>
      <c r="D9" s="3263" t="s">
        <v>866</v>
      </c>
      <c r="E9" s="3263" t="e">
        <f>ROUND(C11/E7,4)</f>
        <v>#DIV/0!</v>
      </c>
      <c r="F9" s="3259" t="s">
        <v>867</v>
      </c>
      <c r="G9" s="3260"/>
      <c r="H9" s="3260"/>
      <c r="I9" s="3260"/>
      <c r="J9" s="3261"/>
      <c r="K9" s="1786"/>
      <c r="L9" s="1541" t="s">
        <v>1603</v>
      </c>
      <c r="M9" s="1542">
        <f>SUMPRODUCT((区片价!B277:B326=I2)*(区片价!C3:G3=E2)*(区片价!C277:G326))</f>
        <v>4870</v>
      </c>
      <c r="N9" s="1543">
        <f>SUMPRODUCT((因素修正幅度!B277:B326=I2)*(因素修正幅度!C3:G3=E2)*(因素修正幅度!C277:G326))</f>
        <v>0.126</v>
      </c>
      <c r="O9" s="1786"/>
      <c r="P9" s="1786"/>
      <c r="Q9" s="1786"/>
      <c r="R9" s="2229">
        <v>8</v>
      </c>
      <c r="S9" s="2219"/>
      <c r="T9" s="2229">
        <f t="shared" si="0"/>
        <v>0</v>
      </c>
      <c r="U9" s="2219"/>
      <c r="V9" s="2229">
        <f t="shared" si="1"/>
        <v>0</v>
      </c>
      <c r="W9" s="3726"/>
      <c r="X9" s="2224" t="s">
        <v>3208</v>
      </c>
      <c r="Y9" s="2347">
        <v>6</v>
      </c>
      <c r="Z9" s="2225">
        <f t="shared" ref="Z9:AJ9" si="2">$Y$9</f>
        <v>6</v>
      </c>
      <c r="AA9" s="2225">
        <f t="shared" si="2"/>
        <v>6</v>
      </c>
      <c r="AB9" s="2225">
        <f t="shared" si="2"/>
        <v>6</v>
      </c>
      <c r="AC9" s="2225">
        <f t="shared" si="2"/>
        <v>6</v>
      </c>
      <c r="AD9" s="2225">
        <f t="shared" si="2"/>
        <v>6</v>
      </c>
      <c r="AE9" s="2225">
        <f t="shared" si="2"/>
        <v>6</v>
      </c>
      <c r="AF9" s="2225">
        <f t="shared" si="2"/>
        <v>6</v>
      </c>
      <c r="AG9" s="2225">
        <f t="shared" si="2"/>
        <v>6</v>
      </c>
      <c r="AH9" s="2225">
        <f t="shared" si="2"/>
        <v>6</v>
      </c>
      <c r="AI9" s="2225">
        <f t="shared" si="2"/>
        <v>6</v>
      </c>
      <c r="AJ9" s="2225">
        <f t="shared" si="2"/>
        <v>6</v>
      </c>
    </row>
    <row r="10" spans="1:39" ht="15">
      <c r="A10" s="3255"/>
      <c r="B10" s="1189" t="s">
        <v>868</v>
      </c>
      <c r="C10" s="3263">
        <f>SUMIF(修正!C71:C139,C8,修正!F71:F139)</f>
        <v>0</v>
      </c>
      <c r="D10" s="3263" t="s">
        <v>869</v>
      </c>
      <c r="E10" s="3263" t="e">
        <f>ROUND(C11/E7,4)</f>
        <v>#DIV/0!</v>
      </c>
      <c r="F10" s="3259" t="s">
        <v>870</v>
      </c>
      <c r="G10" s="3260"/>
      <c r="H10" s="3260"/>
      <c r="I10" s="3260"/>
      <c r="J10" s="3261"/>
      <c r="K10" s="1786"/>
      <c r="L10" s="1541" t="s">
        <v>1604</v>
      </c>
      <c r="M10" s="1542">
        <f>SUMPRODUCT((区片价!B327:B357=I2)*(区片价!C3:G3=E2)*(区片价!C327:G357))</f>
        <v>0</v>
      </c>
      <c r="N10" s="1543">
        <f>SUMPRODUCT((因素修正幅度!B327:B357=I2)*(因素修正幅度!C3:G3=E2)*(因素修正幅度!C327:G357))</f>
        <v>0</v>
      </c>
      <c r="O10" s="1786"/>
      <c r="P10" s="1786"/>
      <c r="Q10" s="1786"/>
      <c r="R10" s="2229">
        <v>9</v>
      </c>
      <c r="S10" s="2219"/>
      <c r="T10" s="2229">
        <f t="shared" si="0"/>
        <v>0</v>
      </c>
      <c r="U10" s="2219"/>
      <c r="V10" s="2229">
        <f t="shared" si="1"/>
        <v>0</v>
      </c>
      <c r="W10" s="3726"/>
      <c r="X10" s="2224">
        <v>6</v>
      </c>
      <c r="Y10" s="2226">
        <f>ROUND((-0.5556*(Y9^2)-0.2719*Y9+8944)*(10^(-4)),4)</f>
        <v>0.89219999999999999</v>
      </c>
      <c r="Z10" s="2226">
        <f>ROUND((-0.5556*(Z9^2)-0.2719*Z9+8944)*(10^(-4)),4)</f>
        <v>0.89219999999999999</v>
      </c>
      <c r="AA10" s="2226">
        <f>ROUND((-0.7912*(AA9^2)-11.3794*AA9+8482)*(10^(-4)),4)</f>
        <v>0.83850000000000002</v>
      </c>
      <c r="AB10" s="2226">
        <f>ROUND((-0.7912*(AB9^2)-11.3794*AB9+8482)*(10^(-4)),4)</f>
        <v>0.83850000000000002</v>
      </c>
      <c r="AC10" s="2226">
        <f>ROUND((-0.7912*(AC9^2)-11.3794*AC9+8482)*(10^(-4)),4)</f>
        <v>0.83850000000000002</v>
      </c>
      <c r="AD10" s="2226">
        <f>ROUND((-0.7912*(AD9^2)-11.3794*AD9+8482)*(10^(-4)),4)</f>
        <v>0.83850000000000002</v>
      </c>
      <c r="AE10" s="2226">
        <f>ROUND((-0.7912*(AE9^2)-11.3794*AE9+8482)*(10^(-4)),4)</f>
        <v>0.83850000000000002</v>
      </c>
      <c r="AF10" s="2226">
        <f>ROUND((-0.989*(AF9^2)-63.78*AF9+7771)*(10^(-4)),4)</f>
        <v>0.73529999999999995</v>
      </c>
      <c r="AG10" s="2226">
        <f>ROUND((-0.989*(AG9^2)-63.78*AG9+7771)*(10^(-4)),4)</f>
        <v>0.73529999999999995</v>
      </c>
      <c r="AH10" s="2226">
        <f>ROUND((-0.989*(AH9^2)-63.78*AH9+7771)*(10^(-4)),4)</f>
        <v>0.73529999999999995</v>
      </c>
      <c r="AI10" s="2226">
        <f>ROUND((-0.989*(AI9^2)-63.78*AI9+7771)*(10^(-4)),4)</f>
        <v>0.73529999999999995</v>
      </c>
      <c r="AJ10" s="2226">
        <f>ROUND((-0.989*(AJ9^2)-63.78*AJ9+7771)*(10^(-4)),4)</f>
        <v>0.73529999999999995</v>
      </c>
    </row>
    <row r="11" spans="1:39" ht="15.75" customHeight="1" thickBot="1">
      <c r="A11" s="3255"/>
      <c r="B11" s="1206" t="s">
        <v>871</v>
      </c>
      <c r="C11" s="3264">
        <f>C10/4</f>
        <v>0</v>
      </c>
      <c r="D11" s="3264" t="s">
        <v>872</v>
      </c>
      <c r="E11" s="3264" t="e">
        <f>ROUND(C11/E7,4)</f>
        <v>#DIV/0!</v>
      </c>
      <c r="F11" s="3265" t="s">
        <v>873</v>
      </c>
      <c r="G11" s="3266"/>
      <c r="H11" s="3266"/>
      <c r="I11" s="3266"/>
      <c r="J11" s="3267"/>
      <c r="K11" s="1786"/>
      <c r="L11" s="1541" t="s">
        <v>1605</v>
      </c>
      <c r="M11" s="1542">
        <f>SUMPRODUCT((区片价!B358:B377=I2)*(区片价!C3:G3=E2)*(区片价!C358:G377))</f>
        <v>0</v>
      </c>
      <c r="N11" s="1543">
        <f>SUMPRODUCT((因素修正幅度!B358:B377=I2)*(因素修正幅度!C3:G3=E2)*(因素修正幅度!C358:G377))</f>
        <v>0</v>
      </c>
      <c r="O11" s="1786"/>
      <c r="P11" s="1786"/>
      <c r="Q11" s="1786"/>
      <c r="R11" s="2229">
        <v>10</v>
      </c>
      <c r="S11" s="2219"/>
      <c r="T11" s="2229">
        <f t="shared" si="0"/>
        <v>0</v>
      </c>
      <c r="U11" s="2219"/>
      <c r="V11" s="2229">
        <f t="shared" si="1"/>
        <v>0</v>
      </c>
      <c r="W11" s="1786"/>
      <c r="X11" s="1786"/>
      <c r="Y11" s="1786"/>
      <c r="Z11" s="1786"/>
      <c r="AA11" s="1786"/>
      <c r="AB11" s="1786"/>
      <c r="AC11" s="1787"/>
    </row>
    <row r="12" spans="1:39" ht="25.5" thickBot="1">
      <c r="A12" s="3249" t="s">
        <v>1367</v>
      </c>
      <c r="B12" s="3231" t="s">
        <v>3187</v>
      </c>
      <c r="C12" s="3237">
        <v>1</v>
      </c>
      <c r="D12" s="3232" t="s">
        <v>3188</v>
      </c>
      <c r="E12" s="3233" t="s">
        <v>3189</v>
      </c>
      <c r="F12" s="3234"/>
      <c r="G12" s="3235"/>
      <c r="H12" s="3235"/>
      <c r="I12" s="3235"/>
      <c r="J12" s="3236"/>
      <c r="K12" s="1786"/>
      <c r="L12" s="1544" t="s">
        <v>1606</v>
      </c>
      <c r="M12" s="1545">
        <f>SUMPRODUCT((区片价!B378:B384=I2)*(区片价!C3:G3=E2)*(区片价!C378:G384))</f>
        <v>0</v>
      </c>
      <c r="N12" s="1546">
        <f>SUMPRODUCT((因素修正幅度!B378:B384=I2)*(因素修正幅度!C3:G3=E2)*(因素修正幅度!C378:G384))</f>
        <v>0</v>
      </c>
      <c r="O12" s="1786"/>
      <c r="P12" s="1786"/>
      <c r="Q12" s="1786"/>
      <c r="R12" s="2229">
        <v>11</v>
      </c>
      <c r="S12" s="2219"/>
      <c r="T12" s="2229">
        <f t="shared" si="0"/>
        <v>0</v>
      </c>
      <c r="U12" s="2219"/>
      <c r="V12" s="2229">
        <f t="shared" si="1"/>
        <v>0</v>
      </c>
      <c r="W12" s="1786"/>
      <c r="X12" s="1786"/>
      <c r="Y12" s="1786"/>
      <c r="Z12" s="1786"/>
      <c r="AA12" s="1786"/>
      <c r="AB12" s="1786"/>
      <c r="AC12" s="1787"/>
    </row>
    <row r="13" spans="1:39" ht="15.75" thickBot="1">
      <c r="A13" s="3249" t="s">
        <v>1368</v>
      </c>
      <c r="B13" s="1207" t="s">
        <v>874</v>
      </c>
      <c r="C13" s="3250">
        <f>ROUND(C16*D16*E16*F16*G16*H16*I16*J16,4)</f>
        <v>1</v>
      </c>
      <c r="D13" s="3268" t="s">
        <v>3191</v>
      </c>
      <c r="E13" s="3269"/>
      <c r="F13" s="3269"/>
      <c r="G13" s="3269"/>
      <c r="H13" s="3269"/>
      <c r="I13" s="3269"/>
      <c r="J13" s="3270"/>
      <c r="K13" s="1787"/>
      <c r="L13" s="1787"/>
      <c r="M13" s="1787"/>
      <c r="N13" s="1787"/>
      <c r="O13" s="1787"/>
      <c r="P13" s="1786"/>
      <c r="Q13" s="1786"/>
      <c r="R13" s="2229">
        <v>12</v>
      </c>
      <c r="S13" s="2219"/>
      <c r="T13" s="2229">
        <f t="shared" si="0"/>
        <v>0</v>
      </c>
      <c r="U13" s="2219"/>
      <c r="V13" s="2229">
        <f t="shared" si="1"/>
        <v>0</v>
      </c>
      <c r="W13" s="1786"/>
      <c r="X13" s="1786"/>
      <c r="Y13" s="1786"/>
      <c r="Z13" s="1786"/>
      <c r="AA13" s="1786"/>
      <c r="AB13" s="1786"/>
      <c r="AC13" s="1787"/>
    </row>
    <row r="14" spans="1:39" ht="12.75" customHeight="1">
      <c r="A14" s="3271"/>
      <c r="B14" s="1211" t="s">
        <v>1229</v>
      </c>
      <c r="C14" s="3187" t="s">
        <v>1230</v>
      </c>
      <c r="D14" s="1213" t="s">
        <v>1231</v>
      </c>
      <c r="E14" s="748" t="s">
        <v>3192</v>
      </c>
      <c r="F14" s="3272" t="s">
        <v>1178</v>
      </c>
      <c r="G14" s="3272" t="s">
        <v>1178</v>
      </c>
      <c r="H14" s="3273" t="s">
        <v>1178</v>
      </c>
      <c r="I14" s="3273" t="s">
        <v>1178</v>
      </c>
      <c r="J14" s="3273" t="s">
        <v>1178</v>
      </c>
      <c r="K14" s="2735"/>
      <c r="L14" s="2735"/>
      <c r="M14" s="2735"/>
      <c r="N14" s="2735"/>
      <c r="O14" s="2735"/>
      <c r="P14" s="1786"/>
      <c r="Q14" s="1786"/>
      <c r="R14" s="2229">
        <v>13</v>
      </c>
      <c r="S14" s="2219"/>
      <c r="T14" s="2229">
        <f t="shared" si="0"/>
        <v>0</v>
      </c>
      <c r="U14" s="2219"/>
      <c r="V14" s="2229">
        <f t="shared" si="1"/>
        <v>0</v>
      </c>
      <c r="W14" s="1786"/>
      <c r="X14" s="1786"/>
      <c r="Y14" s="1786"/>
      <c r="Z14" s="1786"/>
      <c r="AA14" s="1786"/>
      <c r="AB14" s="1786"/>
      <c r="AC14" s="1787"/>
    </row>
    <row r="15" spans="1:39" ht="13.5" customHeight="1">
      <c r="A15" s="3271"/>
      <c r="B15" s="1213"/>
      <c r="C15" s="3274" t="s">
        <v>3278</v>
      </c>
      <c r="D15" s="3275" t="s">
        <v>3278</v>
      </c>
      <c r="E15" s="3276" t="s">
        <v>3353</v>
      </c>
      <c r="F15" s="3276"/>
      <c r="G15" s="1035" t="s">
        <v>3193</v>
      </c>
      <c r="H15" s="3240"/>
      <c r="I15" s="3241"/>
      <c r="J15" s="3242"/>
      <c r="K15" s="3243"/>
      <c r="L15" s="1790"/>
      <c r="M15" s="1790"/>
      <c r="N15" s="1790"/>
      <c r="O15" s="1790"/>
      <c r="P15" s="1786"/>
      <c r="Q15" s="1786"/>
      <c r="R15" s="2229">
        <v>14</v>
      </c>
      <c r="S15" s="2219"/>
      <c r="T15" s="2229">
        <f t="shared" si="0"/>
        <v>0</v>
      </c>
      <c r="U15" s="2219"/>
      <c r="V15" s="2229">
        <f t="shared" si="1"/>
        <v>0</v>
      </c>
      <c r="W15" s="1786"/>
      <c r="X15" s="1786"/>
      <c r="Y15" s="1786"/>
      <c r="Z15" s="1786"/>
      <c r="AA15" s="1786"/>
      <c r="AB15" s="1786"/>
      <c r="AC15" s="1787"/>
    </row>
    <row r="16" spans="1:39" ht="24.6" customHeight="1" thickBot="1">
      <c r="A16" s="3271"/>
      <c r="B16" s="2402" t="s">
        <v>1232</v>
      </c>
      <c r="C16" s="3238">
        <v>1</v>
      </c>
      <c r="D16" s="3238">
        <v>1</v>
      </c>
      <c r="E16" s="3238">
        <v>1</v>
      </c>
      <c r="F16" s="3238">
        <v>1</v>
      </c>
      <c r="G16" s="3238">
        <v>1</v>
      </c>
      <c r="H16" s="3238">
        <v>1</v>
      </c>
      <c r="I16" s="3238">
        <v>1</v>
      </c>
      <c r="J16" s="3239">
        <v>1</v>
      </c>
      <c r="K16" s="1790"/>
      <c r="L16" s="1790"/>
      <c r="M16" s="1790"/>
      <c r="N16" s="1790"/>
      <c r="O16" s="1790"/>
      <c r="P16" s="1786"/>
      <c r="Q16" s="1786"/>
      <c r="R16" s="2229">
        <v>15</v>
      </c>
      <c r="S16" s="2219"/>
      <c r="T16" s="2229">
        <f t="shared" si="0"/>
        <v>0</v>
      </c>
      <c r="U16" s="2219"/>
      <c r="V16" s="2229">
        <f t="shared" si="1"/>
        <v>0</v>
      </c>
      <c r="W16" s="1789"/>
      <c r="X16" s="1789"/>
      <c r="Y16" s="1789"/>
      <c r="Z16" s="1789"/>
      <c r="AA16" s="1789"/>
      <c r="AB16" s="1789"/>
      <c r="AC16" s="1790"/>
    </row>
    <row r="17" spans="1:40" ht="24">
      <c r="A17" s="3278" t="s">
        <v>1369</v>
      </c>
      <c r="B17" s="3279" t="s">
        <v>3195</v>
      </c>
      <c r="C17" s="3287">
        <f>ROUND(IF(OR(E2="工业",E2="公共服务"),1,IF(AND(E18=0,E19=0),1,IF(AND(E18=J24,E19=G19),0.8,IF(E19=0,1+E17*(-0.2),1+E17*G17*(-0.2))))),4)</f>
        <v>1</v>
      </c>
      <c r="D17" s="3280" t="s">
        <v>3196</v>
      </c>
      <c r="E17" s="3287">
        <f>ROUND(G18/I18,2)</f>
        <v>0</v>
      </c>
      <c r="F17" s="3280" t="s">
        <v>3199</v>
      </c>
      <c r="G17" s="3287" t="e">
        <f>ROUND(E19/G19,2)</f>
        <v>#DIV/0!</v>
      </c>
      <c r="H17" s="3287"/>
      <c r="I17" s="3287"/>
      <c r="J17" s="3366"/>
      <c r="K17" s="1790"/>
      <c r="L17" s="1790"/>
      <c r="M17" s="1790"/>
      <c r="N17" s="1790"/>
      <c r="O17" s="1790"/>
      <c r="P17" s="1786"/>
      <c r="Q17" s="1786"/>
      <c r="R17" s="1790"/>
      <c r="S17" s="1790"/>
      <c r="T17" s="1790"/>
      <c r="U17" s="1790"/>
      <c r="V17" s="1790"/>
      <c r="W17" s="1789"/>
      <c r="X17" s="1789"/>
      <c r="Y17" s="1789"/>
      <c r="Z17" s="1789"/>
      <c r="AA17" s="1789"/>
      <c r="AB17" s="1789"/>
      <c r="AC17" s="1790"/>
      <c r="AH17" s="1183"/>
      <c r="AI17" s="1183"/>
      <c r="AJ17" s="1186"/>
      <c r="AK17" s="1186"/>
      <c r="AL17" s="1186"/>
      <c r="AM17" s="1186"/>
    </row>
    <row r="18" spans="1:40" s="1200" customFormat="1" ht="14.25">
      <c r="A18" s="3271"/>
      <c r="B18" s="3151"/>
      <c r="C18" s="3285"/>
      <c r="D18" s="3281" t="s">
        <v>3197</v>
      </c>
      <c r="E18" s="3286"/>
      <c r="F18" s="3283" t="s">
        <v>3200</v>
      </c>
      <c r="G18" s="3285">
        <f>ROUND(1-(1/(POWER(1+G24,E18))),4)</f>
        <v>0</v>
      </c>
      <c r="H18" s="3283" t="s">
        <v>3202</v>
      </c>
      <c r="I18" s="3285">
        <f>ROUND(1-(1/(POWER(1+G24,J24))),4)</f>
        <v>0.88249999999999995</v>
      </c>
      <c r="J18" s="3367"/>
      <c r="K18" s="1790"/>
      <c r="L18" s="1790"/>
      <c r="M18" s="1790"/>
      <c r="N18" s="1790"/>
      <c r="O18" s="1790"/>
      <c r="P18" s="1786"/>
      <c r="Q18" s="1786"/>
      <c r="R18" s="1791"/>
      <c r="S18" s="1791"/>
      <c r="T18" s="1791"/>
      <c r="U18" s="1791"/>
      <c r="V18" s="1791"/>
      <c r="W18" s="1790"/>
      <c r="X18" s="1790"/>
      <c r="Y18" s="1790"/>
      <c r="Z18" s="1790"/>
      <c r="AA18" s="1789"/>
      <c r="AB18" s="1789"/>
      <c r="AC18" s="1792"/>
      <c r="AD18" s="1218"/>
      <c r="AE18" s="1218"/>
      <c r="AF18" s="1218"/>
      <c r="AG18" s="1218"/>
      <c r="AH18" s="1184"/>
      <c r="AI18" s="1184"/>
      <c r="AJ18" s="1185"/>
      <c r="AK18" s="1185"/>
      <c r="AL18" s="1185"/>
    </row>
    <row r="19" spans="1:40" s="1200" customFormat="1" ht="15" thickBot="1">
      <c r="A19" s="3277"/>
      <c r="B19" s="3154"/>
      <c r="C19" s="3282"/>
      <c r="D19" s="3282" t="s">
        <v>3198</v>
      </c>
      <c r="E19" s="3288"/>
      <c r="F19" s="3284" t="s">
        <v>3201</v>
      </c>
      <c r="G19" s="3288"/>
      <c r="H19" s="3282"/>
      <c r="I19" s="3282"/>
      <c r="J19" s="3368"/>
      <c r="K19" s="1790"/>
      <c r="L19" s="1790"/>
      <c r="M19" s="1790"/>
      <c r="N19" s="1790"/>
      <c r="O19" s="1790"/>
      <c r="P19" s="1786"/>
      <c r="Q19" s="1786"/>
      <c r="R19" s="1792"/>
      <c r="S19" s="1792"/>
      <c r="T19" s="1792"/>
      <c r="U19" s="1792"/>
      <c r="V19" s="1792"/>
      <c r="W19" s="1792"/>
      <c r="X19" s="1792"/>
      <c r="Y19" s="1184"/>
      <c r="Z19" s="1184"/>
      <c r="AA19" s="1184"/>
      <c r="AB19" s="1184"/>
      <c r="AC19" s="1218"/>
      <c r="AD19" s="1219"/>
      <c r="AE19" s="1223"/>
      <c r="AF19" s="1185"/>
      <c r="AG19" s="1199"/>
      <c r="AH19" s="1199"/>
      <c r="AI19" s="1199"/>
    </row>
    <row r="20" spans="1:40" s="1200" customFormat="1" ht="14.25">
      <c r="A20" s="3737" t="s">
        <v>1370</v>
      </c>
      <c r="B20" s="1202" t="s">
        <v>875</v>
      </c>
      <c r="C20" s="945">
        <f>ROUND(IF(F21="与级别开发程度一致",0,(G21-E21)/C21),0)</f>
        <v>-28</v>
      </c>
      <c r="D20" s="3732" t="s">
        <v>879</v>
      </c>
      <c r="E20" s="3733"/>
      <c r="F20" s="3732" t="s">
        <v>876</v>
      </c>
      <c r="G20" s="3733"/>
      <c r="H20" s="1214" t="s">
        <v>2759</v>
      </c>
      <c r="I20" s="1214" t="s">
        <v>2760</v>
      </c>
      <c r="J20" s="1214" t="s">
        <v>2762</v>
      </c>
      <c r="K20" s="1214"/>
      <c r="L20" s="1214"/>
      <c r="M20" s="1214"/>
      <c r="N20" s="1214"/>
      <c r="O20" s="2407"/>
      <c r="P20" s="1786"/>
      <c r="Q20" s="1789"/>
      <c r="R20" s="1792"/>
      <c r="S20" s="1792"/>
      <c r="T20" s="1792"/>
      <c r="U20" s="1792"/>
      <c r="V20" s="1792"/>
      <c r="W20" s="1792"/>
      <c r="X20" s="1792"/>
      <c r="Y20" s="1218"/>
      <c r="Z20" s="1218"/>
      <c r="AA20" s="1218"/>
      <c r="AB20" s="1218"/>
      <c r="AC20" s="1218"/>
      <c r="AD20" s="1218"/>
    </row>
    <row r="21" spans="1:40" s="1200" customFormat="1" ht="24.75" thickBot="1">
      <c r="A21" s="3738"/>
      <c r="B21" s="2408" t="s">
        <v>878</v>
      </c>
      <c r="C21" s="2409">
        <f>IF(E3="M4科研用地",SUMPRODUCT((修正!A2:A7=E3)*(修正!B1:M1=G2)*(修正!B2:M7)),SUMPRODUCT((修正!A2:A7=E2)*(修正!B1:M1=G2)*(修正!B2:M7)))</f>
        <v>2</v>
      </c>
      <c r="D21" s="2410" t="str">
        <f>IF(OR(G2="八级",G2="九级",G2="十级",G2="十一级",G2="十二级"),"五通一平","七通一平")</f>
        <v>五通一平</v>
      </c>
      <c r="E21" s="2400">
        <f>SUMPRODUCT((修正!B1:M1=G2)*(修正!B17:M17))</f>
        <v>185</v>
      </c>
      <c r="F21" s="2401" t="s">
        <v>3350</v>
      </c>
      <c r="G21" s="2400">
        <f>SUM(H21:O21)</f>
        <v>130</v>
      </c>
      <c r="H21" s="944">
        <f>SUMPRODUCT((七通一平=H20)*(修正!B1:M1=G2)*(修正!B8:M16))</f>
        <v>60</v>
      </c>
      <c r="I21" s="944">
        <f>SUMPRODUCT((七通一平=I20)*(修正!B1:M1=G2)*(修正!B8:M16))</f>
        <v>50</v>
      </c>
      <c r="J21" s="944">
        <f>SUMPRODUCT((七通一平=J20)*(修正!B1:M1=G2)*(修正!B8:M16))</f>
        <v>20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1">
        <f>SUMPRODUCT((七通一平=O20)*(修正!B1:M1=G2)*(修正!B8:M16))</f>
        <v>0</v>
      </c>
      <c r="P21" s="1786"/>
      <c r="Q21" s="1789"/>
      <c r="R21" s="1792"/>
      <c r="S21" s="1792"/>
      <c r="T21" s="1792"/>
      <c r="U21" s="1792"/>
      <c r="V21" s="1792"/>
      <c r="W21" s="1792"/>
      <c r="X21" s="1792"/>
      <c r="Y21" s="1184"/>
      <c r="Z21" s="1184"/>
      <c r="AA21" s="1184"/>
      <c r="AB21" s="1184"/>
      <c r="AC21" s="1218"/>
      <c r="AD21" s="1218"/>
    </row>
    <row r="22" spans="1:40" s="1200" customFormat="1" ht="15.75" thickBot="1">
      <c r="A22" s="2092" t="s">
        <v>1355</v>
      </c>
      <c r="B22" s="2403" t="s">
        <v>880</v>
      </c>
      <c r="C22" s="2404">
        <f>SUMIF(修正!C20:C51,E3,修正!E20:E51)</f>
        <v>0.9</v>
      </c>
      <c r="D22" s="2405"/>
      <c r="E22" s="2406"/>
      <c r="F22" s="2393"/>
      <c r="G22" s="1227"/>
      <c r="H22" s="1227"/>
      <c r="I22" s="1227"/>
      <c r="J22" s="2398"/>
      <c r="K22" s="2734"/>
      <c r="L22" s="1227"/>
      <c r="M22" s="1227"/>
      <c r="N22" s="1227"/>
      <c r="O22" s="1227"/>
      <c r="P22" s="2734"/>
      <c r="Q22" s="1791"/>
      <c r="R22" s="1792"/>
      <c r="S22" s="1792"/>
      <c r="T22" s="1792"/>
      <c r="U22" s="1792"/>
      <c r="V22" s="1792"/>
      <c r="W22" s="1792"/>
      <c r="X22" s="1792"/>
      <c r="Y22" s="1218"/>
      <c r="Z22" s="1218"/>
      <c r="AA22" s="1218"/>
      <c r="AB22" s="1218"/>
      <c r="AC22" s="1218"/>
      <c r="AD22" s="1218"/>
    </row>
    <row r="23" spans="1:40" ht="27.75" thickBot="1">
      <c r="A23" s="1357" t="s">
        <v>1356</v>
      </c>
      <c r="B23" s="1217"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0" t="s">
        <v>882</v>
      </c>
      <c r="E23" s="947">
        <v>44197</v>
      </c>
      <c r="F23" s="1220" t="s">
        <v>883</v>
      </c>
      <c r="G23" s="948">
        <f>'数据-取费表'!B2</f>
        <v>45617</v>
      </c>
      <c r="H23" s="1221" t="s">
        <v>2240</v>
      </c>
      <c r="I23" s="2098" t="str">
        <f>IF(H23="季度增幅（自定义）",SUMIF(N25:N28,E2,O25:O28),"")</f>
        <v/>
      </c>
      <c r="J23" s="3289" t="s">
        <v>3351</v>
      </c>
      <c r="K23" s="2734"/>
      <c r="L23" s="2319" t="s">
        <v>2114</v>
      </c>
      <c r="M23" s="2320">
        <f>ROUND(SUMIF(地价!B2:F2,E2,地价!B41:F41),0)</f>
        <v>258</v>
      </c>
      <c r="N23" s="2100" t="s">
        <v>1211</v>
      </c>
      <c r="O23" s="2099">
        <f>ROUNDDOWN(DATEDIF(E23,G23,"M")/3,0)</f>
        <v>15</v>
      </c>
      <c r="P23" s="1790"/>
      <c r="Q23" s="2218"/>
      <c r="R23" s="1792"/>
      <c r="S23" s="1792"/>
      <c r="T23" s="1792"/>
      <c r="U23" s="1792"/>
      <c r="V23" s="1792"/>
      <c r="W23" s="1792"/>
      <c r="X23" s="1792"/>
      <c r="Y23" s="1184"/>
      <c r="Z23" s="1184"/>
      <c r="AA23" s="1184"/>
      <c r="AB23" s="1184"/>
      <c r="AC23" s="1184"/>
      <c r="AE23" s="1185"/>
      <c r="AF23" s="1185"/>
      <c r="AG23" s="1185"/>
      <c r="AH23" s="1185"/>
      <c r="AI23" s="1185"/>
      <c r="AJ23" s="1186"/>
      <c r="AK23" s="1186"/>
      <c r="AL23" s="1186"/>
      <c r="AM23" s="1186"/>
    </row>
    <row r="24" spans="1:40" s="1200" customFormat="1" ht="24.75" thickBot="1">
      <c r="A24" s="2092" t="s">
        <v>1357</v>
      </c>
      <c r="B24" s="2093" t="s">
        <v>896</v>
      </c>
      <c r="C24" s="2094">
        <f>ROUND(POWER(1+G24,J24-I24)*(POWER(1+G24,I24)-1)/(POWER(1+G24,J24)-1),4)</f>
        <v>0.99319999999999997</v>
      </c>
      <c r="D24" s="2095" t="s">
        <v>897</v>
      </c>
      <c r="E24" s="2346">
        <f>存贷款利率!E27/100</f>
        <v>4.3499999999999997E-2</v>
      </c>
      <c r="F24" s="2095" t="s">
        <v>898</v>
      </c>
      <c r="G24" s="2096">
        <f>SUMIF(M30:Q30,E2,M33:Q33)</f>
        <v>5.5E-2</v>
      </c>
      <c r="H24" s="2095" t="s">
        <v>899</v>
      </c>
      <c r="I24" s="2091">
        <f>SUMIF('数据-取费表'!C6:C15,E2,'数据-取费表'!F6:F15)/COUNTIF('数据-取费表'!C6:C15,E2)</f>
        <v>39.07</v>
      </c>
      <c r="J24" s="2097">
        <f>IF(E2="住宅",70,IF(E2="商业",40,50))</f>
        <v>40</v>
      </c>
      <c r="K24" s="1790"/>
      <c r="L24" s="2321" t="s">
        <v>2115</v>
      </c>
      <c r="M24" s="2395">
        <f>ROUND(SUMPRODUCT((地价!A4:A41=YEAR(G23)&amp;"-"&amp;ROUNDUP(MONTH(G23)/3,0))*(地价!B2:F2=E2)*(地价!B4:F41)),0)</f>
        <v>0</v>
      </c>
      <c r="N24" s="2103" t="s">
        <v>1925</v>
      </c>
      <c r="O24" s="2101" t="s">
        <v>1924</v>
      </c>
      <c r="P24" s="2102" t="s">
        <v>1930</v>
      </c>
      <c r="Q24" s="2218"/>
      <c r="R24" s="1792"/>
      <c r="S24" s="1792"/>
      <c r="T24" s="1792"/>
      <c r="U24" s="1792"/>
      <c r="V24" s="1792"/>
      <c r="W24" s="1792"/>
      <c r="X24" s="1792"/>
      <c r="Y24" s="1218"/>
      <c r="Z24" s="1218"/>
      <c r="AA24" s="1218"/>
      <c r="AB24" s="1218"/>
      <c r="AC24" s="1218"/>
      <c r="AD24" s="1218"/>
    </row>
    <row r="25" spans="1:40" ht="14.25">
      <c r="A25" s="1359" t="s">
        <v>1366</v>
      </c>
      <c r="B25" s="1226" t="s">
        <v>2270</v>
      </c>
      <c r="C25" s="1001">
        <f>IF(B25="容积率修正",IF(G3&lt;10,D26,J26),C27)</f>
        <v>1</v>
      </c>
      <c r="D25" s="1227"/>
      <c r="E25" s="1227"/>
      <c r="F25" s="1227"/>
      <c r="G25" s="1227"/>
      <c r="H25" s="1227"/>
      <c r="I25" s="1227"/>
      <c r="J25" s="1228"/>
      <c r="K25" s="2734"/>
      <c r="L25" s="1227"/>
      <c r="M25" s="1227"/>
      <c r="N25" s="1224" t="s">
        <v>900</v>
      </c>
      <c r="O25" s="1284"/>
      <c r="P25" s="2090">
        <f>SUMPRODUCT((地价!A3:A41=YEAR(G23)&amp;"-"&amp;ROUNDUP(MONTH(G23)/3,0))*(地价!AD2:AH2=N25)*(地价!AD3:AH41))</f>
        <v>0</v>
      </c>
      <c r="Q25" s="2218"/>
      <c r="R25" s="1792"/>
      <c r="S25" s="1792"/>
      <c r="T25" s="1792"/>
      <c r="U25" s="1792"/>
      <c r="V25" s="1792"/>
      <c r="W25" s="1792"/>
      <c r="X25" s="1792"/>
      <c r="Y25" s="1184"/>
      <c r="Z25" s="1184"/>
      <c r="AA25" s="1184"/>
      <c r="AB25" s="1184"/>
      <c r="AC25" s="1184"/>
      <c r="AE25" s="1185"/>
      <c r="AF25" s="1185"/>
      <c r="AG25" s="1185"/>
      <c r="AH25" s="1185"/>
      <c r="AI25" s="1186"/>
      <c r="AJ25" s="1186"/>
      <c r="AK25" s="1186"/>
      <c r="AL25" s="1186"/>
      <c r="AM25" s="1186"/>
    </row>
    <row r="26" spans="1:40" ht="14.25">
      <c r="A26" s="1360" t="s">
        <v>1395</v>
      </c>
      <c r="B26" s="1229" t="s">
        <v>901</v>
      </c>
      <c r="C26" s="3290" t="s">
        <v>3203</v>
      </c>
      <c r="D26" s="949">
        <f>IF(E26=G26,F26,IF(G3&lt;10,ROUND(F26+(H26-F26)*(G3-E26)/(G26-E26),4),"——"))</f>
        <v>1</v>
      </c>
      <c r="E26" s="939">
        <f>ROUNDDOWN(G3,1)</f>
        <v>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39">
        <f>ROUNDUP(G3,1)</f>
        <v>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0" t="s">
        <v>3204</v>
      </c>
      <c r="J26" s="949" t="str">
        <f>IF(G3&gt;=10,D116,"——")</f>
        <v>——</v>
      </c>
      <c r="K26" s="2218"/>
      <c r="L26" s="1227"/>
      <c r="M26" s="1227"/>
      <c r="N26" s="1224" t="s">
        <v>902</v>
      </c>
      <c r="O26" s="1284"/>
      <c r="P26" s="2090">
        <f>SUMPRODUCT((地价!A3:A41=YEAR(G23)&amp;"-"&amp;ROUNDUP(MONTH(G23)/3,0))*(地价!AD2:AH2=N26)*(地价!AD3:AH41))</f>
        <v>0</v>
      </c>
      <c r="Q26" s="2218"/>
      <c r="R26" s="1792"/>
      <c r="S26" s="1792"/>
      <c r="T26" s="1792"/>
      <c r="U26" s="1792"/>
      <c r="V26" s="1792"/>
      <c r="W26" s="1792"/>
      <c r="X26" s="1792"/>
      <c r="Y26" s="1218"/>
      <c r="Z26" s="1218"/>
      <c r="AA26" s="1218"/>
      <c r="AB26" s="1218"/>
      <c r="AC26" s="1184"/>
      <c r="AE26" s="1185"/>
      <c r="AF26" s="1185"/>
      <c r="AG26" s="1185"/>
      <c r="AH26" s="1185"/>
      <c r="AI26" s="1186"/>
      <c r="AJ26" s="1186"/>
      <c r="AK26" s="1186"/>
      <c r="AL26" s="1186"/>
      <c r="AM26" s="1186"/>
    </row>
    <row r="27" spans="1:40" ht="15.75" thickBot="1">
      <c r="A27" s="1360" t="s">
        <v>1396</v>
      </c>
      <c r="B27" s="1229" t="s">
        <v>903</v>
      </c>
      <c r="C27" s="950">
        <f>ROUND(IF(I3&lt;6,SUMPRODUCT((B107:B111=I3)*(C106:N106=G2)*(C107:N111)),SUMIF(C106:N106,G2,C113:N113)),4)</f>
        <v>0</v>
      </c>
      <c r="D27" s="1272"/>
      <c r="E27" s="1272"/>
      <c r="F27" s="1273"/>
      <c r="G27" s="1274"/>
      <c r="H27" s="1275"/>
      <c r="I27" s="1276"/>
      <c r="J27" s="1276"/>
      <c r="K27" s="1792"/>
      <c r="L27" s="1182"/>
      <c r="M27" s="1182"/>
      <c r="N27" s="1224" t="s">
        <v>851</v>
      </c>
      <c r="O27" s="1284"/>
      <c r="P27" s="2090">
        <f>SUMPRODUCT((地价!A3:A41=YEAR(G23)&amp;"-"&amp;ROUNDUP(MONTH(G23)/3,0))*(地价!AD2:AH2=N27)*(地价!AD3:AH41))</f>
        <v>0</v>
      </c>
      <c r="Q27" s="2218"/>
      <c r="R27" s="2218"/>
      <c r="S27" s="2218"/>
      <c r="T27" s="2218"/>
      <c r="U27" s="2218"/>
      <c r="V27" s="2218"/>
      <c r="W27" s="1792"/>
      <c r="X27" s="1792"/>
      <c r="Y27" s="1792"/>
      <c r="Z27" s="1792"/>
      <c r="AA27" s="1792"/>
      <c r="AB27" s="1792"/>
      <c r="AC27" s="1792"/>
    </row>
    <row r="28" spans="1:40" ht="15.75" thickBot="1">
      <c r="A28" s="1358" t="s">
        <v>1397</v>
      </c>
      <c r="B28" s="1194" t="s">
        <v>904</v>
      </c>
      <c r="C28" s="951">
        <f>SUMIF(A47:A101,E2,B47:B101)</f>
        <v>1.0047999999999999</v>
      </c>
      <c r="D28" s="1277"/>
      <c r="E28" s="1278"/>
      <c r="F28" s="1278"/>
      <c r="G28" s="1278"/>
      <c r="H28" s="1278"/>
      <c r="I28" s="1278"/>
      <c r="J28" s="1278"/>
      <c r="K28" s="1792"/>
      <c r="L28" s="1227"/>
      <c r="M28" s="1227"/>
      <c r="N28" s="1224" t="s">
        <v>905</v>
      </c>
      <c r="O28" s="2394"/>
      <c r="P28" s="2090">
        <f>SUMPRODUCT((地价!A3:A41=YEAR(G23)&amp;"-"&amp;ROUNDUP(MONTH(G23)/3,0))*(地价!AD2:AH2=N28)*(地价!AD3:AH41))</f>
        <v>0</v>
      </c>
      <c r="Q28" s="2218"/>
      <c r="R28" s="2218"/>
      <c r="S28" s="2218"/>
      <c r="T28" s="2218"/>
      <c r="U28" s="2218"/>
      <c r="V28" s="2218"/>
      <c r="W28" s="1792"/>
      <c r="X28" s="1792"/>
      <c r="Y28" s="1792"/>
      <c r="Z28" s="1792"/>
      <c r="AA28" s="1792"/>
      <c r="AB28" s="1792"/>
      <c r="AC28" s="1792"/>
      <c r="AD28" s="1218"/>
      <c r="AE28" s="1218"/>
      <c r="AF28" s="1218"/>
      <c r="AG28" s="1218"/>
    </row>
    <row r="29" spans="1:40" ht="15" thickBot="1">
      <c r="A29" s="1358" t="s">
        <v>1398</v>
      </c>
      <c r="B29" s="1231" t="s">
        <v>906</v>
      </c>
      <c r="C29" s="1232"/>
      <c r="D29" s="1204"/>
      <c r="E29" s="1204"/>
      <c r="F29" s="1233"/>
      <c r="G29" s="1204"/>
      <c r="H29" s="1204"/>
      <c r="I29" s="1204"/>
      <c r="J29" s="1205"/>
      <c r="K29" s="1786"/>
      <c r="L29" s="1792"/>
      <c r="M29" s="1792"/>
      <c r="N29" s="2396" t="s">
        <v>1928</v>
      </c>
      <c r="O29" s="2397"/>
      <c r="P29" s="1964">
        <f>SUMPRODUCT((地价!A3:A41=YEAR(G23)&amp;"-"&amp;ROUNDUP(MONTH(G23)/3,0))*(地价!AD2:AH2=N29)*(地价!AD3:AH41))</f>
        <v>0</v>
      </c>
      <c r="Q29" s="2218"/>
      <c r="R29" s="1792"/>
      <c r="S29" s="1792"/>
      <c r="T29" s="1792"/>
      <c r="U29" s="1792"/>
      <c r="V29" s="1792"/>
      <c r="W29" s="2218"/>
      <c r="X29" s="2218"/>
      <c r="Y29" s="2218"/>
      <c r="Z29" s="2218"/>
      <c r="AA29" s="2218"/>
      <c r="AB29" s="1792"/>
      <c r="AC29" s="1792"/>
      <c r="AD29" s="1792"/>
      <c r="AE29" s="1792"/>
      <c r="AF29" s="1792"/>
      <c r="AG29" s="1792"/>
      <c r="AH29" s="1792"/>
      <c r="AJ29" s="1184"/>
      <c r="AK29" s="1184"/>
      <c r="AL29" s="1184"/>
      <c r="AM29" s="1183"/>
      <c r="AN29" s="1183"/>
    </row>
    <row r="30" spans="1:40" ht="13.5">
      <c r="A30" s="1234"/>
      <c r="B30" s="1229" t="s">
        <v>910</v>
      </c>
      <c r="C30" s="2549">
        <f>IF(B25="容积率修正",E33+SUM(E37:E42),SUM(V2:V16)+SUM(E37:E42))</f>
        <v>2658</v>
      </c>
      <c r="D30" s="1235"/>
      <c r="E30" s="1182"/>
      <c r="F30" s="1236"/>
      <c r="G30" s="1182"/>
      <c r="H30" s="1182"/>
      <c r="I30" s="1182"/>
      <c r="J30" s="1237"/>
      <c r="K30" s="1786"/>
      <c r="L30" s="1323" t="s">
        <v>833</v>
      </c>
      <c r="M30" s="1203" t="s">
        <v>900</v>
      </c>
      <c r="N30" s="1203" t="s">
        <v>902</v>
      </c>
      <c r="O30" s="1203" t="s">
        <v>835</v>
      </c>
      <c r="P30" s="1222" t="s">
        <v>909</v>
      </c>
      <c r="Q30" s="1222" t="s">
        <v>3230</v>
      </c>
      <c r="R30" s="1786"/>
      <c r="S30" s="1786"/>
      <c r="T30" s="1786"/>
      <c r="U30" s="1786"/>
      <c r="V30" s="1786"/>
      <c r="W30" s="1787"/>
      <c r="X30" s="1787"/>
      <c r="Y30" s="1787"/>
      <c r="Z30" s="1787"/>
      <c r="AA30" s="1787"/>
      <c r="AB30" s="1786"/>
      <c r="AC30" s="1786"/>
      <c r="AD30" s="1786"/>
      <c r="AE30" s="1786"/>
      <c r="AF30" s="1786"/>
      <c r="AG30" s="1786"/>
      <c r="AH30" s="1786"/>
      <c r="AI30" s="1218"/>
      <c r="AJ30" s="1218"/>
      <c r="AK30" s="1218"/>
      <c r="AL30" s="1218"/>
      <c r="AM30" s="1183"/>
      <c r="AN30" s="1183"/>
    </row>
    <row r="31" spans="1:40" ht="14.25" thickBot="1">
      <c r="A31" s="1234"/>
      <c r="B31" s="1238" t="s">
        <v>912</v>
      </c>
      <c r="C31" s="953">
        <f>E34+SUM(I37:I42)</f>
        <v>0</v>
      </c>
      <c r="D31" s="1239"/>
      <c r="E31" s="1240"/>
      <c r="F31" s="1241"/>
      <c r="G31" s="1240"/>
      <c r="H31" s="1240"/>
      <c r="I31" s="1240"/>
      <c r="J31" s="1242"/>
      <c r="K31" s="1786"/>
      <c r="L31" s="1215" t="s">
        <v>911</v>
      </c>
      <c r="M31" s="942">
        <v>0.25</v>
      </c>
      <c r="N31" s="942">
        <v>0.2</v>
      </c>
      <c r="O31" s="942">
        <v>0.15</v>
      </c>
      <c r="P31" s="1281">
        <v>0.1</v>
      </c>
      <c r="Q31" s="1281">
        <v>0.15</v>
      </c>
      <c r="R31" s="1786"/>
      <c r="S31" s="1786"/>
      <c r="T31" s="1786"/>
      <c r="U31" s="1786"/>
      <c r="V31" s="1786"/>
      <c r="W31" s="1787"/>
      <c r="X31" s="1787"/>
      <c r="Y31" s="1787"/>
      <c r="Z31" s="1787"/>
      <c r="AA31" s="1787"/>
      <c r="AB31" s="1786"/>
      <c r="AC31" s="1786"/>
      <c r="AD31" s="1786"/>
      <c r="AE31" s="1786"/>
      <c r="AF31" s="1786"/>
      <c r="AG31" s="1786"/>
      <c r="AH31" s="1786"/>
      <c r="AJ31" s="1184"/>
      <c r="AK31" s="1184"/>
      <c r="AL31" s="1184"/>
      <c r="AM31" s="1183"/>
      <c r="AN31" s="1183"/>
    </row>
    <row r="32" spans="1:40" ht="14.25" thickBot="1">
      <c r="A32" s="1230"/>
      <c r="B32" s="1243" t="s">
        <v>913</v>
      </c>
      <c r="C32" s="1244" t="s">
        <v>914</v>
      </c>
      <c r="D32" s="1244" t="s">
        <v>915</v>
      </c>
      <c r="E32" s="1245" t="s">
        <v>916</v>
      </c>
      <c r="F32" s="1246"/>
      <c r="G32" s="1209"/>
      <c r="H32" s="1209"/>
      <c r="I32" s="1209"/>
      <c r="J32" s="1210"/>
      <c r="K32" s="1786"/>
      <c r="L32" s="1216" t="s">
        <v>898</v>
      </c>
      <c r="M32" s="1282">
        <f>ROUND($E$24*(1+M31),3)</f>
        <v>5.3999999999999999E-2</v>
      </c>
      <c r="N32" s="1282">
        <f>ROUND($E$24*(1+N31),3)</f>
        <v>5.1999999999999998E-2</v>
      </c>
      <c r="O32" s="1282">
        <f>ROUND($E$24*(1+O31),3)</f>
        <v>0.05</v>
      </c>
      <c r="P32" s="1283">
        <f>ROUND($E$24*(1+P31),3)</f>
        <v>4.8000000000000001E-2</v>
      </c>
      <c r="Q32" s="1283">
        <f>ROUND($E$24*(1+Q31),3)</f>
        <v>0.05</v>
      </c>
      <c r="R32" s="1786"/>
      <c r="S32" s="1786"/>
      <c r="T32" s="1786"/>
      <c r="U32" s="1786"/>
      <c r="V32" s="1786"/>
      <c r="W32" s="1787"/>
      <c r="X32" s="1787"/>
      <c r="Y32" s="1787"/>
      <c r="Z32" s="1787"/>
      <c r="AA32" s="1787"/>
      <c r="AB32" s="1786"/>
      <c r="AC32" s="1786"/>
      <c r="AD32" s="1786"/>
      <c r="AE32" s="1786"/>
      <c r="AF32" s="1786"/>
      <c r="AG32" s="1786"/>
      <c r="AH32" s="1786"/>
      <c r="AI32" s="1183"/>
      <c r="AJ32" s="1183"/>
      <c r="AK32" s="1183"/>
      <c r="AL32" s="1183"/>
      <c r="AM32" s="1183"/>
      <c r="AN32" s="1183"/>
    </row>
    <row r="33" spans="1:44" ht="12.75">
      <c r="A33" s="1247"/>
      <c r="B33" s="1248" t="s">
        <v>917</v>
      </c>
      <c r="C33" s="952">
        <f>ROUND(C5*C22*C23*C24*C25*C28,0)</f>
        <v>4507</v>
      </c>
      <c r="D33" s="1249">
        <f>'数据-汇总表'!F20</f>
        <v>5896.96</v>
      </c>
      <c r="E33" s="1535">
        <f>ROUND(C33*D33/10000,0)</f>
        <v>2658</v>
      </c>
      <c r="F33" s="3291" t="s">
        <v>3205</v>
      </c>
      <c r="G33" s="1250"/>
      <c r="H33" s="1250"/>
      <c r="I33" s="1250"/>
      <c r="J33" s="1251"/>
      <c r="K33" s="2738"/>
      <c r="L33" s="3359" t="s">
        <v>3231</v>
      </c>
      <c r="M33" s="3360">
        <v>5.5E-2</v>
      </c>
      <c r="N33" s="3360">
        <v>5.5E-2</v>
      </c>
      <c r="O33" s="3360">
        <v>0.05</v>
      </c>
      <c r="P33" s="3360">
        <v>0.05</v>
      </c>
      <c r="Q33" s="3360">
        <v>0.05</v>
      </c>
      <c r="R33" s="1786"/>
      <c r="S33" s="1786"/>
      <c r="T33" s="1786"/>
      <c r="U33" s="1786"/>
      <c r="V33" s="1786"/>
      <c r="W33" s="1787"/>
      <c r="X33" s="1787"/>
      <c r="Y33" s="1787"/>
      <c r="Z33" s="1787"/>
      <c r="AA33" s="1787"/>
      <c r="AB33" s="1786"/>
      <c r="AC33" s="1786"/>
      <c r="AD33" s="1786"/>
      <c r="AE33" s="1786"/>
      <c r="AF33" s="1786"/>
      <c r="AG33" s="1786"/>
      <c r="AH33" s="1787"/>
      <c r="AJ33" s="1184"/>
      <c r="AK33" s="1184"/>
      <c r="AL33" s="1184"/>
      <c r="AM33" s="1184"/>
      <c r="AN33" s="1184"/>
      <c r="AO33" s="1185"/>
      <c r="AP33" s="1185"/>
      <c r="AQ33" s="1185"/>
      <c r="AR33" s="1185"/>
    </row>
    <row r="34" spans="1:44" ht="24.75" thickBot="1">
      <c r="A34" s="1252"/>
      <c r="B34" s="1253" t="s">
        <v>918</v>
      </c>
      <c r="C34" s="944">
        <f>ROUND(IF(E2="工业",C33*M42,IF(B25="楼层修正",SUM(V2:V16)*M41*10000/D34,C33*M41)),0)</f>
        <v>1127</v>
      </c>
      <c r="D34" s="1254"/>
      <c r="E34" s="1535">
        <f>ROUND(IF(B25="楼层修正",SUM(V2:V16)*#REF!,C34*D34/10000),0)</f>
        <v>0</v>
      </c>
      <c r="F34" s="3292" t="s">
        <v>3206</v>
      </c>
      <c r="G34" s="1255"/>
      <c r="H34" s="1255"/>
      <c r="I34" s="1255"/>
      <c r="J34" s="1256"/>
      <c r="K34" s="1786"/>
      <c r="L34" s="3359" t="s">
        <v>3232</v>
      </c>
      <c r="M34" s="3360">
        <v>6.5000000000000002E-2</v>
      </c>
      <c r="N34" s="3360">
        <v>6.5000000000000002E-2</v>
      </c>
      <c r="O34" s="3360">
        <v>0.06</v>
      </c>
      <c r="P34" s="3360">
        <v>0.06</v>
      </c>
      <c r="Q34" s="3360">
        <v>0.06</v>
      </c>
      <c r="R34" s="1786"/>
      <c r="S34" s="1786"/>
      <c r="T34" s="1786"/>
      <c r="U34" s="1786"/>
      <c r="V34" s="1786"/>
      <c r="W34" s="1787"/>
      <c r="X34" s="1787"/>
      <c r="Y34" s="1787"/>
      <c r="Z34" s="1787"/>
      <c r="AA34" s="1787"/>
      <c r="AB34" s="1786"/>
      <c r="AC34" s="1786"/>
      <c r="AD34" s="1786"/>
      <c r="AE34" s="1786"/>
      <c r="AF34" s="1786"/>
      <c r="AG34" s="1786"/>
      <c r="AH34" s="1787"/>
      <c r="AJ34" s="1184"/>
      <c r="AK34" s="1184"/>
      <c r="AL34" s="1184"/>
      <c r="AM34" s="1184"/>
      <c r="AN34" s="1184"/>
      <c r="AO34" s="1185"/>
      <c r="AP34" s="1185"/>
      <c r="AQ34" s="1185"/>
      <c r="AR34" s="1185"/>
    </row>
    <row r="35" spans="1:44">
      <c r="A35" s="1257"/>
      <c r="B35" s="1258" t="s">
        <v>920</v>
      </c>
      <c r="C35" s="1259" t="s">
        <v>921</v>
      </c>
      <c r="D35" s="1209"/>
      <c r="E35" s="1259"/>
      <c r="F35" s="1259"/>
      <c r="G35" s="1208" t="s">
        <v>919</v>
      </c>
      <c r="H35" s="1209"/>
      <c r="I35" s="1260"/>
      <c r="J35" s="1210"/>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4"/>
      <c r="AK35" s="1184"/>
      <c r="AL35" s="1184"/>
      <c r="AM35" s="1184"/>
      <c r="AN35" s="1184"/>
      <c r="AO35" s="1185"/>
      <c r="AP35" s="1185"/>
      <c r="AQ35" s="1185"/>
      <c r="AR35" s="1185"/>
    </row>
    <row r="36" spans="1:44" ht="24.75" thickBot="1">
      <c r="A36" s="1247"/>
      <c r="B36" s="1261"/>
      <c r="C36" s="1262" t="s">
        <v>914</v>
      </c>
      <c r="D36" s="1263" t="s">
        <v>915</v>
      </c>
      <c r="E36" s="1263" t="s">
        <v>916</v>
      </c>
      <c r="F36" s="1264" t="s">
        <v>922</v>
      </c>
      <c r="G36" s="1225" t="s">
        <v>914</v>
      </c>
      <c r="H36" s="1225" t="s">
        <v>915</v>
      </c>
      <c r="I36" s="1225" t="s">
        <v>916</v>
      </c>
      <c r="J36" s="1265"/>
      <c r="K36" s="3361" t="s">
        <v>3233</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4"/>
      <c r="AK36" s="1184"/>
      <c r="AL36" s="1184"/>
      <c r="AM36" s="1184"/>
      <c r="AN36" s="1184"/>
      <c r="AO36" s="1185"/>
      <c r="AP36" s="1185"/>
      <c r="AQ36" s="1185"/>
      <c r="AR36" s="1185"/>
    </row>
    <row r="37" spans="1:44" ht="13.5" thickBot="1">
      <c r="A37" s="3734"/>
      <c r="B37" s="1267" t="s">
        <v>923</v>
      </c>
      <c r="C37" s="952">
        <f>ROUND(D5*C22*C23*C24*C28*F37,0)</f>
        <v>2254</v>
      </c>
      <c r="D37" s="1279"/>
      <c r="E37" s="943">
        <f>ROUND(C37*D37/10000,0)</f>
        <v>0</v>
      </c>
      <c r="F37" s="943">
        <f>SUMIF(修正!A57:A68,G2,修正!B57:B68)</f>
        <v>0.5</v>
      </c>
      <c r="G37" s="943">
        <f>ROUND(IF(E2="工业",C37*$M$42,C37*$M$41),0)</f>
        <v>564</v>
      </c>
      <c r="H37" s="943">
        <f>D37</f>
        <v>0</v>
      </c>
      <c r="I37" s="943">
        <f>ROUND(G37*H37/10000,0)</f>
        <v>0</v>
      </c>
      <c r="J37" s="3734"/>
      <c r="K37" s="3362" t="s">
        <v>3234</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7"/>
      <c r="S37" s="1787"/>
      <c r="T37" s="1787"/>
      <c r="U37" s="1787"/>
      <c r="V37" s="1787"/>
      <c r="W37" s="1786"/>
      <c r="X37" s="1786"/>
      <c r="Y37" s="1786"/>
      <c r="Z37" s="1786"/>
      <c r="AA37" s="1786"/>
      <c r="AB37" s="1786"/>
      <c r="AC37" s="1787"/>
    </row>
    <row r="38" spans="1:44" ht="12.75">
      <c r="A38" s="3735"/>
      <c r="B38" s="1212" t="s">
        <v>924</v>
      </c>
      <c r="C38" s="952">
        <f>ROUND(D5*C22*C23*C24*C28*F38,0)</f>
        <v>901</v>
      </c>
      <c r="D38" s="1279"/>
      <c r="E38" s="943">
        <f t="shared" ref="E38:E42" si="4">ROUND(C38*D38/10000,0)</f>
        <v>0</v>
      </c>
      <c r="F38" s="943">
        <f>SUMIF(修正!A57:A68,G2,修正!C57:C68)</f>
        <v>0.2</v>
      </c>
      <c r="G38" s="943">
        <f>ROUND(IF(E2="工业",C38*$M$42,C38*$M$41),0)</f>
        <v>225</v>
      </c>
      <c r="H38" s="943">
        <f t="shared" ref="H38:H42" si="5">D38</f>
        <v>0</v>
      </c>
      <c r="I38" s="943">
        <f t="shared" ref="I38:I42" si="6">ROUND(G38*H38/10000,0)</f>
        <v>0</v>
      </c>
      <c r="J38" s="3735"/>
      <c r="K38" s="3361">
        <v>5.0000000000000001E-3</v>
      </c>
      <c r="L38" s="3361"/>
      <c r="M38" s="3361"/>
      <c r="N38" s="3361"/>
      <c r="O38" s="3361"/>
      <c r="P38" s="3361"/>
      <c r="Q38" s="3361"/>
      <c r="R38" s="1787"/>
      <c r="S38" s="1787"/>
      <c r="T38" s="1787"/>
      <c r="U38" s="1787"/>
      <c r="V38" s="1787"/>
      <c r="W38" s="1786"/>
      <c r="X38" s="1786"/>
      <c r="Y38" s="1786"/>
      <c r="Z38" s="1786"/>
      <c r="AA38" s="1786"/>
      <c r="AB38" s="1786"/>
      <c r="AC38" s="1787"/>
    </row>
    <row r="39" spans="1:44" ht="13.5" thickBot="1">
      <c r="A39" s="3735"/>
      <c r="B39" s="3293" t="s">
        <v>3207</v>
      </c>
      <c r="C39" s="952">
        <f>ROUND(D5*C22*C23*C24*C28*F39,0)</f>
        <v>901</v>
      </c>
      <c r="D39" s="1279"/>
      <c r="E39" s="943">
        <f t="shared" si="4"/>
        <v>0</v>
      </c>
      <c r="F39" s="943">
        <f>SUMIF(修正!A57:A68,G2,修正!D57:D68)</f>
        <v>0.2</v>
      </c>
      <c r="G39" s="943">
        <f>ROUND(IF(E2="工业",C39*$M$42,C39*$M$41),0)</f>
        <v>225</v>
      </c>
      <c r="H39" s="943">
        <f t="shared" si="5"/>
        <v>0</v>
      </c>
      <c r="I39" s="943">
        <f t="shared" si="6"/>
        <v>0</v>
      </c>
      <c r="J39" s="3735"/>
      <c r="K39" s="1787"/>
      <c r="L39" s="1787"/>
      <c r="M39" s="1787"/>
      <c r="N39" s="1787"/>
      <c r="O39" s="1787"/>
      <c r="P39" s="1786"/>
      <c r="Q39" s="1786"/>
      <c r="R39" s="1787"/>
      <c r="S39" s="1787"/>
      <c r="T39" s="1787"/>
      <c r="U39" s="1787"/>
      <c r="V39" s="1787"/>
      <c r="W39" s="1786"/>
      <c r="X39" s="1786"/>
      <c r="Y39" s="1786"/>
      <c r="Z39" s="1786"/>
      <c r="AA39" s="1786"/>
      <c r="AB39" s="1786"/>
      <c r="AC39" s="1787"/>
    </row>
    <row r="40" spans="1:44" s="1183" customFormat="1" ht="12.75">
      <c r="A40" s="1266"/>
      <c r="B40" s="1212" t="s">
        <v>925</v>
      </c>
      <c r="C40" s="943">
        <f>ROUND(D5*C22*C23*C24*C28*F40,0)</f>
        <v>901</v>
      </c>
      <c r="D40" s="1279"/>
      <c r="E40" s="943">
        <f t="shared" si="4"/>
        <v>0</v>
      </c>
      <c r="F40" s="952">
        <f>SUMIF(修正!A57:A68,G2,修正!E57:E68)</f>
        <v>0.2</v>
      </c>
      <c r="G40" s="943">
        <f>ROUND(IF(E2="工业",C40*$M$42,C40*$M$41),0)</f>
        <v>225</v>
      </c>
      <c r="H40" s="943">
        <f t="shared" si="5"/>
        <v>0</v>
      </c>
      <c r="I40" s="943">
        <f t="shared" si="6"/>
        <v>0</v>
      </c>
      <c r="J40" s="1268"/>
      <c r="K40" s="1786"/>
      <c r="L40" s="1285" t="s">
        <v>1233</v>
      </c>
      <c r="M40" s="1286"/>
      <c r="N40" s="1786"/>
      <c r="O40" s="1786"/>
      <c r="P40" s="1786"/>
      <c r="Q40" s="1786"/>
      <c r="R40" s="1794"/>
      <c r="S40" s="1794"/>
      <c r="T40" s="1794"/>
      <c r="U40" s="1794"/>
      <c r="V40" s="1794"/>
      <c r="W40" s="1793"/>
      <c r="X40" s="1793"/>
      <c r="Y40" s="1793"/>
      <c r="Z40" s="1793"/>
      <c r="AA40" s="1793"/>
      <c r="AB40" s="1793"/>
      <c r="AC40" s="1794"/>
      <c r="AD40" s="1184"/>
      <c r="AE40" s="1184"/>
      <c r="AF40" s="1184"/>
      <c r="AG40" s="1184"/>
      <c r="AH40" s="1184"/>
      <c r="AI40" s="1184"/>
      <c r="AJ40" s="1184"/>
      <c r="AK40" s="1184"/>
      <c r="AL40" s="1184"/>
      <c r="AM40" s="1184"/>
    </row>
    <row r="41" spans="1:44" s="1183" customFormat="1" ht="12.75">
      <c r="A41" s="1266"/>
      <c r="B41" s="1212" t="s">
        <v>926</v>
      </c>
      <c r="C41" s="943">
        <f>ROUND(D5*C22*C23*C44*C28*F41,0)</f>
        <v>904</v>
      </c>
      <c r="D41" s="1279"/>
      <c r="E41" s="943">
        <f t="shared" si="4"/>
        <v>0</v>
      </c>
      <c r="F41" s="952">
        <f>SUMIF(修正!A57:A68,G2,修正!F57:F68)</f>
        <v>0.2</v>
      </c>
      <c r="G41" s="943">
        <f>ROUND(IF(E2="工业",C41*$M$42,C41*$M$41),0)</f>
        <v>226</v>
      </c>
      <c r="H41" s="943">
        <f t="shared" si="5"/>
        <v>0</v>
      </c>
      <c r="I41" s="943">
        <f t="shared" si="6"/>
        <v>0</v>
      </c>
      <c r="J41" s="1268"/>
      <c r="K41" s="1786"/>
      <c r="L41" s="3365" t="s">
        <v>3235</v>
      </c>
      <c r="M41" s="1287">
        <v>0.25</v>
      </c>
      <c r="N41" s="1786"/>
      <c r="O41" s="1786"/>
      <c r="P41" s="1786"/>
      <c r="Q41" s="1786"/>
      <c r="R41" s="1794"/>
      <c r="S41" s="1794"/>
      <c r="T41" s="1794"/>
      <c r="U41" s="1794"/>
      <c r="V41" s="1794"/>
      <c r="W41" s="1793"/>
      <c r="X41" s="1793"/>
      <c r="Y41" s="1793"/>
      <c r="Z41" s="1793"/>
      <c r="AA41" s="1793"/>
      <c r="AB41" s="1793"/>
      <c r="AC41" s="1794"/>
      <c r="AD41" s="1184"/>
      <c r="AE41" s="1184"/>
      <c r="AF41" s="1184"/>
      <c r="AG41" s="1184"/>
      <c r="AH41" s="1184"/>
      <c r="AI41" s="1184"/>
      <c r="AJ41" s="1184"/>
      <c r="AK41" s="1184"/>
      <c r="AL41" s="1184"/>
      <c r="AM41" s="1184"/>
    </row>
    <row r="42" spans="1:44" s="1183" customFormat="1" ht="13.5" thickBot="1">
      <c r="A42" s="1252"/>
      <c r="B42" s="1269" t="s">
        <v>927</v>
      </c>
      <c r="C42" s="944">
        <f>ROUND(D5*C22*C23*C44*C28*F42,0)</f>
        <v>452</v>
      </c>
      <c r="D42" s="1279"/>
      <c r="E42" s="944">
        <f t="shared" si="4"/>
        <v>0</v>
      </c>
      <c r="F42" s="954">
        <f>SUMIF(修正!A57:A68,G2,修正!G57:G68)</f>
        <v>0.1</v>
      </c>
      <c r="G42" s="944">
        <f>ROUND(IF(E2="工业",C42*$M$42,C42*$M$41),0)</f>
        <v>113</v>
      </c>
      <c r="H42" s="944">
        <f t="shared" si="5"/>
        <v>0</v>
      </c>
      <c r="I42" s="944">
        <f t="shared" si="6"/>
        <v>0</v>
      </c>
      <c r="J42" s="1270"/>
      <c r="K42" s="1786"/>
      <c r="L42" s="1288" t="s">
        <v>1234</v>
      </c>
      <c r="M42" s="1289">
        <v>0.15</v>
      </c>
      <c r="N42" s="1786"/>
      <c r="O42" s="1786"/>
      <c r="P42" s="1786"/>
      <c r="Q42" s="1786"/>
      <c r="R42" s="1794"/>
      <c r="S42" s="1794"/>
      <c r="T42" s="1794"/>
      <c r="U42" s="1794"/>
      <c r="V42" s="1794"/>
      <c r="W42" s="1793"/>
      <c r="X42" s="1793"/>
      <c r="Y42" s="1793"/>
      <c r="Z42" s="1793"/>
      <c r="AA42" s="1793"/>
      <c r="AB42" s="1793"/>
      <c r="AC42" s="1794"/>
      <c r="AD42" s="1184"/>
      <c r="AE42" s="1184"/>
      <c r="AF42" s="1184"/>
      <c r="AG42" s="1184"/>
      <c r="AH42" s="1184"/>
      <c r="AI42" s="1184"/>
      <c r="AJ42" s="1184"/>
      <c r="AK42" s="1184"/>
      <c r="AL42" s="1184"/>
      <c r="AM42" s="1184"/>
    </row>
    <row r="43" spans="1:44" s="1183"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4"/>
      <c r="AE43" s="1184"/>
      <c r="AF43" s="1184"/>
      <c r="AG43" s="1184"/>
      <c r="AH43" s="1184"/>
      <c r="AI43" s="1184"/>
      <c r="AJ43" s="1184"/>
      <c r="AK43" s="1184"/>
      <c r="AL43" s="1184"/>
      <c r="AM43" s="1184"/>
    </row>
    <row r="44" spans="1:44" s="1183" customFormat="1" ht="12.75">
      <c r="A44" s="1184"/>
      <c r="B44" s="2392" t="s">
        <v>2236</v>
      </c>
      <c r="C44" s="771">
        <f>ROUND(POWER(1+E44,H44-G44)*(POWER(1+E44,G44)-1)/(POWER(1+E44,H44)-1),4)</f>
        <v>0.99629999999999996</v>
      </c>
      <c r="D44" s="346" t="s">
        <v>2234</v>
      </c>
      <c r="E44" s="2391">
        <f>G24</f>
        <v>5.5E-2</v>
      </c>
      <c r="F44" s="346" t="s">
        <v>2235</v>
      </c>
      <c r="G44" s="364">
        <f>项目基本情况!F19</f>
        <v>49.08</v>
      </c>
      <c r="H44" s="346">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4"/>
      <c r="AE44" s="1184"/>
      <c r="AF44" s="1184"/>
      <c r="AG44" s="1184"/>
      <c r="AH44" s="1184"/>
      <c r="AI44" s="1184"/>
      <c r="AJ44" s="1184"/>
      <c r="AK44" s="1184"/>
      <c r="AL44" s="1184"/>
      <c r="AM44" s="1184"/>
    </row>
    <row r="45" spans="1:44" s="1183" customFormat="1">
      <c r="A45" s="1184"/>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4"/>
      <c r="AF45" s="1184"/>
      <c r="AG45" s="1184"/>
      <c r="AH45" s="1184"/>
      <c r="AI45" s="1184"/>
      <c r="AJ45" s="1184"/>
      <c r="AK45" s="1184"/>
      <c r="AL45" s="1184"/>
      <c r="AM45" s="1184"/>
      <c r="AN45" s="1184"/>
    </row>
    <row r="46" spans="1:44" s="1183" customFormat="1">
      <c r="A46" s="1184"/>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4"/>
      <c r="AF46" s="1184"/>
      <c r="AG46" s="1184"/>
      <c r="AH46" s="1184"/>
      <c r="AI46" s="1184"/>
      <c r="AJ46" s="1184"/>
      <c r="AK46" s="1184"/>
      <c r="AL46" s="1184"/>
      <c r="AM46" s="1184"/>
      <c r="AN46" s="1184"/>
    </row>
    <row r="47" spans="1:44" s="3306" customFormat="1" ht="15" thickBot="1">
      <c r="A47" s="3302" t="s">
        <v>928</v>
      </c>
      <c r="B47" s="3303"/>
      <c r="C47" s="3304"/>
      <c r="D47" s="3305"/>
      <c r="E47" s="3305"/>
      <c r="F47" s="3305"/>
      <c r="G47" s="3161"/>
      <c r="H47" s="3305"/>
      <c r="I47" s="3161"/>
      <c r="J47" s="3161"/>
      <c r="K47" s="3161"/>
      <c r="L47" s="3161"/>
      <c r="M47" s="3161"/>
      <c r="O47" s="1795"/>
      <c r="P47" s="1795"/>
      <c r="Q47" s="1795"/>
      <c r="R47" s="1795"/>
      <c r="S47" s="1795"/>
      <c r="T47" s="1795"/>
      <c r="U47" s="1795"/>
      <c r="V47" s="1795"/>
      <c r="W47" s="1795"/>
      <c r="X47" s="1795"/>
      <c r="Y47" s="1795"/>
      <c r="Z47" s="1795"/>
      <c r="AA47" s="1795"/>
      <c r="AB47" s="1795"/>
      <c r="AC47" s="1795"/>
      <c r="AD47" s="1795"/>
    </row>
    <row r="48" spans="1:44" s="3306" customFormat="1" ht="15">
      <c r="A48" s="3307" t="s">
        <v>900</v>
      </c>
      <c r="B48" s="3369">
        <f>1+E50</f>
        <v>1.0047999999999999</v>
      </c>
      <c r="C48" s="3308"/>
      <c r="D48" s="3309"/>
      <c r="E48" s="3310"/>
      <c r="F48" s="3302"/>
      <c r="G48" s="3305"/>
      <c r="H48" s="3305"/>
      <c r="I48" s="3161"/>
      <c r="J48" s="3161"/>
      <c r="K48" s="3161"/>
      <c r="L48" s="3161"/>
      <c r="M48" s="3161"/>
      <c r="O48" s="1795"/>
      <c r="P48" s="1795"/>
      <c r="Q48" s="1795"/>
      <c r="R48" s="1795"/>
      <c r="S48" s="1795"/>
      <c r="T48" s="1795"/>
      <c r="U48" s="1795"/>
      <c r="V48" s="1795"/>
      <c r="W48" s="1795"/>
      <c r="X48" s="1795"/>
      <c r="Y48" s="1795"/>
      <c r="Z48" s="1795"/>
      <c r="AA48" s="1795"/>
      <c r="AB48" s="1795"/>
      <c r="AC48" s="1795"/>
      <c r="AD48" s="1795"/>
    </row>
    <row r="49" spans="1:30" s="3306" customFormat="1" ht="24">
      <c r="A49" s="3311" t="s">
        <v>930</v>
      </c>
      <c r="B49" s="3312" t="s">
        <v>931</v>
      </c>
      <c r="C49" s="3313" t="s">
        <v>932</v>
      </c>
      <c r="D49" s="3314" t="s">
        <v>933</v>
      </c>
      <c r="E49" s="3315" t="s">
        <v>935</v>
      </c>
      <c r="F49" s="3189" t="s">
        <v>1607</v>
      </c>
      <c r="G49" s="3314" t="s">
        <v>936</v>
      </c>
      <c r="H49" s="3316" t="s">
        <v>1770</v>
      </c>
      <c r="I49" s="3314" t="s">
        <v>934</v>
      </c>
      <c r="J49" s="3317" t="s">
        <v>937</v>
      </c>
      <c r="K49" s="3317" t="s">
        <v>938</v>
      </c>
      <c r="L49" s="3317" t="s">
        <v>939</v>
      </c>
      <c r="M49" s="3317" t="s">
        <v>940</v>
      </c>
      <c r="N49" s="3317" t="s">
        <v>941</v>
      </c>
      <c r="P49" s="1795"/>
      <c r="Q49" s="1795"/>
      <c r="R49" s="1795"/>
      <c r="S49" s="1795"/>
      <c r="T49" s="1795"/>
      <c r="U49" s="1795"/>
      <c r="V49" s="1795"/>
      <c r="W49" s="1795"/>
      <c r="X49" s="1795"/>
      <c r="Y49" s="1795"/>
      <c r="Z49" s="1795"/>
      <c r="AA49" s="1795"/>
      <c r="AB49" s="1795"/>
      <c r="AC49" s="1795"/>
      <c r="AD49" s="1795"/>
    </row>
    <row r="50" spans="1:30" s="3306" customFormat="1" ht="24">
      <c r="A50" s="3311" t="s">
        <v>942</v>
      </c>
      <c r="B50" s="3318">
        <f>估价对象房地状况!C16</f>
        <v>0</v>
      </c>
      <c r="C50" s="3319" t="s">
        <v>3343</v>
      </c>
      <c r="D50" s="3320">
        <f t="shared" ref="D50:D58" si="7">SUMIF($J$49:$N$49,C50,J50:N50)</f>
        <v>-1.89E-2</v>
      </c>
      <c r="E50" s="3321">
        <f>ROUND(SUM(D50:D58),4)</f>
        <v>4.7999999999999996E-3</v>
      </c>
      <c r="F50" s="3322">
        <f>IF(E2="商业",SUMIF(L1:L12,G2,N1:N12),"——")</f>
        <v>0.126</v>
      </c>
      <c r="G50" s="3323">
        <v>1.89E-2</v>
      </c>
      <c r="H50" s="3324">
        <f t="shared" ref="H50:H58" si="8">IFERROR(ROUNDDOWN(($F$50*I50/2),4),"——")</f>
        <v>1.89E-2</v>
      </c>
      <c r="I50" s="3299">
        <v>0.3</v>
      </c>
      <c r="J50" s="3325">
        <f t="shared" ref="J50:J58" si="9">K50+$G50</f>
        <v>3.78E-2</v>
      </c>
      <c r="K50" s="3325">
        <f t="shared" ref="K50:K58" si="10">$L50+$G50</f>
        <v>1.89E-2</v>
      </c>
      <c r="L50" s="3325">
        <v>0</v>
      </c>
      <c r="M50" s="3325">
        <f t="shared" ref="M50:N58" si="11">L50-$G50</f>
        <v>-1.89E-2</v>
      </c>
      <c r="N50" s="3325">
        <f t="shared" si="11"/>
        <v>-3.78E-2</v>
      </c>
      <c r="P50" s="1795"/>
      <c r="Q50" s="1795"/>
      <c r="R50" s="1795"/>
      <c r="S50" s="1795"/>
      <c r="T50" s="1795"/>
      <c r="U50" s="1795"/>
      <c r="V50" s="1795"/>
      <c r="W50" s="1795"/>
      <c r="X50" s="1795"/>
      <c r="Y50" s="1795"/>
      <c r="Z50" s="1795"/>
      <c r="AA50" s="1795"/>
      <c r="AB50" s="1795"/>
      <c r="AC50" s="1795"/>
      <c r="AD50" s="1795"/>
    </row>
    <row r="51" spans="1:30" s="3306" customFormat="1" ht="14.25">
      <c r="A51" s="3311" t="s">
        <v>943</v>
      </c>
      <c r="B51" s="3312">
        <f>估价对象房地状况!C18</f>
        <v>0</v>
      </c>
      <c r="C51" s="3319" t="s">
        <v>3342</v>
      </c>
      <c r="D51" s="3320">
        <f t="shared" si="7"/>
        <v>0</v>
      </c>
      <c r="E51" s="3326"/>
      <c r="F51" s="3322"/>
      <c r="G51" s="3323">
        <v>1.38E-2</v>
      </c>
      <c r="H51" s="3324">
        <f t="shared" si="8"/>
        <v>1.38E-2</v>
      </c>
      <c r="I51" s="3299">
        <v>0.22</v>
      </c>
      <c r="J51" s="3325">
        <f t="shared" si="9"/>
        <v>2.76E-2</v>
      </c>
      <c r="K51" s="3325">
        <f t="shared" si="10"/>
        <v>1.38E-2</v>
      </c>
      <c r="L51" s="3325">
        <v>0</v>
      </c>
      <c r="M51" s="3325">
        <f t="shared" si="11"/>
        <v>-1.38E-2</v>
      </c>
      <c r="N51" s="3325">
        <f t="shared" si="11"/>
        <v>-2.76E-2</v>
      </c>
      <c r="P51" s="1795"/>
      <c r="Q51" s="1795"/>
      <c r="R51" s="1795"/>
      <c r="S51" s="1795"/>
      <c r="T51" s="1795"/>
      <c r="U51" s="1795"/>
      <c r="V51" s="1795"/>
      <c r="W51" s="1795"/>
      <c r="X51" s="1795"/>
      <c r="Y51" s="1795"/>
      <c r="Z51" s="1795"/>
      <c r="AA51" s="1795"/>
      <c r="AB51" s="1795"/>
      <c r="AC51" s="1795"/>
      <c r="AD51" s="1795"/>
    </row>
    <row r="52" spans="1:30" s="3306" customFormat="1" ht="36">
      <c r="A52" s="3294" t="s">
        <v>3209</v>
      </c>
      <c r="B52" s="3312">
        <f>估价对象房地状况!C19</f>
        <v>0</v>
      </c>
      <c r="C52" s="3319" t="s">
        <v>3346</v>
      </c>
      <c r="D52" s="3320">
        <f t="shared" si="7"/>
        <v>7.4999999999999997E-3</v>
      </c>
      <c r="E52" s="3326"/>
      <c r="F52" s="3322"/>
      <c r="G52" s="3323">
        <v>7.4999999999999997E-3</v>
      </c>
      <c r="H52" s="3324">
        <f t="shared" si="8"/>
        <v>7.4999999999999997E-3</v>
      </c>
      <c r="I52" s="3299">
        <v>0.12</v>
      </c>
      <c r="J52" s="3325">
        <f t="shared" si="9"/>
        <v>1.4999999999999999E-2</v>
      </c>
      <c r="K52" s="3325">
        <f t="shared" si="10"/>
        <v>7.4999999999999997E-3</v>
      </c>
      <c r="L52" s="3325">
        <v>0</v>
      </c>
      <c r="M52" s="3325">
        <f t="shared" si="11"/>
        <v>-7.4999999999999997E-3</v>
      </c>
      <c r="N52" s="3325">
        <f t="shared" si="11"/>
        <v>-1.4999999999999999E-2</v>
      </c>
      <c r="P52" s="1795"/>
      <c r="Q52" s="1795"/>
      <c r="R52" s="1795"/>
      <c r="S52" s="1795"/>
      <c r="T52" s="1795"/>
      <c r="U52" s="1795"/>
      <c r="V52" s="1795"/>
      <c r="W52" s="1795"/>
      <c r="X52" s="1795"/>
      <c r="Y52" s="1795"/>
      <c r="Z52" s="1795"/>
      <c r="AA52" s="1795"/>
      <c r="AB52" s="1795"/>
      <c r="AC52" s="1795"/>
      <c r="AD52" s="1795"/>
    </row>
    <row r="53" spans="1:30" s="3306" customFormat="1" ht="36">
      <c r="A53" s="3311" t="s">
        <v>945</v>
      </c>
      <c r="B53" s="3327" t="s">
        <v>2193</v>
      </c>
      <c r="C53" s="3319" t="s">
        <v>3346</v>
      </c>
      <c r="D53" s="3320">
        <f t="shared" si="7"/>
        <v>3.0999999999999999E-3</v>
      </c>
      <c r="E53" s="3326"/>
      <c r="F53" s="3322"/>
      <c r="G53" s="3323">
        <v>3.0999999999999999E-3</v>
      </c>
      <c r="H53" s="3324">
        <f t="shared" si="8"/>
        <v>3.0999999999999999E-3</v>
      </c>
      <c r="I53" s="3299">
        <v>0.05</v>
      </c>
      <c r="J53" s="3325">
        <f t="shared" si="9"/>
        <v>6.1999999999999998E-3</v>
      </c>
      <c r="K53" s="3325">
        <f t="shared" si="10"/>
        <v>3.0999999999999999E-3</v>
      </c>
      <c r="L53" s="3325">
        <v>0</v>
      </c>
      <c r="M53" s="3325">
        <f t="shared" si="11"/>
        <v>-3.0999999999999999E-3</v>
      </c>
      <c r="N53" s="3325">
        <f t="shared" si="11"/>
        <v>-6.1999999999999998E-3</v>
      </c>
      <c r="P53" s="1795"/>
      <c r="Q53" s="1795"/>
      <c r="R53" s="1795"/>
      <c r="S53" s="1795"/>
      <c r="T53" s="1795"/>
      <c r="U53" s="1795"/>
      <c r="V53" s="1795"/>
      <c r="W53" s="1795"/>
      <c r="X53" s="1795"/>
      <c r="Y53" s="1795"/>
      <c r="Z53" s="1795"/>
      <c r="AA53" s="1795"/>
      <c r="AB53" s="1795"/>
      <c r="AC53" s="1795"/>
      <c r="AD53" s="1795"/>
    </row>
    <row r="54" spans="1:30" s="3306" customFormat="1" ht="24">
      <c r="A54" s="3311" t="s">
        <v>946</v>
      </c>
      <c r="B54" s="3312">
        <f>估价对象房地状况!C24</f>
        <v>0</v>
      </c>
      <c r="C54" s="3319" t="s">
        <v>3342</v>
      </c>
      <c r="D54" s="3320">
        <f t="shared" si="7"/>
        <v>0</v>
      </c>
      <c r="E54" s="3326"/>
      <c r="F54" s="3322"/>
      <c r="G54" s="3323">
        <v>5.0000000000000001E-3</v>
      </c>
      <c r="H54" s="3324">
        <f t="shared" si="8"/>
        <v>5.0000000000000001E-3</v>
      </c>
      <c r="I54" s="3299">
        <v>0.08</v>
      </c>
      <c r="J54" s="3325">
        <f t="shared" si="9"/>
        <v>0.01</v>
      </c>
      <c r="K54" s="3325">
        <f t="shared" si="10"/>
        <v>5.0000000000000001E-3</v>
      </c>
      <c r="L54" s="3325">
        <v>0</v>
      </c>
      <c r="M54" s="3325">
        <f t="shared" si="11"/>
        <v>-5.0000000000000001E-3</v>
      </c>
      <c r="N54" s="3325">
        <f t="shared" si="11"/>
        <v>-0.01</v>
      </c>
      <c r="P54" s="1795"/>
      <c r="Q54" s="1795"/>
      <c r="R54" s="1795"/>
      <c r="S54" s="1795"/>
      <c r="T54" s="1795"/>
      <c r="U54" s="1795"/>
      <c r="V54" s="1795"/>
      <c r="W54" s="1795"/>
      <c r="X54" s="1795"/>
      <c r="Y54" s="1795"/>
      <c r="Z54" s="1795"/>
      <c r="AA54" s="1795"/>
      <c r="AB54" s="1795"/>
      <c r="AC54" s="1795"/>
      <c r="AD54" s="1795"/>
    </row>
    <row r="55" spans="1:30" s="3306" customFormat="1" ht="24">
      <c r="A55" s="3311" t="s">
        <v>947</v>
      </c>
      <c r="B55" s="3328" t="s">
        <v>2192</v>
      </c>
      <c r="C55" s="3319" t="s">
        <v>3346</v>
      </c>
      <c r="D55" s="3320">
        <f t="shared" si="7"/>
        <v>3.0999999999999999E-3</v>
      </c>
      <c r="E55" s="3326"/>
      <c r="F55" s="3322"/>
      <c r="G55" s="3323">
        <v>3.0999999999999999E-3</v>
      </c>
      <c r="H55" s="3324">
        <f t="shared" si="8"/>
        <v>3.0999999999999999E-3</v>
      </c>
      <c r="I55" s="3299">
        <v>0.05</v>
      </c>
      <c r="J55" s="3325">
        <f t="shared" si="9"/>
        <v>6.1999999999999998E-3</v>
      </c>
      <c r="K55" s="3325">
        <f t="shared" si="10"/>
        <v>3.0999999999999999E-3</v>
      </c>
      <c r="L55" s="3325">
        <v>0</v>
      </c>
      <c r="M55" s="3325">
        <f t="shared" si="11"/>
        <v>-3.0999999999999999E-3</v>
      </c>
      <c r="N55" s="3325">
        <f t="shared" si="11"/>
        <v>-6.1999999999999998E-3</v>
      </c>
      <c r="P55" s="1795"/>
      <c r="Q55" s="1795"/>
      <c r="R55" s="1795"/>
      <c r="S55" s="1795"/>
      <c r="T55" s="1795"/>
      <c r="U55" s="1795"/>
      <c r="V55" s="1795"/>
      <c r="W55" s="1795"/>
      <c r="X55" s="1795"/>
      <c r="Y55" s="1795"/>
      <c r="Z55" s="1795"/>
      <c r="AA55" s="1795"/>
      <c r="AB55" s="1795"/>
      <c r="AC55" s="1795"/>
      <c r="AD55" s="1795"/>
    </row>
    <row r="56" spans="1:30" s="3306" customFormat="1" ht="24">
      <c r="A56" s="3329" t="s">
        <v>948</v>
      </c>
      <c r="B56" s="3330">
        <f>估价对象房地状况!C21</f>
        <v>0</v>
      </c>
      <c r="C56" s="3319" t="s">
        <v>3342</v>
      </c>
      <c r="D56" s="3320">
        <f t="shared" si="7"/>
        <v>0</v>
      </c>
      <c r="E56" s="3326"/>
      <c r="F56" s="3322"/>
      <c r="G56" s="3323">
        <v>3.0999999999999999E-3</v>
      </c>
      <c r="H56" s="3324">
        <f t="shared" si="8"/>
        <v>3.0999999999999999E-3</v>
      </c>
      <c r="I56" s="3299">
        <v>0.05</v>
      </c>
      <c r="J56" s="3325">
        <f t="shared" si="9"/>
        <v>6.1999999999999998E-3</v>
      </c>
      <c r="K56" s="3325">
        <f t="shared" si="10"/>
        <v>3.0999999999999999E-3</v>
      </c>
      <c r="L56" s="3325">
        <v>0</v>
      </c>
      <c r="M56" s="3325">
        <f t="shared" si="11"/>
        <v>-3.0999999999999999E-3</v>
      </c>
      <c r="N56" s="3325">
        <f t="shared" si="11"/>
        <v>-6.1999999999999998E-3</v>
      </c>
      <c r="P56" s="1795"/>
      <c r="Q56" s="1795"/>
      <c r="R56" s="1795"/>
      <c r="S56" s="1795"/>
      <c r="T56" s="1795"/>
      <c r="U56" s="1795"/>
      <c r="V56" s="1795"/>
      <c r="W56" s="1795"/>
      <c r="X56" s="1795"/>
      <c r="Y56" s="1795"/>
      <c r="Z56" s="1795"/>
      <c r="AA56" s="1795"/>
      <c r="AB56" s="1795"/>
      <c r="AC56" s="1795"/>
      <c r="AD56" s="1795"/>
    </row>
    <row r="57" spans="1:30" s="3306" customFormat="1" ht="24">
      <c r="A57" s="3329" t="s">
        <v>949</v>
      </c>
      <c r="B57" s="3312" t="str">
        <f>估价对象房地状况!C22</f>
        <v>七通</v>
      </c>
      <c r="C57" s="3319" t="s">
        <v>3352</v>
      </c>
      <c r="D57" s="3320">
        <f t="shared" si="7"/>
        <v>0.01</v>
      </c>
      <c r="E57" s="3326"/>
      <c r="F57" s="3322"/>
      <c r="G57" s="3323">
        <v>5.0000000000000001E-3</v>
      </c>
      <c r="H57" s="3324">
        <f t="shared" si="8"/>
        <v>5.0000000000000001E-3</v>
      </c>
      <c r="I57" s="3299">
        <v>0.08</v>
      </c>
      <c r="J57" s="3325">
        <f t="shared" si="9"/>
        <v>0.01</v>
      </c>
      <c r="K57" s="3325">
        <f t="shared" si="10"/>
        <v>5.0000000000000001E-3</v>
      </c>
      <c r="L57" s="3325">
        <v>0</v>
      </c>
      <c r="M57" s="3325">
        <f t="shared" si="11"/>
        <v>-5.0000000000000001E-3</v>
      </c>
      <c r="N57" s="3325">
        <f t="shared" si="11"/>
        <v>-0.01</v>
      </c>
      <c r="P57" s="1795"/>
      <c r="Q57" s="1795"/>
      <c r="R57" s="1795"/>
      <c r="S57" s="1795"/>
      <c r="T57" s="1795"/>
      <c r="U57" s="1795"/>
      <c r="V57" s="1795"/>
      <c r="W57" s="1795"/>
      <c r="X57" s="1795"/>
      <c r="Y57" s="1795"/>
      <c r="Z57" s="1795"/>
      <c r="AA57" s="1795"/>
      <c r="AB57" s="1795"/>
      <c r="AC57" s="1795"/>
      <c r="AD57" s="1795"/>
    </row>
    <row r="58" spans="1:30" s="3306" customFormat="1" ht="24.75" thickBot="1">
      <c r="A58" s="3331" t="s">
        <v>950</v>
      </c>
      <c r="B58" s="3332">
        <f>估价对象房地状况!C20</f>
        <v>0</v>
      </c>
      <c r="C58" s="3319" t="s">
        <v>3342</v>
      </c>
      <c r="D58" s="3320">
        <f t="shared" si="7"/>
        <v>0</v>
      </c>
      <c r="E58" s="3333"/>
      <c r="F58" s="3322"/>
      <c r="G58" s="3323">
        <v>3.0999999999999999E-3</v>
      </c>
      <c r="H58" s="3324">
        <f t="shared" si="8"/>
        <v>3.0999999999999999E-3</v>
      </c>
      <c r="I58" s="3301">
        <v>0.05</v>
      </c>
      <c r="J58" s="3325">
        <f t="shared" si="9"/>
        <v>6.1999999999999998E-3</v>
      </c>
      <c r="K58" s="3325">
        <f t="shared" si="10"/>
        <v>3.0999999999999999E-3</v>
      </c>
      <c r="L58" s="3325">
        <v>0</v>
      </c>
      <c r="M58" s="3325">
        <f t="shared" si="11"/>
        <v>-3.0999999999999999E-3</v>
      </c>
      <c r="N58" s="3325">
        <f t="shared" si="11"/>
        <v>-6.1999999999999998E-3</v>
      </c>
      <c r="P58" s="1795"/>
      <c r="Q58" s="1795"/>
      <c r="R58" s="1795"/>
      <c r="S58" s="1795"/>
      <c r="T58" s="1795"/>
      <c r="U58" s="1795"/>
      <c r="V58" s="1795"/>
      <c r="W58" s="1795"/>
      <c r="X58" s="1795"/>
      <c r="Y58" s="1795"/>
      <c r="Z58" s="1795"/>
      <c r="AA58" s="1795"/>
      <c r="AB58" s="1795"/>
      <c r="AC58" s="1795"/>
      <c r="AD58" s="1795"/>
    </row>
    <row r="59" spans="1:30" s="3306" customFormat="1" ht="15">
      <c r="A59" s="3307" t="s">
        <v>902</v>
      </c>
      <c r="B59" s="3369">
        <f>1+E61</f>
        <v>1</v>
      </c>
      <c r="C59" s="3334"/>
      <c r="D59" s="3309"/>
      <c r="E59" s="3310"/>
      <c r="F59" s="3302"/>
      <c r="G59" s="3305"/>
      <c r="H59" s="3305"/>
      <c r="I59" s="3305"/>
      <c r="J59" s="3161"/>
      <c r="K59" s="3161"/>
      <c r="L59" s="3161"/>
      <c r="M59" s="3161"/>
      <c r="N59" s="3161"/>
      <c r="P59" s="1795"/>
      <c r="Q59" s="1795"/>
      <c r="R59" s="1795"/>
      <c r="S59" s="1795"/>
      <c r="T59" s="1795"/>
      <c r="U59" s="1795"/>
      <c r="V59" s="1795"/>
      <c r="W59" s="1795"/>
      <c r="X59" s="1795"/>
      <c r="Y59" s="1795"/>
      <c r="Z59" s="1795"/>
      <c r="AA59" s="1795"/>
      <c r="AB59" s="1795"/>
      <c r="AC59" s="1795"/>
      <c r="AD59" s="1795"/>
    </row>
    <row r="60" spans="1:30" s="3306" customFormat="1" ht="24">
      <c r="A60" s="3311" t="s">
        <v>930</v>
      </c>
      <c r="B60" s="3312"/>
      <c r="C60" s="3313" t="s">
        <v>932</v>
      </c>
      <c r="D60" s="3314" t="s">
        <v>933</v>
      </c>
      <c r="E60" s="3315" t="s">
        <v>935</v>
      </c>
      <c r="F60" s="3189" t="s">
        <v>1607</v>
      </c>
      <c r="G60" s="3314" t="s">
        <v>936</v>
      </c>
      <c r="H60" s="3316" t="s">
        <v>1770</v>
      </c>
      <c r="I60" s="3314" t="s">
        <v>934</v>
      </c>
      <c r="J60" s="3317" t="s">
        <v>937</v>
      </c>
      <c r="K60" s="3317" t="s">
        <v>938</v>
      </c>
      <c r="L60" s="3317" t="s">
        <v>939</v>
      </c>
      <c r="M60" s="3317" t="s">
        <v>940</v>
      </c>
      <c r="N60" s="3317" t="s">
        <v>941</v>
      </c>
      <c r="P60" s="1795"/>
      <c r="Q60" s="1795"/>
      <c r="R60" s="1795"/>
      <c r="S60" s="1795"/>
      <c r="T60" s="1795"/>
      <c r="U60" s="1795"/>
      <c r="V60" s="1795"/>
      <c r="W60" s="1795"/>
      <c r="X60" s="1795"/>
      <c r="Y60" s="1795"/>
      <c r="Z60" s="1795"/>
      <c r="AA60" s="1795"/>
      <c r="AB60" s="1795"/>
      <c r="AC60" s="1795"/>
      <c r="AD60" s="1795"/>
    </row>
    <row r="61" spans="1:30" s="3306" customFormat="1" ht="24">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5"/>
      <c r="Q61" s="1795"/>
      <c r="R61" s="1795"/>
      <c r="S61" s="1795"/>
      <c r="T61" s="1795"/>
      <c r="U61" s="1795"/>
      <c r="V61" s="1795"/>
      <c r="W61" s="1795"/>
      <c r="X61" s="1795"/>
      <c r="Y61" s="1795"/>
      <c r="Z61" s="1795"/>
      <c r="AA61" s="1795"/>
      <c r="AB61" s="1795"/>
      <c r="AC61" s="1795"/>
      <c r="AD61" s="1795"/>
    </row>
    <row r="62" spans="1:30" s="3306" customFormat="1" ht="14.25">
      <c r="A62" s="3311" t="s">
        <v>943</v>
      </c>
      <c r="B62" s="3312">
        <f>估价对象房地状况!C18</f>
        <v>0</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5"/>
      <c r="Q62" s="1795"/>
      <c r="R62" s="1795"/>
      <c r="S62" s="1795"/>
      <c r="T62" s="1795"/>
      <c r="U62" s="1795"/>
      <c r="V62" s="1795"/>
      <c r="W62" s="1795"/>
      <c r="X62" s="1795"/>
      <c r="Y62" s="1795"/>
      <c r="Z62" s="1795"/>
      <c r="AA62" s="1795"/>
      <c r="AB62" s="1795"/>
      <c r="AC62" s="1795"/>
      <c r="AD62" s="1795"/>
    </row>
    <row r="63" spans="1:30" s="3306" customFormat="1" ht="36">
      <c r="A63" s="3294" t="s">
        <v>3209</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5"/>
      <c r="Q63" s="1795"/>
      <c r="R63" s="1795"/>
      <c r="S63" s="1795"/>
      <c r="T63" s="1795"/>
      <c r="U63" s="1795"/>
      <c r="V63" s="1795"/>
      <c r="W63" s="1795"/>
      <c r="X63" s="1795"/>
      <c r="Y63" s="1795"/>
      <c r="Z63" s="1795"/>
      <c r="AA63" s="1795"/>
      <c r="AB63" s="1795"/>
      <c r="AC63" s="1795"/>
      <c r="AD63" s="1795"/>
    </row>
    <row r="64" spans="1:30" s="3306" customFormat="1" ht="36">
      <c r="A64" s="3311" t="s">
        <v>945</v>
      </c>
      <c r="B64" s="3327" t="s">
        <v>2193</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5"/>
      <c r="Q64" s="1795"/>
      <c r="R64" s="1795"/>
      <c r="S64" s="1795"/>
      <c r="T64" s="1795"/>
      <c r="U64" s="1795"/>
      <c r="V64" s="1795"/>
      <c r="W64" s="1795"/>
      <c r="X64" s="1795"/>
      <c r="Y64" s="1795"/>
      <c r="Z64" s="1795"/>
      <c r="AA64" s="1795"/>
      <c r="AB64" s="1795"/>
      <c r="AC64" s="1795"/>
      <c r="AD64" s="1795"/>
    </row>
    <row r="65" spans="1:36" s="3306" customFormat="1" ht="24">
      <c r="A65" s="3311" t="s">
        <v>946</v>
      </c>
      <c r="B65" s="3312">
        <f>估价对象房地状况!C24</f>
        <v>0</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5"/>
      <c r="Q65" s="1795"/>
      <c r="R65" s="1795"/>
      <c r="S65" s="1795"/>
      <c r="T65" s="1795"/>
      <c r="U65" s="1795"/>
      <c r="V65" s="1795"/>
      <c r="W65" s="1795"/>
      <c r="X65" s="1795"/>
      <c r="Y65" s="1795"/>
      <c r="Z65" s="1795"/>
      <c r="AA65" s="1795"/>
      <c r="AB65" s="1795"/>
      <c r="AC65" s="1795"/>
      <c r="AD65" s="1795"/>
    </row>
    <row r="66" spans="1:36" s="3306" customFormat="1" ht="24">
      <c r="A66" s="3311" t="s">
        <v>947</v>
      </c>
      <c r="B66" s="3328" t="s">
        <v>2192</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5"/>
      <c r="Q66" s="1795"/>
      <c r="R66" s="1795"/>
      <c r="S66" s="1795"/>
      <c r="T66" s="1795"/>
      <c r="U66" s="1795"/>
      <c r="V66" s="1795"/>
      <c r="W66" s="1795"/>
      <c r="X66" s="1795"/>
      <c r="Y66" s="1795"/>
      <c r="Z66" s="1795"/>
      <c r="AA66" s="1795"/>
      <c r="AB66" s="1795"/>
      <c r="AC66" s="1795"/>
      <c r="AD66" s="1795"/>
    </row>
    <row r="67" spans="1:36" s="3306" customFormat="1" ht="24">
      <c r="A67" s="3311" t="s">
        <v>948</v>
      </c>
      <c r="B67" s="3330">
        <f>估价对象房地状况!C21</f>
        <v>0</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5"/>
      <c r="Q67" s="1795"/>
      <c r="R67" s="1795"/>
      <c r="S67" s="1795"/>
      <c r="T67" s="1795"/>
      <c r="U67" s="1795"/>
      <c r="V67" s="1795"/>
      <c r="W67" s="1795"/>
      <c r="X67" s="1795"/>
      <c r="Y67" s="1795"/>
      <c r="Z67" s="1795"/>
      <c r="AA67" s="1795"/>
      <c r="AB67" s="1795"/>
      <c r="AC67" s="1795"/>
      <c r="AD67" s="1795"/>
    </row>
    <row r="68" spans="1:36" s="3306" customFormat="1" ht="24">
      <c r="A68" s="3311" t="s">
        <v>949</v>
      </c>
      <c r="B68" s="3330" t="str">
        <f>估价对象房地状况!C22</f>
        <v>七通</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5"/>
      <c r="Q68" s="1795"/>
      <c r="R68" s="1795"/>
      <c r="S68" s="1795"/>
      <c r="T68" s="1795"/>
      <c r="U68" s="1795"/>
      <c r="V68" s="1795"/>
      <c r="W68" s="1795"/>
      <c r="X68" s="1795"/>
      <c r="Y68" s="1795"/>
      <c r="Z68" s="1795"/>
      <c r="AA68" s="1795"/>
      <c r="AB68" s="1795"/>
      <c r="AC68" s="1795"/>
      <c r="AD68" s="1795"/>
    </row>
    <row r="69" spans="1:36" s="3306" customFormat="1" ht="24.75" thickBot="1">
      <c r="A69" s="3331" t="s">
        <v>950</v>
      </c>
      <c r="B69" s="3335">
        <f>估价对象房地状况!C20</f>
        <v>0</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5"/>
      <c r="Q69" s="1795"/>
      <c r="R69" s="1795"/>
      <c r="S69" s="1795"/>
      <c r="T69" s="1795"/>
      <c r="U69" s="1795"/>
      <c r="V69" s="1795"/>
      <c r="W69" s="1795"/>
      <c r="X69" s="1795"/>
      <c r="Y69" s="1795"/>
      <c r="Z69" s="1795"/>
      <c r="AA69" s="1795"/>
      <c r="AB69" s="1795"/>
      <c r="AC69" s="1795"/>
      <c r="AD69" s="1795"/>
    </row>
    <row r="70" spans="1:36" s="3306" customFormat="1" ht="15">
      <c r="A70" s="3307" t="s">
        <v>835</v>
      </c>
      <c r="B70" s="3369">
        <f>1+E72</f>
        <v>1.0196000000000001</v>
      </c>
      <c r="C70" s="3334"/>
      <c r="D70" s="3309"/>
      <c r="E70" s="3310"/>
      <c r="F70" s="3302"/>
      <c r="G70" s="3305"/>
      <c r="H70" s="3305"/>
      <c r="I70" s="3305"/>
      <c r="J70" s="3161"/>
      <c r="K70" s="3161"/>
      <c r="L70" s="3161"/>
      <c r="M70" s="3161"/>
      <c r="N70" s="3161"/>
      <c r="P70" s="1795"/>
      <c r="Q70" s="1795"/>
      <c r="R70" s="1795"/>
      <c r="S70" s="1795"/>
      <c r="T70" s="1795"/>
      <c r="U70" s="1795"/>
      <c r="V70" s="1795"/>
      <c r="W70" s="1795"/>
      <c r="X70" s="1795"/>
      <c r="Y70" s="1795"/>
      <c r="Z70" s="1795"/>
      <c r="AA70" s="1795"/>
      <c r="AB70" s="1795"/>
      <c r="AC70" s="1795"/>
      <c r="AD70" s="1795"/>
    </row>
    <row r="71" spans="1:36" s="3306" customFormat="1" ht="24">
      <c r="A71" s="3311" t="s">
        <v>930</v>
      </c>
      <c r="B71" s="3312"/>
      <c r="C71" s="3313" t="s">
        <v>932</v>
      </c>
      <c r="D71" s="3314" t="s">
        <v>933</v>
      </c>
      <c r="E71" s="3315" t="s">
        <v>935</v>
      </c>
      <c r="F71" s="3189" t="s">
        <v>1607</v>
      </c>
      <c r="G71" s="3314" t="s">
        <v>936</v>
      </c>
      <c r="H71" s="3316" t="s">
        <v>1770</v>
      </c>
      <c r="I71" s="3314" t="s">
        <v>934</v>
      </c>
      <c r="J71" s="3317" t="s">
        <v>937</v>
      </c>
      <c r="K71" s="3317" t="s">
        <v>938</v>
      </c>
      <c r="L71" s="3317" t="s">
        <v>939</v>
      </c>
      <c r="M71" s="3317" t="s">
        <v>940</v>
      </c>
      <c r="N71" s="3317" t="s">
        <v>941</v>
      </c>
      <c r="P71" s="1795"/>
      <c r="Q71" s="1795"/>
      <c r="R71" s="1795"/>
      <c r="S71" s="1795"/>
      <c r="T71" s="1795"/>
      <c r="U71" s="1795"/>
      <c r="V71" s="1795"/>
      <c r="W71" s="1795"/>
      <c r="X71" s="1795"/>
      <c r="Y71" s="1795"/>
      <c r="Z71" s="1795"/>
      <c r="AA71" s="1795"/>
      <c r="AB71" s="1795"/>
      <c r="AC71" s="1795"/>
      <c r="AD71" s="1795"/>
    </row>
    <row r="72" spans="1:36" s="3306" customFormat="1" ht="24">
      <c r="A72" s="3311" t="s">
        <v>954</v>
      </c>
      <c r="B72" s="3312">
        <f>估价对象房地状况!C15</f>
        <v>0</v>
      </c>
      <c r="C72" s="3336" t="s">
        <v>3342</v>
      </c>
      <c r="D72" s="3320">
        <f t="shared" ref="D72:D80" si="17">SUMIF($J$71:$N$71,C72,J72:N72)</f>
        <v>0</v>
      </c>
      <c r="E72" s="3321">
        <f>ROUND(SUM(D72:D80),4)</f>
        <v>1.9599999999999999E-2</v>
      </c>
      <c r="F72" s="3322" t="str">
        <f>IF(E2="住宅",SUMIF(L1:L12,G2,N1:N12),"——")</f>
        <v>——</v>
      </c>
      <c r="G72" s="3337">
        <v>1.41E-2</v>
      </c>
      <c r="H72" s="3338" t="str">
        <f t="shared" ref="H72:H80" si="18">IFERROR(ROUNDDOWN($F$72*I72/2,4),"——")</f>
        <v>——</v>
      </c>
      <c r="I72" s="3299">
        <v>0.2</v>
      </c>
      <c r="J72" s="3325">
        <f t="shared" ref="J72:J80" si="19">K72+$G72</f>
        <v>2.8199999999999999E-2</v>
      </c>
      <c r="K72" s="3325">
        <f t="shared" ref="K72:K80" si="20">$L72+$G72</f>
        <v>1.41E-2</v>
      </c>
      <c r="L72" s="3325">
        <v>0</v>
      </c>
      <c r="M72" s="3325">
        <f t="shared" ref="M72:N80" si="21">L72-$G72</f>
        <v>-1.41E-2</v>
      </c>
      <c r="N72" s="3325">
        <f t="shared" si="21"/>
        <v>-2.8199999999999999E-2</v>
      </c>
      <c r="P72" s="1795"/>
      <c r="Q72" s="1795"/>
      <c r="R72" s="1795"/>
      <c r="S72" s="1795"/>
      <c r="T72" s="1795"/>
      <c r="U72" s="1795"/>
      <c r="V72" s="1795"/>
      <c r="W72" s="1795"/>
      <c r="X72" s="1795"/>
      <c r="Y72" s="1795"/>
      <c r="Z72" s="1795"/>
      <c r="AA72" s="1795"/>
      <c r="AB72" s="1795"/>
      <c r="AC72" s="1795"/>
      <c r="AD72" s="1795"/>
    </row>
    <row r="73" spans="1:36" s="3306" customFormat="1" ht="14.25">
      <c r="A73" s="3311" t="s">
        <v>943</v>
      </c>
      <c r="B73" s="3312">
        <f>估价对象房地状况!C18</f>
        <v>0</v>
      </c>
      <c r="C73" s="3336" t="s">
        <v>3342</v>
      </c>
      <c r="D73" s="3320">
        <f t="shared" si="17"/>
        <v>0</v>
      </c>
      <c r="E73" s="3326"/>
      <c r="F73" s="3322"/>
      <c r="G73" s="3337">
        <v>1.83E-2</v>
      </c>
      <c r="H73" s="3338" t="str">
        <f t="shared" si="18"/>
        <v>——</v>
      </c>
      <c r="I73" s="3299">
        <v>0.26</v>
      </c>
      <c r="J73" s="3325">
        <f t="shared" si="19"/>
        <v>3.6600000000000001E-2</v>
      </c>
      <c r="K73" s="3325">
        <f t="shared" si="20"/>
        <v>1.83E-2</v>
      </c>
      <c r="L73" s="3325">
        <v>0</v>
      </c>
      <c r="M73" s="3325">
        <f t="shared" si="21"/>
        <v>-1.83E-2</v>
      </c>
      <c r="N73" s="3325">
        <f t="shared" si="21"/>
        <v>-3.6600000000000001E-2</v>
      </c>
      <c r="P73" s="1795"/>
      <c r="Q73" s="1795"/>
      <c r="R73" s="1795"/>
      <c r="S73" s="1795"/>
      <c r="T73" s="1795"/>
      <c r="U73" s="1795"/>
      <c r="V73" s="1795"/>
      <c r="W73" s="1795"/>
      <c r="X73" s="1795"/>
      <c r="Y73" s="1795"/>
      <c r="Z73" s="1795"/>
      <c r="AA73" s="1795"/>
      <c r="AB73" s="1795"/>
      <c r="AC73" s="1795"/>
      <c r="AD73" s="1795"/>
    </row>
    <row r="74" spans="1:36" s="3306" customFormat="1" ht="36">
      <c r="A74" s="3294" t="s">
        <v>3209</v>
      </c>
      <c r="B74" s="3312">
        <f>估价对象房地状况!C19</f>
        <v>0</v>
      </c>
      <c r="C74" s="3336" t="s">
        <v>3346</v>
      </c>
      <c r="D74" s="3320">
        <f t="shared" si="17"/>
        <v>7.0000000000000001E-3</v>
      </c>
      <c r="E74" s="3326"/>
      <c r="F74" s="3322"/>
      <c r="G74" s="3337">
        <v>7.0000000000000001E-3</v>
      </c>
      <c r="H74" s="3338" t="str">
        <f t="shared" si="18"/>
        <v>——</v>
      </c>
      <c r="I74" s="3299">
        <v>0.1</v>
      </c>
      <c r="J74" s="3325">
        <f t="shared" si="19"/>
        <v>1.4E-2</v>
      </c>
      <c r="K74" s="3325">
        <f t="shared" si="20"/>
        <v>7.0000000000000001E-3</v>
      </c>
      <c r="L74" s="3325">
        <v>0</v>
      </c>
      <c r="M74" s="3325">
        <f t="shared" si="21"/>
        <v>-7.0000000000000001E-3</v>
      </c>
      <c r="N74" s="3325">
        <f t="shared" si="21"/>
        <v>-1.4E-2</v>
      </c>
      <c r="P74" s="1795"/>
      <c r="Q74" s="1795"/>
      <c r="R74" s="1795"/>
      <c r="S74" s="1795"/>
      <c r="T74" s="1795"/>
      <c r="U74" s="1795"/>
      <c r="V74" s="1795"/>
      <c r="W74" s="1795"/>
      <c r="X74" s="1795"/>
      <c r="Y74" s="1795"/>
      <c r="Z74" s="1795"/>
      <c r="AA74" s="1795"/>
      <c r="AB74" s="1795"/>
      <c r="AC74" s="1795"/>
      <c r="AD74" s="1795"/>
    </row>
    <row r="75" spans="1:36" s="1271" customFormat="1" ht="14.25">
      <c r="A75" s="3311" t="s">
        <v>956</v>
      </c>
      <c r="B75" s="3312">
        <f>估价对象房地状况!C24</f>
        <v>0</v>
      </c>
      <c r="C75" s="3336" t="s">
        <v>3342</v>
      </c>
      <c r="D75" s="3320">
        <f t="shared" si="17"/>
        <v>0</v>
      </c>
      <c r="E75" s="3326"/>
      <c r="F75" s="3322"/>
      <c r="G75" s="3337">
        <v>3.5000000000000001E-3</v>
      </c>
      <c r="H75" s="3338" t="str">
        <f t="shared" si="18"/>
        <v>——</v>
      </c>
      <c r="I75" s="3299">
        <v>0.05</v>
      </c>
      <c r="J75" s="3325">
        <f t="shared" si="19"/>
        <v>7.0000000000000001E-3</v>
      </c>
      <c r="K75" s="3325">
        <f t="shared" si="20"/>
        <v>3.5000000000000001E-3</v>
      </c>
      <c r="L75" s="3325">
        <v>0</v>
      </c>
      <c r="M75" s="3325">
        <f t="shared" si="21"/>
        <v>-3.5000000000000001E-3</v>
      </c>
      <c r="N75" s="3325">
        <f t="shared" si="21"/>
        <v>-7.0000000000000001E-3</v>
      </c>
      <c r="O75" s="3306"/>
      <c r="P75" s="1795"/>
      <c r="Q75" s="1795"/>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1" customFormat="1" ht="24">
      <c r="A76" s="3311" t="s">
        <v>948</v>
      </c>
      <c r="B76" s="3330">
        <f>估价对象房地状况!C21</f>
        <v>0</v>
      </c>
      <c r="C76" s="3336" t="s">
        <v>3342</v>
      </c>
      <c r="D76" s="3320">
        <f t="shared" si="17"/>
        <v>0</v>
      </c>
      <c r="E76" s="3326"/>
      <c r="F76" s="3322"/>
      <c r="G76" s="3337">
        <v>5.5999999999999999E-3</v>
      </c>
      <c r="H76" s="3338" t="str">
        <f t="shared" si="18"/>
        <v>——</v>
      </c>
      <c r="I76" s="3299">
        <v>0.08</v>
      </c>
      <c r="J76" s="3325">
        <f t="shared" si="19"/>
        <v>1.12E-2</v>
      </c>
      <c r="K76" s="3325">
        <f t="shared" si="20"/>
        <v>5.5999999999999999E-3</v>
      </c>
      <c r="L76" s="3325">
        <v>0</v>
      </c>
      <c r="M76" s="3325">
        <f t="shared" si="21"/>
        <v>-5.5999999999999999E-3</v>
      </c>
      <c r="N76" s="3325">
        <f t="shared" si="21"/>
        <v>-1.12E-2</v>
      </c>
      <c r="O76" s="3306"/>
      <c r="P76" s="1795"/>
      <c r="Q76" s="1795"/>
      <c r="AE76" s="3306"/>
      <c r="AF76" s="3306"/>
      <c r="AG76" s="3306"/>
      <c r="AH76" s="3306"/>
      <c r="AI76" s="3306"/>
      <c r="AJ76" s="3306"/>
    </row>
    <row r="77" spans="1:36" s="1271" customFormat="1" ht="24">
      <c r="A77" s="3311" t="s">
        <v>949</v>
      </c>
      <c r="B77" s="3330" t="str">
        <f>估价对象房地状况!C22</f>
        <v>七通</v>
      </c>
      <c r="C77" s="3336" t="s">
        <v>3352</v>
      </c>
      <c r="D77" s="3320">
        <f t="shared" si="17"/>
        <v>1.26E-2</v>
      </c>
      <c r="E77" s="3326"/>
      <c r="F77" s="3322"/>
      <c r="G77" s="3337">
        <v>6.3E-3</v>
      </c>
      <c r="H77" s="3338" t="str">
        <f t="shared" si="18"/>
        <v>——</v>
      </c>
      <c r="I77" s="3299">
        <v>0.09</v>
      </c>
      <c r="J77" s="3325">
        <f t="shared" si="19"/>
        <v>1.26E-2</v>
      </c>
      <c r="K77" s="3325">
        <f t="shared" si="20"/>
        <v>6.3E-3</v>
      </c>
      <c r="L77" s="3325">
        <v>0</v>
      </c>
      <c r="M77" s="3325">
        <f t="shared" si="21"/>
        <v>-6.3E-3</v>
      </c>
      <c r="N77" s="3325">
        <f t="shared" si="21"/>
        <v>-1.26E-2</v>
      </c>
      <c r="O77" s="3306"/>
      <c r="P77" s="1795"/>
      <c r="Q77" s="1795"/>
      <c r="AE77" s="3306"/>
      <c r="AF77" s="3306"/>
      <c r="AG77" s="3306"/>
      <c r="AH77" s="3306"/>
      <c r="AI77" s="3306"/>
      <c r="AJ77" s="3306"/>
    </row>
    <row r="78" spans="1:36" s="1271" customFormat="1" ht="24">
      <c r="A78" s="3311" t="s">
        <v>947</v>
      </c>
      <c r="B78" s="3328" t="s">
        <v>2192</v>
      </c>
      <c r="C78" s="3336" t="s">
        <v>3346</v>
      </c>
      <c r="D78" s="3320">
        <f t="shared" si="17"/>
        <v>3.5000000000000001E-3</v>
      </c>
      <c r="E78" s="3326"/>
      <c r="F78" s="3322"/>
      <c r="G78" s="3337">
        <v>3.5000000000000001E-3</v>
      </c>
      <c r="H78" s="3338" t="str">
        <f t="shared" si="18"/>
        <v>——</v>
      </c>
      <c r="I78" s="3299">
        <v>0.05</v>
      </c>
      <c r="J78" s="3325">
        <f t="shared" si="19"/>
        <v>7.0000000000000001E-3</v>
      </c>
      <c r="K78" s="3325">
        <f t="shared" si="20"/>
        <v>3.5000000000000001E-3</v>
      </c>
      <c r="L78" s="3325">
        <v>0</v>
      </c>
      <c r="M78" s="3325">
        <f t="shared" si="21"/>
        <v>-3.5000000000000001E-3</v>
      </c>
      <c r="N78" s="3325">
        <f t="shared" si="21"/>
        <v>-7.0000000000000001E-3</v>
      </c>
      <c r="O78" s="3306"/>
      <c r="P78" s="1795"/>
      <c r="Q78" s="1795"/>
      <c r="AE78" s="3306"/>
      <c r="AF78" s="3306"/>
      <c r="AG78" s="3306"/>
      <c r="AH78" s="3306"/>
      <c r="AI78" s="3306"/>
      <c r="AJ78" s="3306"/>
    </row>
    <row r="79" spans="1:36" s="1271" customFormat="1" ht="24">
      <c r="A79" s="3311" t="s">
        <v>950</v>
      </c>
      <c r="B79" s="3318">
        <f>估价对象房地状况!C20</f>
        <v>0</v>
      </c>
      <c r="C79" s="3336" t="s">
        <v>3342</v>
      </c>
      <c r="D79" s="3320">
        <f t="shared" si="17"/>
        <v>0</v>
      </c>
      <c r="E79" s="3326"/>
      <c r="F79" s="3322"/>
      <c r="G79" s="3337">
        <v>8.3999999999999995E-3</v>
      </c>
      <c r="H79" s="3338" t="str">
        <f t="shared" si="18"/>
        <v>——</v>
      </c>
      <c r="I79" s="3299">
        <v>0.12</v>
      </c>
      <c r="J79" s="3325">
        <f t="shared" si="19"/>
        <v>1.6799999999999999E-2</v>
      </c>
      <c r="K79" s="3325">
        <f t="shared" si="20"/>
        <v>8.3999999999999995E-3</v>
      </c>
      <c r="L79" s="3325">
        <v>0</v>
      </c>
      <c r="M79" s="3325">
        <f t="shared" si="21"/>
        <v>-8.3999999999999995E-3</v>
      </c>
      <c r="N79" s="3325">
        <f t="shared" si="21"/>
        <v>-1.6799999999999999E-2</v>
      </c>
      <c r="P79" s="3339"/>
      <c r="Q79" s="3339"/>
      <c r="AE79" s="3306"/>
      <c r="AF79" s="3306"/>
      <c r="AG79" s="3306"/>
      <c r="AH79" s="3306"/>
      <c r="AI79" s="3306"/>
      <c r="AJ79" s="3306"/>
    </row>
    <row r="80" spans="1:36" s="1271" customFormat="1" ht="24.75" thickBot="1">
      <c r="A80" s="3331" t="s">
        <v>957</v>
      </c>
      <c r="B80" s="3340"/>
      <c r="C80" s="3336" t="s">
        <v>3343</v>
      </c>
      <c r="D80" s="3320">
        <f t="shared" si="17"/>
        <v>-3.5000000000000001E-3</v>
      </c>
      <c r="E80" s="3333"/>
      <c r="F80" s="3322"/>
      <c r="G80" s="3337">
        <v>3.5000000000000001E-3</v>
      </c>
      <c r="H80" s="3338" t="str">
        <f t="shared" si="18"/>
        <v>——</v>
      </c>
      <c r="I80" s="3301">
        <v>0.05</v>
      </c>
      <c r="J80" s="3325">
        <f t="shared" si="19"/>
        <v>7.0000000000000001E-3</v>
      </c>
      <c r="K80" s="3325">
        <f t="shared" si="20"/>
        <v>3.5000000000000001E-3</v>
      </c>
      <c r="L80" s="3325">
        <v>0</v>
      </c>
      <c r="M80" s="3325">
        <f t="shared" si="21"/>
        <v>-3.5000000000000001E-3</v>
      </c>
      <c r="N80" s="3325">
        <f t="shared" si="21"/>
        <v>-7.0000000000000001E-3</v>
      </c>
      <c r="AE80" s="3306"/>
      <c r="AF80" s="3306"/>
      <c r="AG80" s="3306"/>
      <c r="AH80" s="3306"/>
      <c r="AI80" s="3306"/>
      <c r="AJ80" s="3306"/>
    </row>
    <row r="81" spans="1:36" s="1271" customFormat="1" ht="15">
      <c r="A81" s="3307" t="s">
        <v>909</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1" customFormat="1" ht="24">
      <c r="A82" s="3311" t="s">
        <v>930</v>
      </c>
      <c r="B82" s="3312"/>
      <c r="C82" s="3313" t="s">
        <v>932</v>
      </c>
      <c r="D82" s="3314" t="s">
        <v>933</v>
      </c>
      <c r="E82" s="3315" t="s">
        <v>935</v>
      </c>
      <c r="F82" s="3189" t="s">
        <v>1607</v>
      </c>
      <c r="G82" s="3314" t="s">
        <v>936</v>
      </c>
      <c r="H82" s="3316" t="s">
        <v>1770</v>
      </c>
      <c r="I82" s="3314" t="s">
        <v>934</v>
      </c>
      <c r="J82" s="3317" t="s">
        <v>937</v>
      </c>
      <c r="K82" s="3317" t="s">
        <v>938</v>
      </c>
      <c r="L82" s="3317" t="s">
        <v>939</v>
      </c>
      <c r="M82" s="3317" t="s">
        <v>940</v>
      </c>
      <c r="N82" s="3317" t="s">
        <v>941</v>
      </c>
      <c r="AE82" s="3306"/>
      <c r="AF82" s="3306"/>
      <c r="AG82" s="3306"/>
      <c r="AH82" s="3306"/>
      <c r="AI82" s="3306"/>
      <c r="AJ82" s="3306"/>
    </row>
    <row r="83" spans="1:36" s="1271"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1" customFormat="1" ht="36">
      <c r="A84" s="3311" t="s">
        <v>943</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1"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1"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1"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1"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1" customFormat="1" ht="24">
      <c r="A89" s="3311" t="s">
        <v>947</v>
      </c>
      <c r="B89" s="3328" t="s">
        <v>2192</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1"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1" customFormat="1" ht="15">
      <c r="A91" s="3295" t="s">
        <v>2448</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1" customFormat="1" ht="24">
      <c r="A92" s="3296" t="s">
        <v>3219</v>
      </c>
      <c r="B92" s="3296"/>
      <c r="C92" s="3296" t="s">
        <v>3224</v>
      </c>
      <c r="D92" s="3296" t="s">
        <v>3211</v>
      </c>
      <c r="E92" s="344" t="s">
        <v>3212</v>
      </c>
      <c r="F92" s="3351" t="s">
        <v>1607</v>
      </c>
      <c r="G92" s="3314" t="s">
        <v>936</v>
      </c>
      <c r="H92" s="3316" t="s">
        <v>1770</v>
      </c>
      <c r="I92" s="3314" t="s">
        <v>934</v>
      </c>
      <c r="J92" s="3317" t="s">
        <v>937</v>
      </c>
      <c r="K92" s="3317" t="s">
        <v>938</v>
      </c>
      <c r="L92" s="3317" t="s">
        <v>939</v>
      </c>
      <c r="M92" s="3317" t="s">
        <v>940</v>
      </c>
      <c r="N92" s="3317" t="s">
        <v>941</v>
      </c>
      <c r="AE92" s="3306"/>
      <c r="AF92" s="3306"/>
      <c r="AG92" s="3306"/>
      <c r="AH92" s="3306"/>
      <c r="AI92" s="3306"/>
      <c r="AJ92" s="3306"/>
    </row>
    <row r="93" spans="1:36" s="1271" customFormat="1" ht="24">
      <c r="A93" s="3350" t="s">
        <v>3220</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101" si="28">L93-$G93</f>
        <v>0</v>
      </c>
      <c r="N93" s="3349">
        <f t="shared" si="28"/>
        <v>0</v>
      </c>
      <c r="AE93" s="3306"/>
      <c r="AF93" s="3306"/>
      <c r="AG93" s="3306"/>
      <c r="AH93" s="3306"/>
      <c r="AI93" s="3306"/>
      <c r="AJ93" s="3306"/>
    </row>
    <row r="94" spans="1:36" s="1271" customFormat="1" ht="36">
      <c r="A94" s="3296" t="s">
        <v>3221</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si="28"/>
        <v>0</v>
      </c>
      <c r="N94" s="3349">
        <f t="shared" si="28"/>
        <v>0</v>
      </c>
      <c r="AE94" s="3306"/>
      <c r="AF94" s="3306"/>
      <c r="AG94" s="3306"/>
      <c r="AH94" s="3306"/>
      <c r="AI94" s="3306"/>
      <c r="AJ94" s="3306"/>
    </row>
    <row r="95" spans="1:36" s="1271" customFormat="1" ht="36">
      <c r="A95" s="3350" t="s">
        <v>3209</v>
      </c>
      <c r="B95" s="3312">
        <f>估价对象房地状况!G17</f>
        <v>0</v>
      </c>
      <c r="C95" s="3319"/>
      <c r="D95" s="3320">
        <f t="shared" si="29"/>
        <v>0</v>
      </c>
      <c r="E95" s="3344"/>
      <c r="F95" s="3322"/>
      <c r="G95" s="3337"/>
      <c r="H95" s="3324" t="str">
        <f t="shared" si="30"/>
        <v>——</v>
      </c>
      <c r="I95" s="3299">
        <v>0.11</v>
      </c>
      <c r="J95" s="3349">
        <f t="shared" ref="J95:J101" si="31">K95+$G95</f>
        <v>0</v>
      </c>
      <c r="K95" s="3349">
        <f t="shared" si="27"/>
        <v>0</v>
      </c>
      <c r="L95" s="3349">
        <v>0</v>
      </c>
      <c r="M95" s="3349">
        <f t="shared" si="28"/>
        <v>0</v>
      </c>
      <c r="N95" s="3349">
        <f t="shared" si="28"/>
        <v>0</v>
      </c>
      <c r="AE95" s="3306"/>
      <c r="AF95" s="3306"/>
      <c r="AG95" s="3306"/>
      <c r="AH95" s="3306"/>
      <c r="AI95" s="3306"/>
      <c r="AJ95" s="3306"/>
    </row>
    <row r="96" spans="1:36" s="1271" customFormat="1" ht="36.75">
      <c r="A96" s="3296" t="s">
        <v>3213</v>
      </c>
      <c r="B96" s="3300" t="s">
        <v>3214</v>
      </c>
      <c r="C96" s="3319"/>
      <c r="D96" s="3320">
        <f t="shared" si="29"/>
        <v>0</v>
      </c>
      <c r="E96" s="3344"/>
      <c r="F96" s="3322"/>
      <c r="G96" s="3337"/>
      <c r="H96" s="3324" t="str">
        <f t="shared" si="30"/>
        <v>——</v>
      </c>
      <c r="I96" s="3299">
        <v>0.05</v>
      </c>
      <c r="J96" s="3349">
        <f t="shared" si="31"/>
        <v>0</v>
      </c>
      <c r="K96" s="3349">
        <f t="shared" si="27"/>
        <v>0</v>
      </c>
      <c r="L96" s="3349">
        <v>0</v>
      </c>
      <c r="M96" s="3349">
        <f>L96-$G96</f>
        <v>0</v>
      </c>
      <c r="N96" s="3349">
        <f t="shared" si="28"/>
        <v>0</v>
      </c>
      <c r="AE96" s="3306"/>
      <c r="AF96" s="3306"/>
      <c r="AG96" s="3306"/>
      <c r="AH96" s="3306"/>
      <c r="AI96" s="3306"/>
      <c r="AJ96" s="3306"/>
    </row>
    <row r="97" spans="1:36" s="1271" customFormat="1" ht="24">
      <c r="A97" s="3296" t="s">
        <v>3215</v>
      </c>
      <c r="B97" s="3312">
        <f>估价对象房地状况!G22</f>
        <v>0</v>
      </c>
      <c r="C97" s="3319"/>
      <c r="D97" s="3320">
        <f t="shared" si="29"/>
        <v>0</v>
      </c>
      <c r="E97" s="3344"/>
      <c r="F97" s="3322"/>
      <c r="G97" s="3337"/>
      <c r="H97" s="3324" t="str">
        <f t="shared" si="30"/>
        <v>——</v>
      </c>
      <c r="I97" s="3299">
        <v>0.05</v>
      </c>
      <c r="J97" s="3349">
        <f t="shared" si="31"/>
        <v>0</v>
      </c>
      <c r="K97" s="3349">
        <f t="shared" si="27"/>
        <v>0</v>
      </c>
      <c r="L97" s="3349">
        <v>0</v>
      </c>
      <c r="M97" s="3349">
        <f t="shared" si="28"/>
        <v>0</v>
      </c>
      <c r="N97" s="3349">
        <f t="shared" si="28"/>
        <v>0</v>
      </c>
      <c r="AE97" s="3306"/>
      <c r="AF97" s="3306"/>
      <c r="AG97" s="3306"/>
      <c r="AH97" s="3306"/>
      <c r="AI97" s="3306"/>
      <c r="AJ97" s="3306"/>
    </row>
    <row r="98" spans="1:36" s="1271" customFormat="1" ht="24">
      <c r="A98" s="3296" t="s">
        <v>3222</v>
      </c>
      <c r="B98" s="3327" t="s">
        <v>2192</v>
      </c>
      <c r="C98" s="3319"/>
      <c r="D98" s="3320">
        <f t="shared" si="29"/>
        <v>0</v>
      </c>
      <c r="E98" s="3344"/>
      <c r="F98" s="3322"/>
      <c r="G98" s="3337"/>
      <c r="H98" s="3324" t="str">
        <f t="shared" si="30"/>
        <v>——</v>
      </c>
      <c r="I98" s="3299">
        <v>0.06</v>
      </c>
      <c r="J98" s="3349">
        <f t="shared" si="31"/>
        <v>0</v>
      </c>
      <c r="K98" s="3349">
        <f t="shared" si="27"/>
        <v>0</v>
      </c>
      <c r="L98" s="3349">
        <v>0</v>
      </c>
      <c r="M98" s="3349">
        <f t="shared" si="28"/>
        <v>0</v>
      </c>
      <c r="N98" s="3349">
        <f t="shared" si="28"/>
        <v>0</v>
      </c>
      <c r="AE98" s="3306"/>
      <c r="AF98" s="3306"/>
      <c r="AG98" s="3306"/>
      <c r="AH98" s="3306"/>
      <c r="AI98" s="3306"/>
      <c r="AJ98" s="3306"/>
    </row>
    <row r="99" spans="1:36" s="1271" customFormat="1" ht="24">
      <c r="A99" s="3296" t="s">
        <v>3223</v>
      </c>
      <c r="B99" s="3312">
        <f>估价对象房地状况!C21</f>
        <v>0</v>
      </c>
      <c r="C99" s="3319"/>
      <c r="D99" s="3320">
        <f t="shared" si="29"/>
        <v>0</v>
      </c>
      <c r="E99" s="3344"/>
      <c r="F99" s="3322"/>
      <c r="G99" s="3337"/>
      <c r="H99" s="3324" t="str">
        <f t="shared" si="30"/>
        <v>——</v>
      </c>
      <c r="I99" s="3299">
        <v>0.06</v>
      </c>
      <c r="J99" s="3349">
        <f t="shared" si="31"/>
        <v>0</v>
      </c>
      <c r="K99" s="3349">
        <f t="shared" si="27"/>
        <v>0</v>
      </c>
      <c r="L99" s="3349">
        <v>0</v>
      </c>
      <c r="M99" s="3349">
        <f t="shared" si="28"/>
        <v>0</v>
      </c>
      <c r="N99" s="3349">
        <f t="shared" si="28"/>
        <v>0</v>
      </c>
      <c r="AE99" s="3306"/>
      <c r="AF99" s="3306"/>
      <c r="AG99" s="3306"/>
      <c r="AH99" s="3306"/>
      <c r="AI99" s="3306"/>
      <c r="AJ99" s="3306"/>
    </row>
    <row r="100" spans="1:36" s="1271" customFormat="1" ht="24">
      <c r="A100" s="3296" t="s">
        <v>3216</v>
      </c>
      <c r="B100" s="3312" t="str">
        <f>估价对象房地状况!C22</f>
        <v>七通</v>
      </c>
      <c r="C100" s="3319"/>
      <c r="D100" s="3320">
        <f t="shared" si="29"/>
        <v>0</v>
      </c>
      <c r="E100" s="3344"/>
      <c r="F100" s="3322"/>
      <c r="G100" s="3337"/>
      <c r="H100" s="3324" t="str">
        <f t="shared" si="30"/>
        <v>——</v>
      </c>
      <c r="I100" s="3299">
        <v>0.09</v>
      </c>
      <c r="J100" s="3349">
        <f t="shared" si="31"/>
        <v>0</v>
      </c>
      <c r="K100" s="3349">
        <f t="shared" si="27"/>
        <v>0</v>
      </c>
      <c r="L100" s="3349">
        <v>0</v>
      </c>
      <c r="M100" s="3349">
        <f t="shared" si="28"/>
        <v>0</v>
      </c>
      <c r="N100" s="3349">
        <f t="shared" si="28"/>
        <v>0</v>
      </c>
      <c r="AE100" s="3306"/>
      <c r="AF100" s="3306"/>
      <c r="AG100" s="3306"/>
      <c r="AH100" s="3306"/>
      <c r="AI100" s="3306"/>
      <c r="AJ100" s="3306"/>
    </row>
    <row r="101" spans="1:36" s="1271" customFormat="1" ht="24.75" thickBot="1">
      <c r="A101" s="3296" t="s">
        <v>3217</v>
      </c>
      <c r="B101" s="3318">
        <f>估价对象房地状况!C20</f>
        <v>0</v>
      </c>
      <c r="C101" s="3319"/>
      <c r="D101" s="3320">
        <f t="shared" si="29"/>
        <v>0</v>
      </c>
      <c r="E101" s="3344"/>
      <c r="F101" s="3322"/>
      <c r="G101" s="3337"/>
      <c r="H101" s="3324" t="str">
        <f t="shared" si="30"/>
        <v>——</v>
      </c>
      <c r="I101" s="3301">
        <v>7.0000000000000007E-2</v>
      </c>
      <c r="J101" s="3349">
        <f t="shared" si="31"/>
        <v>0</v>
      </c>
      <c r="K101" s="3349">
        <f t="shared" si="27"/>
        <v>0</v>
      </c>
      <c r="L101" s="3349">
        <v>0</v>
      </c>
      <c r="M101" s="3349">
        <f t="shared" si="28"/>
        <v>0</v>
      </c>
      <c r="N101" s="3349">
        <f t="shared" si="28"/>
        <v>0</v>
      </c>
      <c r="AE101" s="3306"/>
      <c r="AF101" s="3306"/>
      <c r="AG101" s="3306"/>
      <c r="AH101" s="3306"/>
      <c r="AI101" s="3306"/>
      <c r="AJ101" s="3306"/>
    </row>
    <row r="102" spans="1:36" s="1271"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1" customFormat="1">
      <c r="K103" s="3306"/>
      <c r="AD103" s="3306"/>
      <c r="AE103" s="3306"/>
      <c r="AF103" s="3306"/>
      <c r="AG103" s="3306"/>
      <c r="AH103" s="3306"/>
      <c r="AI103" s="3306"/>
    </row>
    <row r="104" spans="1:36">
      <c r="A104" s="3739" t="s">
        <v>1172</v>
      </c>
      <c r="B104" s="3739"/>
      <c r="C104" s="3739"/>
      <c r="D104" s="3739"/>
      <c r="E104" s="3739"/>
      <c r="F104" s="3739"/>
      <c r="G104" s="3739"/>
      <c r="H104" s="3739"/>
      <c r="I104" s="3739"/>
      <c r="J104" s="3739"/>
      <c r="K104" s="998"/>
      <c r="L104" s="998"/>
      <c r="M104" s="998"/>
      <c r="N104" s="998"/>
    </row>
    <row r="105" spans="1:36">
      <c r="A105" s="3740" t="s">
        <v>833</v>
      </c>
      <c r="B105" s="3740" t="s">
        <v>1173</v>
      </c>
      <c r="C105" s="986" t="s">
        <v>1174</v>
      </c>
      <c r="D105" s="987"/>
      <c r="E105" s="987"/>
      <c r="F105" s="987"/>
      <c r="G105" s="987"/>
      <c r="H105" s="987"/>
      <c r="I105" s="987"/>
      <c r="J105" s="988"/>
      <c r="K105" s="981"/>
      <c r="L105" s="981"/>
      <c r="M105" s="981"/>
      <c r="N105" s="981"/>
    </row>
    <row r="106" spans="1:36">
      <c r="A106" s="3740"/>
      <c r="B106" s="3740"/>
      <c r="C106" s="997" t="s">
        <v>819</v>
      </c>
      <c r="D106" s="997" t="s">
        <v>820</v>
      </c>
      <c r="E106" s="997" t="s">
        <v>821</v>
      </c>
      <c r="F106" s="997" t="s">
        <v>822</v>
      </c>
      <c r="G106" s="997" t="s">
        <v>823</v>
      </c>
      <c r="H106" s="997" t="s">
        <v>824</v>
      </c>
      <c r="I106" s="997" t="s">
        <v>825</v>
      </c>
      <c r="J106" s="997" t="s">
        <v>826</v>
      </c>
      <c r="K106" s="997" t="s">
        <v>827</v>
      </c>
      <c r="L106" s="997" t="s">
        <v>828</v>
      </c>
      <c r="M106" s="997" t="s">
        <v>829</v>
      </c>
      <c r="N106" s="997" t="s">
        <v>830</v>
      </c>
    </row>
    <row r="107" spans="1:36">
      <c r="A107" s="3729" t="s">
        <v>2043</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30"/>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30"/>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30"/>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30"/>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30"/>
      <c r="B112" s="989" t="s">
        <v>3225</v>
      </c>
      <c r="C112" s="991">
        <f>$I$3</f>
        <v>0</v>
      </c>
      <c r="D112" s="991">
        <f t="shared" ref="D112:N112" si="32">$I$3</f>
        <v>0</v>
      </c>
      <c r="E112" s="991">
        <f t="shared" si="32"/>
        <v>0</v>
      </c>
      <c r="F112" s="991">
        <f t="shared" si="32"/>
        <v>0</v>
      </c>
      <c r="G112" s="991">
        <f t="shared" si="32"/>
        <v>0</v>
      </c>
      <c r="H112" s="991">
        <f t="shared" si="32"/>
        <v>0</v>
      </c>
      <c r="I112" s="991">
        <f t="shared" si="32"/>
        <v>0</v>
      </c>
      <c r="J112" s="991">
        <f t="shared" si="32"/>
        <v>0</v>
      </c>
      <c r="K112" s="991">
        <f t="shared" si="32"/>
        <v>0</v>
      </c>
      <c r="L112" s="991">
        <f t="shared" si="32"/>
        <v>0</v>
      </c>
      <c r="M112" s="991">
        <f t="shared" si="32"/>
        <v>0</v>
      </c>
      <c r="N112" s="991">
        <f t="shared" si="32"/>
        <v>0</v>
      </c>
    </row>
    <row r="113" spans="1:14">
      <c r="A113" s="3731"/>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36" t="s">
        <v>1175</v>
      </c>
      <c r="B114" s="3736"/>
      <c r="C114" s="3736"/>
      <c r="D114" s="3736"/>
      <c r="E114" s="3736"/>
      <c r="F114" s="3736"/>
      <c r="G114" s="3736"/>
      <c r="H114" s="3736"/>
      <c r="I114" s="3736"/>
      <c r="J114" s="3736"/>
      <c r="K114" s="1965"/>
      <c r="L114" s="1965"/>
      <c r="M114" s="1965"/>
      <c r="N114" s="1965"/>
    </row>
    <row r="116" spans="1:14" ht="12.75" thickBot="1"/>
    <row r="117" spans="1:14" ht="25.5" thickBot="1">
      <c r="A117" s="924" t="s">
        <v>831</v>
      </c>
      <c r="B117" s="1966">
        <f>G3</f>
        <v>2</v>
      </c>
      <c r="C117" s="925" t="s">
        <v>832</v>
      </c>
      <c r="D117" s="926" t="e">
        <f>SUMPRODUCT((A118:A122=F116)*(B117:M117=H116)*B118:M122)</f>
        <v>#VALUE!</v>
      </c>
      <c r="E117" s="927" t="s">
        <v>833</v>
      </c>
      <c r="F117" s="928" t="str">
        <f>E2</f>
        <v>商业</v>
      </c>
      <c r="G117" s="927" t="s">
        <v>834</v>
      </c>
      <c r="H117" s="928" t="str">
        <f>G2</f>
        <v>九级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3" t="s">
        <v>3226</v>
      </c>
      <c r="B119" s="3297">
        <f>ROUND(0.9968-0.011*B117,4)</f>
        <v>0.9748</v>
      </c>
      <c r="C119" s="3297">
        <f>B119</f>
        <v>0.9748</v>
      </c>
      <c r="D119" s="3297">
        <f>ROUND(0.949-0.014*B117,4)</f>
        <v>0.92100000000000004</v>
      </c>
      <c r="E119" s="3297">
        <f>D119</f>
        <v>0.92100000000000004</v>
      </c>
      <c r="F119" s="3297">
        <f>E119</f>
        <v>0.92100000000000004</v>
      </c>
      <c r="G119" s="3297">
        <f>F119</f>
        <v>0.92100000000000004</v>
      </c>
      <c r="H119" s="3297">
        <f>G119</f>
        <v>0.92100000000000004</v>
      </c>
      <c r="I119" s="3297">
        <f>ROUND(0.8486-0.018*B117,4)</f>
        <v>0.81259999999999999</v>
      </c>
      <c r="J119" s="3297">
        <f t="shared" ref="J119:M123" si="33">I119</f>
        <v>0.81259999999999999</v>
      </c>
      <c r="K119" s="3297">
        <f t="shared" si="33"/>
        <v>0.81259999999999999</v>
      </c>
      <c r="L119" s="3297">
        <f t="shared" si="33"/>
        <v>0.81259999999999999</v>
      </c>
      <c r="M119" s="3356">
        <f t="shared" si="33"/>
        <v>0.81259999999999999</v>
      </c>
    </row>
    <row r="120" spans="1:14" ht="12.75">
      <c r="A120" s="3353" t="s">
        <v>3227</v>
      </c>
      <c r="B120" s="3297">
        <f>ROUND(0.993-0.0112*B117,4)</f>
        <v>0.97060000000000002</v>
      </c>
      <c r="C120" s="3297">
        <f>B120</f>
        <v>0.97060000000000002</v>
      </c>
      <c r="D120" s="3297">
        <f>ROUND(0.9415-0.0142*B117,4)</f>
        <v>0.91310000000000002</v>
      </c>
      <c r="E120" s="3297">
        <f t="shared" ref="E120:H121" si="34">D120</f>
        <v>0.91310000000000002</v>
      </c>
      <c r="F120" s="3297">
        <f t="shared" si="34"/>
        <v>0.91310000000000002</v>
      </c>
      <c r="G120" s="3297">
        <f t="shared" si="34"/>
        <v>0.91310000000000002</v>
      </c>
      <c r="H120" s="3297">
        <f t="shared" si="34"/>
        <v>0.91310000000000002</v>
      </c>
      <c r="I120" s="3297">
        <f>ROUND(0.838-0.0182*B117,4)</f>
        <v>0.80159999999999998</v>
      </c>
      <c r="J120" s="3297">
        <f t="shared" si="33"/>
        <v>0.80159999999999998</v>
      </c>
      <c r="K120" s="3297">
        <f t="shared" si="33"/>
        <v>0.80159999999999998</v>
      </c>
      <c r="L120" s="3297">
        <f t="shared" si="33"/>
        <v>0.80159999999999998</v>
      </c>
      <c r="M120" s="3356">
        <f t="shared" si="33"/>
        <v>0.80159999999999998</v>
      </c>
    </row>
    <row r="121" spans="1:14" ht="12.75">
      <c r="A121" s="3353" t="s">
        <v>3228</v>
      </c>
      <c r="B121" s="3297">
        <f>ROUND(0.9448-0.0115*B117,4)</f>
        <v>0.92179999999999995</v>
      </c>
      <c r="C121" s="3297">
        <f>B121</f>
        <v>0.92179999999999995</v>
      </c>
      <c r="D121" s="3297">
        <f>ROUND(0.937-0.0145*B117,4)</f>
        <v>0.90800000000000003</v>
      </c>
      <c r="E121" s="3297">
        <f t="shared" si="34"/>
        <v>0.90800000000000003</v>
      </c>
      <c r="F121" s="3297">
        <f t="shared" si="34"/>
        <v>0.90800000000000003</v>
      </c>
      <c r="G121" s="3297">
        <f t="shared" si="34"/>
        <v>0.90800000000000003</v>
      </c>
      <c r="H121" s="3297">
        <f t="shared" si="34"/>
        <v>0.90800000000000003</v>
      </c>
      <c r="I121" s="3297">
        <f>ROUND(0.7965-0.0185*B117,4)</f>
        <v>0.75949999999999995</v>
      </c>
      <c r="J121" s="3297">
        <f t="shared" si="33"/>
        <v>0.75949999999999995</v>
      </c>
      <c r="K121" s="3297">
        <f t="shared" si="33"/>
        <v>0.75949999999999995</v>
      </c>
      <c r="L121" s="3297">
        <f t="shared" si="33"/>
        <v>0.75949999999999995</v>
      </c>
      <c r="M121" s="3356">
        <f t="shared" si="33"/>
        <v>0.75949999999999995</v>
      </c>
    </row>
    <row r="122" spans="1:14" ht="13.5" thickBot="1">
      <c r="A122" s="3354" t="s">
        <v>3229</v>
      </c>
      <c r="B122" s="3357">
        <f>ROUND(0.7836-0.012*B117,4)</f>
        <v>0.75960000000000005</v>
      </c>
      <c r="C122" s="3357">
        <f>B122</f>
        <v>0.75960000000000005</v>
      </c>
      <c r="D122" s="3357">
        <f>ROUND(0.753-0.015*B117,4)</f>
        <v>0.72299999999999998</v>
      </c>
      <c r="E122" s="3357">
        <f>D122</f>
        <v>0.72299999999999998</v>
      </c>
      <c r="F122" s="3357">
        <f>E122</f>
        <v>0.72299999999999998</v>
      </c>
      <c r="G122" s="3357">
        <f>ROUND(0.6612-0.018*B117,4)</f>
        <v>0.62519999999999998</v>
      </c>
      <c r="H122" s="3357">
        <f>G122</f>
        <v>0.62519999999999998</v>
      </c>
      <c r="I122" s="3357">
        <f>ROUND(0.5905-0.019*B117,4)</f>
        <v>0.55249999999999999</v>
      </c>
      <c r="J122" s="3357">
        <f t="shared" si="33"/>
        <v>0.55249999999999999</v>
      </c>
      <c r="K122" s="3357">
        <f t="shared" si="33"/>
        <v>0.55249999999999999</v>
      </c>
      <c r="L122" s="3357">
        <f t="shared" si="33"/>
        <v>0.55249999999999999</v>
      </c>
      <c r="M122" s="3358">
        <f t="shared" si="33"/>
        <v>0.55249999999999999</v>
      </c>
    </row>
    <row r="123" spans="1:14" ht="12.75">
      <c r="A123" s="3355" t="s">
        <v>2448</v>
      </c>
      <c r="B123" s="3297">
        <f>ROUND(0.9404-0.0106*B117,4)</f>
        <v>0.91920000000000002</v>
      </c>
      <c r="C123" s="3297">
        <f>B123</f>
        <v>0.91920000000000002</v>
      </c>
      <c r="D123" s="3297">
        <f>ROUND(0.8955-0.0135*B117,4)</f>
        <v>0.86850000000000005</v>
      </c>
      <c r="E123" s="3297">
        <f t="shared" ref="E123:H123" si="35">D123</f>
        <v>0.86850000000000005</v>
      </c>
      <c r="F123" s="3297">
        <f t="shared" si="35"/>
        <v>0.86850000000000005</v>
      </c>
      <c r="G123" s="3297">
        <f t="shared" si="35"/>
        <v>0.86850000000000005</v>
      </c>
      <c r="H123" s="3297">
        <f t="shared" si="35"/>
        <v>0.86850000000000005</v>
      </c>
      <c r="I123" s="3297">
        <f>ROUND(0.7632-0.0166*B117,4)</f>
        <v>0.73</v>
      </c>
      <c r="J123" s="3297">
        <f t="shared" si="33"/>
        <v>0.73</v>
      </c>
      <c r="K123" s="3297">
        <f t="shared" si="33"/>
        <v>0.73</v>
      </c>
      <c r="L123" s="3297">
        <f t="shared" si="33"/>
        <v>0.73</v>
      </c>
      <c r="M123" s="3356">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69" priority="5" stopIfTrue="1" operator="notEqual">
      <formula>"——"</formula>
    </cfRule>
  </conditionalFormatting>
  <conditionalFormatting sqref="F61">
    <cfRule type="cellIs" dxfId="68" priority="4" stopIfTrue="1" operator="notEqual">
      <formula>"——"</formula>
    </cfRule>
  </conditionalFormatting>
  <conditionalFormatting sqref="F72">
    <cfRule type="cellIs" dxfId="67" priority="3" stopIfTrue="1" operator="notEqual">
      <formula>"——"</formula>
    </cfRule>
  </conditionalFormatting>
  <conditionalFormatting sqref="F83">
    <cfRule type="cellIs" dxfId="66" priority="2" stopIfTrue="1" operator="notEqual">
      <formula>"——"</formula>
    </cfRule>
  </conditionalFormatting>
  <conditionalFormatting sqref="H50:H58 H61:H69 H72:H80 H83:H91 H93:H102">
    <cfRule type="cellIs" dxfId="6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5" customWidth="1"/>
    <col min="2" max="2" width="24.625" style="1271" customWidth="1"/>
    <col min="3" max="4" width="12" style="1186"/>
    <col min="5" max="5" width="14.625" style="1186" customWidth="1"/>
    <col min="6" max="8" width="12" style="1186"/>
    <col min="9" max="9" width="12.25" style="1186" bestFit="1" customWidth="1"/>
    <col min="10" max="10" width="12" style="1186"/>
    <col min="11" max="11" width="9.625" style="1183" customWidth="1"/>
    <col min="12" max="12" width="15.75" style="1186" customWidth="1"/>
    <col min="13" max="14" width="10.625" style="1186" customWidth="1"/>
    <col min="15" max="17" width="12" style="1186"/>
    <col min="18" max="18" width="12" style="1185"/>
    <col min="19" max="22" width="15.5" style="1185" customWidth="1"/>
    <col min="23" max="28" width="12" style="1186"/>
    <col min="29" max="29" width="9.375" style="1185" customWidth="1"/>
    <col min="30" max="35" width="9.375" style="1184" customWidth="1"/>
    <col min="36" max="39" width="9.375" style="1185" customWidth="1"/>
    <col min="40" max="41" width="9.375" style="1186" customWidth="1"/>
    <col min="42" max="16384" width="12" style="1186"/>
  </cols>
  <sheetData>
    <row r="1" spans="1:39" ht="20.25">
      <c r="A1" s="1180" t="s">
        <v>1227</v>
      </c>
      <c r="B1" s="1181"/>
      <c r="C1" s="1187" t="s">
        <v>915</v>
      </c>
      <c r="D1" s="1264">
        <f>SUM(D33:D34,D37:D42)</f>
        <v>2172.2399999999998</v>
      </c>
      <c r="E1" s="1187" t="s">
        <v>1777</v>
      </c>
      <c r="F1" s="1249"/>
      <c r="G1" s="1182"/>
      <c r="H1" s="1182"/>
      <c r="I1" s="1182"/>
      <c r="J1" s="1182"/>
      <c r="K1" s="1786"/>
      <c r="L1" s="1538" t="s">
        <v>1595</v>
      </c>
      <c r="M1" s="1539">
        <f>SUMPRODUCT((区片价!B5:B9=I2)*(区片价!C3:G3=E2)*(区片价!C5:G9))</f>
        <v>0</v>
      </c>
      <c r="N1" s="1540">
        <f>SUMPRODUCT((因素修正幅度!B5:B9=I2)*(因素修正幅度!C3:G3=E2)*(因素修正幅度!C5:G9))</f>
        <v>0</v>
      </c>
      <c r="O1" s="1786"/>
      <c r="P1" s="1786"/>
      <c r="Q1" s="1786"/>
      <c r="R1" s="2228" t="s">
        <v>2041</v>
      </c>
      <c r="S1" s="2228" t="s">
        <v>1174</v>
      </c>
      <c r="T1" s="2228" t="s">
        <v>2059</v>
      </c>
      <c r="U1" s="2228" t="s">
        <v>2060</v>
      </c>
      <c r="V1" s="2228" t="s">
        <v>916</v>
      </c>
      <c r="W1" s="1786"/>
      <c r="X1" s="1786"/>
      <c r="Y1" s="1786"/>
      <c r="Z1" s="1786"/>
      <c r="AA1" s="1786"/>
      <c r="AB1" s="1786"/>
      <c r="AC1" s="1787"/>
    </row>
    <row r="2" spans="1:39" ht="15.75">
      <c r="A2" s="1187" t="s">
        <v>848</v>
      </c>
      <c r="B2" s="938">
        <f>C30</f>
        <v>1485</v>
      </c>
      <c r="C2" s="1188" t="s">
        <v>849</v>
      </c>
      <c r="D2" s="1189" t="s">
        <v>833</v>
      </c>
      <c r="E2" s="1190" t="s">
        <v>2732</v>
      </c>
      <c r="F2" s="1189" t="s">
        <v>834</v>
      </c>
      <c r="G2" s="1369" t="str">
        <f>IF(E2="商业",项目基本情况!B43,IF(E2="办公",项目基本情况!C43,IF(E2="住宅",项目基本情况!D43,IF(E2="工业",项目基本情况!E43,项目基本情况!F43))))</f>
        <v>九级</v>
      </c>
      <c r="H2" s="1189" t="s">
        <v>854</v>
      </c>
      <c r="I2" s="943" t="str">
        <f>IF(E2="商业",项目基本情况!B44,IF(E2="办公",项目基本情况!C44,IF(E2="住宅",项目基本情况!D44,IF(E2="工业",项目基本情况!E44,项目基本情况!F44))))</f>
        <v>Ⅸ-兴3</v>
      </c>
      <c r="J2" s="1182"/>
      <c r="K2" s="1786"/>
      <c r="L2" s="1541" t="s">
        <v>1596</v>
      </c>
      <c r="M2" s="1542">
        <f>SUMPRODUCT((区片价!B10:B29=I2)*(区片价!C3:G3=E2)*(区片价!C10:G29))</f>
        <v>0</v>
      </c>
      <c r="N2" s="1543">
        <f>SUMPRODUCT((因素修正幅度!B10:B29=I2)*(因素修正幅度!C3:G3=E2)*(因素修正幅度!C10:G29))</f>
        <v>0</v>
      </c>
      <c r="O2" s="1786"/>
      <c r="P2" s="1786"/>
      <c r="Q2" s="1786"/>
      <c r="R2" s="2229">
        <v>1</v>
      </c>
      <c r="S2" s="2229">
        <f>ROUND(SUMPRODUCT((B107:B111=R2)*(C106:N106=G2)*(C107:N111)),4)</f>
        <v>1.5418000000000001</v>
      </c>
      <c r="T2" s="2229">
        <f>ROUND($C$5*$C$22*$C$23*$C$24*S2*$C$28,0)</f>
        <v>7721</v>
      </c>
      <c r="U2" s="2219">
        <f>'数据-汇总表'!F21/2</f>
        <v>1086.1199999999999</v>
      </c>
      <c r="V2" s="2229">
        <f>ROUND(T2*U2/10000,0)</f>
        <v>839</v>
      </c>
      <c r="W2" s="1786"/>
      <c r="X2" s="1786"/>
      <c r="Y2" s="1786"/>
      <c r="Z2" s="1786"/>
      <c r="AA2" s="1786"/>
      <c r="AB2" s="1786"/>
      <c r="AC2" s="1787"/>
    </row>
    <row r="3" spans="1:39" ht="15.75">
      <c r="A3" s="1191" t="s">
        <v>1220</v>
      </c>
      <c r="B3" s="938">
        <f>ROUND(B2*10000/D1,0)</f>
        <v>6836</v>
      </c>
      <c r="C3" s="1188" t="s">
        <v>855</v>
      </c>
      <c r="D3" s="1189" t="s">
        <v>856</v>
      </c>
      <c r="E3" s="1192" t="s">
        <v>2454</v>
      </c>
      <c r="F3" s="1193" t="s">
        <v>3348</v>
      </c>
      <c r="G3" s="939">
        <f>IF(F3="宗地容积率",'数据-汇总表'!I4,IF(F3="估价对象容积率",'数据-汇总表'!I6,'数据-汇总表'!I7))</f>
        <v>2</v>
      </c>
      <c r="H3" s="1189" t="s">
        <v>857</v>
      </c>
      <c r="I3" s="940"/>
      <c r="J3" s="1182" t="s">
        <v>858</v>
      </c>
      <c r="K3" s="1786"/>
      <c r="L3" s="1541" t="s">
        <v>1597</v>
      </c>
      <c r="M3" s="1542">
        <f>SUMPRODUCT((区片价!B30:B54=I2)*(区片价!C3:G3=E2)*(区片价!C30:G54))</f>
        <v>0</v>
      </c>
      <c r="N3" s="1543">
        <f>SUMPRODUCT((因素修正幅度!B30:B54=I2)*(因素修正幅度!C3:G3=E2)*(因素修正幅度!C30:G54))</f>
        <v>0</v>
      </c>
      <c r="O3" s="1786"/>
      <c r="P3" s="1786"/>
      <c r="Q3" s="1786"/>
      <c r="R3" s="2229">
        <v>2</v>
      </c>
      <c r="S3" s="2229">
        <f>ROUND(SUMPRODUCT((B107:B111=R3)*(C106:N106=G2)*(C107:N111)),4)</f>
        <v>1.1883999999999999</v>
      </c>
      <c r="T3" s="2229">
        <f t="shared" ref="T3:T16" si="0">ROUND($C$5*$C$22*$C$23*$C$24*S3*$C$28,0)</f>
        <v>5952</v>
      </c>
      <c r="U3" s="2219">
        <f>'数据-汇总表'!F21-'基准地价 (3)'!U2</f>
        <v>1086.1199999999999</v>
      </c>
      <c r="V3" s="2229">
        <f t="shared" ref="V3:V16" si="1">ROUND(T3*U3/10000,0)</f>
        <v>646</v>
      </c>
      <c r="W3" s="1786"/>
      <c r="X3" s="1786"/>
      <c r="Y3" s="1786"/>
      <c r="Z3" s="1786"/>
      <c r="AA3" s="1786"/>
      <c r="AB3" s="1786"/>
      <c r="AC3" s="1787"/>
    </row>
    <row r="4" spans="1:39" ht="28.5">
      <c r="A4" s="1547" t="s">
        <v>1636</v>
      </c>
      <c r="B4" s="1967" t="e">
        <f>ROUND(B2*10000/F1,0)</f>
        <v>#DIV/0!</v>
      </c>
      <c r="C4" s="1550" t="s">
        <v>1611</v>
      </c>
      <c r="D4" s="1550" t="e">
        <f>ROUND(B2/(F1/666.67),0)</f>
        <v>#DIV/0!</v>
      </c>
      <c r="E4" s="1550" t="s">
        <v>1612</v>
      </c>
      <c r="F4" s="1548"/>
      <c r="G4" s="1548"/>
      <c r="H4" s="1548"/>
      <c r="I4" s="1548"/>
      <c r="J4" s="1549"/>
      <c r="K4" s="2733"/>
      <c r="L4" s="1541" t="s">
        <v>1598</v>
      </c>
      <c r="M4" s="1542">
        <f>SUMPRODUCT((区片价!B55:B86=I2)*(区片价!C3:G3=E2)*(区片价!C55:G86))</f>
        <v>0</v>
      </c>
      <c r="N4" s="1543">
        <f>SUMPRODUCT((因素修正幅度!B55:B86=I2)*(因素修正幅度!C3:G3=E2)*(因素修正幅度!C55:G86))</f>
        <v>0</v>
      </c>
      <c r="O4" s="2733"/>
      <c r="P4" s="1786"/>
      <c r="Q4" s="1786"/>
      <c r="R4" s="2229">
        <v>3</v>
      </c>
      <c r="S4" s="2229">
        <f>ROUND(SUMPRODUCT((B107:B111=R4)*(C106:N106=G2)*(C107:N111)),4)</f>
        <v>0.96940000000000004</v>
      </c>
      <c r="T4" s="2229">
        <f t="shared" si="0"/>
        <v>4855</v>
      </c>
      <c r="U4" s="2219"/>
      <c r="V4" s="2229">
        <f t="shared" si="1"/>
        <v>0</v>
      </c>
      <c r="W4" s="1786"/>
      <c r="X4" s="1786"/>
      <c r="Y4" s="1786"/>
      <c r="Z4" s="1786"/>
      <c r="AA4" s="1786"/>
      <c r="AB4" s="1786"/>
      <c r="AC4" s="1787"/>
    </row>
    <row r="5" spans="1:39" s="1200" customFormat="1" ht="15.75" thickBot="1">
      <c r="A5" s="1356" t="s">
        <v>1352</v>
      </c>
      <c r="B5" s="1194" t="s">
        <v>859</v>
      </c>
      <c r="C5" s="941">
        <f>ROUND(IF(E2="商业",C6*C7*C17+C20,(IF(E2="住宅",C6*C13*C17+C20,IF(E2="办公",C6*C12*C17+C20,C6+C20)))),0)</f>
        <v>4842</v>
      </c>
      <c r="D5" s="2354">
        <f>ROUND(C6*C17+C20,0)</f>
        <v>4842</v>
      </c>
      <c r="E5" s="2354"/>
      <c r="F5" s="1195"/>
      <c r="G5" s="1196"/>
      <c r="H5" s="1196"/>
      <c r="I5" s="1196"/>
      <c r="J5" s="1197"/>
      <c r="K5" s="2734"/>
      <c r="L5" s="1541" t="s">
        <v>1599</v>
      </c>
      <c r="M5" s="1542">
        <f>SUMPRODUCT((区片价!B87:B126=I2)*(区片价!C3:G3=E2)*(区片价!C87:G126))</f>
        <v>0</v>
      </c>
      <c r="N5" s="1543">
        <f>SUMPRODUCT((因素修正幅度!B87:B126=I2)*(因素修正幅度!C3:G3=E2)*(因素修正幅度!C87:G126))</f>
        <v>0</v>
      </c>
      <c r="O5" s="2734"/>
      <c r="P5" s="2736"/>
      <c r="Q5" s="1786"/>
      <c r="R5" s="2229">
        <v>4</v>
      </c>
      <c r="S5" s="2229">
        <f>ROUND(SUMPRODUCT((B107:B111=R5)*(C106:N106=G2)*(C107:N111)),4)</f>
        <v>0.82299999999999995</v>
      </c>
      <c r="T5" s="2229">
        <f t="shared" si="0"/>
        <v>4122</v>
      </c>
      <c r="U5" s="2219"/>
      <c r="V5" s="2229">
        <f t="shared" si="1"/>
        <v>0</v>
      </c>
      <c r="W5" s="1786"/>
      <c r="X5" s="1786"/>
      <c r="Y5" s="1786"/>
      <c r="Z5" s="1786"/>
      <c r="AA5" s="1786"/>
      <c r="AB5" s="1786"/>
      <c r="AC5" s="1788"/>
      <c r="AD5" s="1198"/>
      <c r="AE5" s="1198"/>
      <c r="AF5" s="1198"/>
      <c r="AG5" s="1198"/>
      <c r="AH5" s="1198"/>
      <c r="AI5" s="1198"/>
      <c r="AJ5" s="1199"/>
      <c r="AK5" s="1199"/>
      <c r="AL5" s="1199"/>
      <c r="AM5" s="1199"/>
    </row>
    <row r="6" spans="1:39" ht="15.75" thickBot="1">
      <c r="A6" s="3244" t="s">
        <v>1395</v>
      </c>
      <c r="B6" s="1201" t="s">
        <v>859</v>
      </c>
      <c r="C6" s="3245">
        <f>SUMIF(L1:L12,G2,M1:M12)</f>
        <v>4870</v>
      </c>
      <c r="D6" s="3246" t="s">
        <v>1228</v>
      </c>
      <c r="E6" s="1201"/>
      <c r="F6" s="1201"/>
      <c r="G6" s="3247"/>
      <c r="H6" s="3247"/>
      <c r="I6" s="3247"/>
      <c r="J6" s="3248"/>
      <c r="K6" s="1786"/>
      <c r="L6" s="1541" t="s">
        <v>1600</v>
      </c>
      <c r="M6" s="1542">
        <f>SUMPRODUCT((区片价!B127:B189=I2)*(区片价!C3:G3=E2)*(区片价!C127:G189))</f>
        <v>0</v>
      </c>
      <c r="N6" s="1543">
        <f>SUMPRODUCT((因素修正幅度!B127:B189=I2)*(因素修正幅度!C3:G3=E2)*(因素修正幅度!C127:G189))</f>
        <v>0</v>
      </c>
      <c r="O6" s="1786"/>
      <c r="P6" s="2737"/>
      <c r="Q6" s="1786"/>
      <c r="R6" s="2229">
        <v>5</v>
      </c>
      <c r="S6" s="2229">
        <f>ROUND(SUMPRODUCT((B107:B111=R6)*(C106:N106=G2)*(C107:N111)),4)</f>
        <v>0.74980000000000002</v>
      </c>
      <c r="T6" s="2229">
        <f t="shared" si="0"/>
        <v>3755</v>
      </c>
      <c r="U6" s="2219"/>
      <c r="V6" s="2229">
        <f t="shared" si="1"/>
        <v>0</v>
      </c>
      <c r="W6" s="1786"/>
      <c r="X6" s="1786"/>
      <c r="Y6" s="1786"/>
      <c r="Z6" s="1786"/>
      <c r="AA6" s="1786"/>
      <c r="AB6" s="1786"/>
      <c r="AC6" s="1788"/>
      <c r="AD6" s="1198"/>
      <c r="AE6" s="1198"/>
      <c r="AF6" s="1198"/>
      <c r="AG6" s="1198"/>
      <c r="AH6" s="1198"/>
      <c r="AI6" s="1198"/>
      <c r="AJ6" s="1199"/>
    </row>
    <row r="7" spans="1:39" ht="24.75" thickBot="1">
      <c r="A7" s="3249" t="s">
        <v>1396</v>
      </c>
      <c r="B7" s="1202" t="s">
        <v>860</v>
      </c>
      <c r="C7" s="3250">
        <f>IF(C8="不临65条商业街",1,ROUND(1+(1.6*E8+1.2*E9+0.8*E10+0.4*E11)*C9,4))</f>
        <v>1</v>
      </c>
      <c r="D7" s="3251" t="s">
        <v>861</v>
      </c>
      <c r="E7" s="3252"/>
      <c r="F7" s="3253"/>
      <c r="G7" s="3253"/>
      <c r="H7" s="3253"/>
      <c r="I7" s="3253"/>
      <c r="J7" s="3254"/>
      <c r="K7" s="1786"/>
      <c r="L7" s="1541" t="s">
        <v>1601</v>
      </c>
      <c r="M7" s="1542">
        <f>SUMPRODUCT((区片价!B190:B233=I2)*(区片价!C3:G3=E2)*(区片价!C190:G233))</f>
        <v>0</v>
      </c>
      <c r="N7" s="1543">
        <f>SUMPRODUCT((因素修正幅度!B190:B233=I2)*(因素修正幅度!C3:G3=E2)*(因素修正幅度!C190:G233))</f>
        <v>0</v>
      </c>
      <c r="O7" s="1786"/>
      <c r="P7" s="2737"/>
      <c r="Q7" s="1786"/>
      <c r="R7" s="2229">
        <v>6</v>
      </c>
      <c r="S7" s="2219"/>
      <c r="T7" s="2229">
        <f t="shared" si="0"/>
        <v>0</v>
      </c>
      <c r="U7" s="2219"/>
      <c r="V7" s="2229">
        <f t="shared" si="1"/>
        <v>0</v>
      </c>
      <c r="W7" s="2227" t="s">
        <v>2044</v>
      </c>
      <c r="X7" s="2220" t="str">
        <f>G2</f>
        <v>九级</v>
      </c>
      <c r="Y7" s="2220" t="s">
        <v>2045</v>
      </c>
      <c r="Z7" s="2221">
        <f>G3</f>
        <v>2</v>
      </c>
      <c r="AA7" s="1789"/>
      <c r="AB7" s="1789"/>
      <c r="AC7" s="1790"/>
      <c r="AD7" s="2222"/>
      <c r="AE7" s="2222"/>
      <c r="AF7" s="2222"/>
      <c r="AG7" s="2222"/>
      <c r="AH7" s="2222"/>
      <c r="AI7" s="2222"/>
      <c r="AJ7" s="2223"/>
    </row>
    <row r="8" spans="1:39" ht="25.5">
      <c r="A8" s="3255"/>
      <c r="B8" s="1189" t="s">
        <v>862</v>
      </c>
      <c r="C8" s="3256" t="s">
        <v>3349</v>
      </c>
      <c r="D8" s="3257" t="s">
        <v>863</v>
      </c>
      <c r="E8" s="3258" t="e">
        <f>ROUND(C11/E7,4)</f>
        <v>#DIV/0!</v>
      </c>
      <c r="F8" s="3259" t="s">
        <v>864</v>
      </c>
      <c r="G8" s="3260"/>
      <c r="H8" s="3260"/>
      <c r="I8" s="3260"/>
      <c r="J8" s="3261"/>
      <c r="K8" s="1786"/>
      <c r="L8" s="1541" t="s">
        <v>1602</v>
      </c>
      <c r="M8" s="1542">
        <f>SUMPRODUCT((区片价!B234:B276=I2)*(区片价!C3:G3=E2)*(区片价!C234:G276))</f>
        <v>0</v>
      </c>
      <c r="N8" s="1543">
        <f>SUMPRODUCT((因素修正幅度!B234:B276=I2)*(因素修正幅度!C3:G3=E2)*(因素修正幅度!C234:G276))</f>
        <v>0</v>
      </c>
      <c r="O8" s="1786"/>
      <c r="P8" s="1786"/>
      <c r="Q8" s="1786"/>
      <c r="R8" s="2229">
        <v>7</v>
      </c>
      <c r="S8" s="2219"/>
      <c r="T8" s="2229">
        <f t="shared" si="0"/>
        <v>0</v>
      </c>
      <c r="U8" s="2219"/>
      <c r="V8" s="2229">
        <f t="shared" si="1"/>
        <v>0</v>
      </c>
      <c r="W8" s="3727" t="s">
        <v>2058</v>
      </c>
      <c r="X8" s="3728"/>
      <c r="Y8" s="1535" t="s">
        <v>2046</v>
      </c>
      <c r="Z8" s="1535" t="s">
        <v>2047</v>
      </c>
      <c r="AA8" s="1535" t="s">
        <v>2048</v>
      </c>
      <c r="AB8" s="1535" t="s">
        <v>2049</v>
      </c>
      <c r="AC8" s="1535" t="s">
        <v>2050</v>
      </c>
      <c r="AD8" s="1535" t="s">
        <v>2051</v>
      </c>
      <c r="AE8" s="1535" t="s">
        <v>2052</v>
      </c>
      <c r="AF8" s="1535" t="s">
        <v>2053</v>
      </c>
      <c r="AG8" s="1535" t="s">
        <v>2054</v>
      </c>
      <c r="AH8" s="1535" t="s">
        <v>2055</v>
      </c>
      <c r="AI8" s="1535" t="s">
        <v>2056</v>
      </c>
      <c r="AJ8" s="1535" t="s">
        <v>2057</v>
      </c>
    </row>
    <row r="9" spans="1:39" ht="15">
      <c r="A9" s="3255"/>
      <c r="B9" s="1189" t="s">
        <v>865</v>
      </c>
      <c r="C9" s="3262">
        <f>SUMIF(修正!C71:C139,C8,修正!E71:E139)</f>
        <v>0</v>
      </c>
      <c r="D9" s="3263" t="s">
        <v>866</v>
      </c>
      <c r="E9" s="3263" t="e">
        <f>ROUND(C11/E7,4)</f>
        <v>#DIV/0!</v>
      </c>
      <c r="F9" s="3259" t="s">
        <v>867</v>
      </c>
      <c r="G9" s="3260"/>
      <c r="H9" s="3260"/>
      <c r="I9" s="3260"/>
      <c r="J9" s="3261"/>
      <c r="K9" s="1786"/>
      <c r="L9" s="1541" t="s">
        <v>1603</v>
      </c>
      <c r="M9" s="1542">
        <f>SUMPRODUCT((区片价!B277:B326=I2)*(区片价!C3:G3=E2)*(区片价!C277:G326))</f>
        <v>4870</v>
      </c>
      <c r="N9" s="1543">
        <f>SUMPRODUCT((因素修正幅度!B277:B326=I2)*(因素修正幅度!C3:G3=E2)*(因素修正幅度!C277:G326))</f>
        <v>0.126</v>
      </c>
      <c r="O9" s="1786"/>
      <c r="P9" s="1786"/>
      <c r="Q9" s="1786"/>
      <c r="R9" s="2229">
        <v>8</v>
      </c>
      <c r="S9" s="2219"/>
      <c r="T9" s="2229">
        <f t="shared" si="0"/>
        <v>0</v>
      </c>
      <c r="U9" s="2219"/>
      <c r="V9" s="2229">
        <f t="shared" si="1"/>
        <v>0</v>
      </c>
      <c r="W9" s="3726"/>
      <c r="X9" s="2224" t="s">
        <v>3208</v>
      </c>
      <c r="Y9" s="2347">
        <v>6</v>
      </c>
      <c r="Z9" s="2225">
        <f t="shared" ref="Z9:AJ9" si="2">$Y$9</f>
        <v>6</v>
      </c>
      <c r="AA9" s="2225">
        <f t="shared" si="2"/>
        <v>6</v>
      </c>
      <c r="AB9" s="2225">
        <f t="shared" si="2"/>
        <v>6</v>
      </c>
      <c r="AC9" s="2225">
        <f t="shared" si="2"/>
        <v>6</v>
      </c>
      <c r="AD9" s="2225">
        <f t="shared" si="2"/>
        <v>6</v>
      </c>
      <c r="AE9" s="2225">
        <f t="shared" si="2"/>
        <v>6</v>
      </c>
      <c r="AF9" s="2225">
        <f t="shared" si="2"/>
        <v>6</v>
      </c>
      <c r="AG9" s="2225">
        <f t="shared" si="2"/>
        <v>6</v>
      </c>
      <c r="AH9" s="2225">
        <f t="shared" si="2"/>
        <v>6</v>
      </c>
      <c r="AI9" s="2225">
        <f t="shared" si="2"/>
        <v>6</v>
      </c>
      <c r="AJ9" s="2225">
        <f t="shared" si="2"/>
        <v>6</v>
      </c>
    </row>
    <row r="10" spans="1:39" ht="15">
      <c r="A10" s="3255"/>
      <c r="B10" s="1189" t="s">
        <v>868</v>
      </c>
      <c r="C10" s="3263">
        <f>SUMIF(修正!C71:C139,C8,修正!F71:F139)</f>
        <v>0</v>
      </c>
      <c r="D10" s="3263" t="s">
        <v>869</v>
      </c>
      <c r="E10" s="3263" t="e">
        <f>ROUND(C11/E7,4)</f>
        <v>#DIV/0!</v>
      </c>
      <c r="F10" s="3259" t="s">
        <v>870</v>
      </c>
      <c r="G10" s="3260"/>
      <c r="H10" s="3260"/>
      <c r="I10" s="3260"/>
      <c r="J10" s="3261"/>
      <c r="K10" s="1786"/>
      <c r="L10" s="1541" t="s">
        <v>1604</v>
      </c>
      <c r="M10" s="1542">
        <f>SUMPRODUCT((区片价!B327:B357=I2)*(区片价!C3:G3=E2)*(区片价!C327:G357))</f>
        <v>0</v>
      </c>
      <c r="N10" s="1543">
        <f>SUMPRODUCT((因素修正幅度!B327:B357=I2)*(因素修正幅度!C3:G3=E2)*(因素修正幅度!C327:G357))</f>
        <v>0</v>
      </c>
      <c r="O10" s="1786"/>
      <c r="P10" s="1786"/>
      <c r="Q10" s="1786"/>
      <c r="R10" s="2229">
        <v>9</v>
      </c>
      <c r="S10" s="2219"/>
      <c r="T10" s="2229">
        <f t="shared" si="0"/>
        <v>0</v>
      </c>
      <c r="U10" s="2219"/>
      <c r="V10" s="2229">
        <f t="shared" si="1"/>
        <v>0</v>
      </c>
      <c r="W10" s="3726"/>
      <c r="X10" s="2224">
        <v>6</v>
      </c>
      <c r="Y10" s="2226">
        <f>ROUND((-0.5556*(Y9^2)-0.2719*Y9+8944)*(10^(-4)),4)</f>
        <v>0.89219999999999999</v>
      </c>
      <c r="Z10" s="2226">
        <f>ROUND((-0.5556*(Z9^2)-0.2719*Z9+8944)*(10^(-4)),4)</f>
        <v>0.89219999999999999</v>
      </c>
      <c r="AA10" s="2226">
        <f>ROUND((-0.7912*(AA9^2)-11.3794*AA9+8482)*(10^(-4)),4)</f>
        <v>0.83850000000000002</v>
      </c>
      <c r="AB10" s="2226">
        <f>ROUND((-0.7912*(AB9^2)-11.3794*AB9+8482)*(10^(-4)),4)</f>
        <v>0.83850000000000002</v>
      </c>
      <c r="AC10" s="2226">
        <f>ROUND((-0.7912*(AC9^2)-11.3794*AC9+8482)*(10^(-4)),4)</f>
        <v>0.83850000000000002</v>
      </c>
      <c r="AD10" s="2226">
        <f>ROUND((-0.7912*(AD9^2)-11.3794*AD9+8482)*(10^(-4)),4)</f>
        <v>0.83850000000000002</v>
      </c>
      <c r="AE10" s="2226">
        <f>ROUND((-0.7912*(AE9^2)-11.3794*AE9+8482)*(10^(-4)),4)</f>
        <v>0.83850000000000002</v>
      </c>
      <c r="AF10" s="2226">
        <f>ROUND((-0.989*(AF9^2)-63.78*AF9+7771)*(10^(-4)),4)</f>
        <v>0.73529999999999995</v>
      </c>
      <c r="AG10" s="2226">
        <f>ROUND((-0.989*(AG9^2)-63.78*AG9+7771)*(10^(-4)),4)</f>
        <v>0.73529999999999995</v>
      </c>
      <c r="AH10" s="2226">
        <f>ROUND((-0.989*(AH9^2)-63.78*AH9+7771)*(10^(-4)),4)</f>
        <v>0.73529999999999995</v>
      </c>
      <c r="AI10" s="2226">
        <f>ROUND((-0.989*(AI9^2)-63.78*AI9+7771)*(10^(-4)),4)</f>
        <v>0.73529999999999995</v>
      </c>
      <c r="AJ10" s="2226">
        <f>ROUND((-0.989*(AJ9^2)-63.78*AJ9+7771)*(10^(-4)),4)</f>
        <v>0.73529999999999995</v>
      </c>
    </row>
    <row r="11" spans="1:39" ht="15.75" customHeight="1" thickBot="1">
      <c r="A11" s="3255"/>
      <c r="B11" s="1206" t="s">
        <v>871</v>
      </c>
      <c r="C11" s="3264">
        <f>C10/4</f>
        <v>0</v>
      </c>
      <c r="D11" s="3264" t="s">
        <v>872</v>
      </c>
      <c r="E11" s="3264" t="e">
        <f>ROUND(C11/E7,4)</f>
        <v>#DIV/0!</v>
      </c>
      <c r="F11" s="3265" t="s">
        <v>873</v>
      </c>
      <c r="G11" s="3266"/>
      <c r="H11" s="3266"/>
      <c r="I11" s="3266"/>
      <c r="J11" s="3267"/>
      <c r="K11" s="1786"/>
      <c r="L11" s="1541" t="s">
        <v>1605</v>
      </c>
      <c r="M11" s="1542">
        <f>SUMPRODUCT((区片价!B358:B377=I2)*(区片价!C3:G3=E2)*(区片价!C358:G377))</f>
        <v>0</v>
      </c>
      <c r="N11" s="1543">
        <f>SUMPRODUCT((因素修正幅度!B358:B377=I2)*(因素修正幅度!C3:G3=E2)*(因素修正幅度!C358:G377))</f>
        <v>0</v>
      </c>
      <c r="O11" s="1786"/>
      <c r="P11" s="1786"/>
      <c r="Q11" s="1786"/>
      <c r="R11" s="2229">
        <v>10</v>
      </c>
      <c r="S11" s="2219"/>
      <c r="T11" s="2229">
        <f t="shared" si="0"/>
        <v>0</v>
      </c>
      <c r="U11" s="2219"/>
      <c r="V11" s="2229">
        <f t="shared" si="1"/>
        <v>0</v>
      </c>
      <c r="W11" s="1786"/>
      <c r="X11" s="1786"/>
      <c r="Y11" s="1786"/>
      <c r="Z11" s="1786"/>
      <c r="AA11" s="1786"/>
      <c r="AB11" s="1786"/>
      <c r="AC11" s="1787"/>
    </row>
    <row r="12" spans="1:39" ht="25.5" thickBot="1">
      <c r="A12" s="3249" t="s">
        <v>1367</v>
      </c>
      <c r="B12" s="3231" t="s">
        <v>3187</v>
      </c>
      <c r="C12" s="3237">
        <v>1</v>
      </c>
      <c r="D12" s="3232" t="s">
        <v>3188</v>
      </c>
      <c r="E12" s="3233" t="s">
        <v>3189</v>
      </c>
      <c r="F12" s="3234"/>
      <c r="G12" s="3235"/>
      <c r="H12" s="3235"/>
      <c r="I12" s="3235"/>
      <c r="J12" s="3236"/>
      <c r="K12" s="1786"/>
      <c r="L12" s="1544" t="s">
        <v>1606</v>
      </c>
      <c r="M12" s="1545">
        <f>SUMPRODUCT((区片价!B378:B384=I2)*(区片价!C3:G3=E2)*(区片价!C378:G384))</f>
        <v>0</v>
      </c>
      <c r="N12" s="1546">
        <f>SUMPRODUCT((因素修正幅度!B378:B384=I2)*(因素修正幅度!C3:G3=E2)*(因素修正幅度!C378:G384))</f>
        <v>0</v>
      </c>
      <c r="O12" s="1786"/>
      <c r="P12" s="1786"/>
      <c r="Q12" s="1786"/>
      <c r="R12" s="2229">
        <v>11</v>
      </c>
      <c r="S12" s="2219"/>
      <c r="T12" s="2229">
        <f t="shared" si="0"/>
        <v>0</v>
      </c>
      <c r="U12" s="2219"/>
      <c r="V12" s="2229">
        <f t="shared" si="1"/>
        <v>0</v>
      </c>
      <c r="W12" s="1786"/>
      <c r="X12" s="1786"/>
      <c r="Y12" s="1786"/>
      <c r="Z12" s="1786"/>
      <c r="AA12" s="1786"/>
      <c r="AB12" s="1786"/>
      <c r="AC12" s="1787"/>
    </row>
    <row r="13" spans="1:39" ht="15.75" thickBot="1">
      <c r="A13" s="3249" t="s">
        <v>1368</v>
      </c>
      <c r="B13" s="1207" t="s">
        <v>874</v>
      </c>
      <c r="C13" s="3250">
        <f>ROUND(C16*D16*E16*F16*G16*H16*I16*J16,4)</f>
        <v>1</v>
      </c>
      <c r="D13" s="3268" t="s">
        <v>3191</v>
      </c>
      <c r="E13" s="3269"/>
      <c r="F13" s="3269"/>
      <c r="G13" s="3269"/>
      <c r="H13" s="3269"/>
      <c r="I13" s="3269"/>
      <c r="J13" s="3270"/>
      <c r="K13" s="1787"/>
      <c r="L13" s="1787"/>
      <c r="M13" s="1787"/>
      <c r="N13" s="1787"/>
      <c r="O13" s="1787"/>
      <c r="P13" s="1786"/>
      <c r="Q13" s="1786"/>
      <c r="R13" s="2229">
        <v>12</v>
      </c>
      <c r="S13" s="2219"/>
      <c r="T13" s="2229">
        <f t="shared" si="0"/>
        <v>0</v>
      </c>
      <c r="U13" s="2219"/>
      <c r="V13" s="2229">
        <f t="shared" si="1"/>
        <v>0</v>
      </c>
      <c r="W13" s="1786"/>
      <c r="X13" s="1786"/>
      <c r="Y13" s="1786"/>
      <c r="Z13" s="1786"/>
      <c r="AA13" s="1786"/>
      <c r="AB13" s="1786"/>
      <c r="AC13" s="1787"/>
    </row>
    <row r="14" spans="1:39" ht="12.75" customHeight="1">
      <c r="A14" s="3271"/>
      <c r="B14" s="1211" t="s">
        <v>1229</v>
      </c>
      <c r="C14" s="3187" t="s">
        <v>1230</v>
      </c>
      <c r="D14" s="1213" t="s">
        <v>1231</v>
      </c>
      <c r="E14" s="748" t="s">
        <v>3192</v>
      </c>
      <c r="F14" s="3272" t="s">
        <v>1178</v>
      </c>
      <c r="G14" s="3272" t="s">
        <v>1178</v>
      </c>
      <c r="H14" s="3273" t="s">
        <v>1178</v>
      </c>
      <c r="I14" s="3273" t="s">
        <v>1178</v>
      </c>
      <c r="J14" s="3273" t="s">
        <v>1178</v>
      </c>
      <c r="K14" s="2735"/>
      <c r="L14" s="2735"/>
      <c r="M14" s="2735"/>
      <c r="N14" s="2735"/>
      <c r="O14" s="2735"/>
      <c r="P14" s="1786"/>
      <c r="Q14" s="1786"/>
      <c r="R14" s="2229">
        <v>13</v>
      </c>
      <c r="S14" s="2219"/>
      <c r="T14" s="2229">
        <f t="shared" si="0"/>
        <v>0</v>
      </c>
      <c r="U14" s="2219"/>
      <c r="V14" s="2229">
        <f t="shared" si="1"/>
        <v>0</v>
      </c>
      <c r="W14" s="1786"/>
      <c r="X14" s="1786"/>
      <c r="Y14" s="1786"/>
      <c r="Z14" s="1786"/>
      <c r="AA14" s="1786"/>
      <c r="AB14" s="1786"/>
      <c r="AC14" s="1787"/>
    </row>
    <row r="15" spans="1:39" ht="13.5" customHeight="1">
      <c r="A15" s="3271"/>
      <c r="B15" s="1213"/>
      <c r="C15" s="3274" t="s">
        <v>3278</v>
      </c>
      <c r="D15" s="3275" t="s">
        <v>3278</v>
      </c>
      <c r="E15" s="3276" t="s">
        <v>3353</v>
      </c>
      <c r="F15" s="3276"/>
      <c r="G15" s="1035" t="s">
        <v>3193</v>
      </c>
      <c r="H15" s="3240"/>
      <c r="I15" s="3241"/>
      <c r="J15" s="3242"/>
      <c r="K15" s="3243"/>
      <c r="L15" s="1790"/>
      <c r="M15" s="1790"/>
      <c r="N15" s="1790"/>
      <c r="O15" s="1790"/>
      <c r="P15" s="1786"/>
      <c r="Q15" s="1786"/>
      <c r="R15" s="2229">
        <v>14</v>
      </c>
      <c r="S15" s="2219"/>
      <c r="T15" s="2229">
        <f t="shared" si="0"/>
        <v>0</v>
      </c>
      <c r="U15" s="2219"/>
      <c r="V15" s="2229">
        <f t="shared" si="1"/>
        <v>0</v>
      </c>
      <c r="W15" s="1786"/>
      <c r="X15" s="1786"/>
      <c r="Y15" s="1786"/>
      <c r="Z15" s="1786"/>
      <c r="AA15" s="1786"/>
      <c r="AB15" s="1786"/>
      <c r="AC15" s="1787"/>
    </row>
    <row r="16" spans="1:39" ht="24.6" customHeight="1" thickBot="1">
      <c r="A16" s="3271"/>
      <c r="B16" s="2402" t="s">
        <v>1232</v>
      </c>
      <c r="C16" s="3238">
        <v>1</v>
      </c>
      <c r="D16" s="3238">
        <v>1</v>
      </c>
      <c r="E16" s="3238">
        <v>1</v>
      </c>
      <c r="F16" s="3238">
        <v>1</v>
      </c>
      <c r="G16" s="3238">
        <v>1</v>
      </c>
      <c r="H16" s="3238">
        <v>1</v>
      </c>
      <c r="I16" s="3238">
        <v>1</v>
      </c>
      <c r="J16" s="3239">
        <v>1</v>
      </c>
      <c r="K16" s="1790"/>
      <c r="L16" s="1790"/>
      <c r="M16" s="1790"/>
      <c r="N16" s="1790"/>
      <c r="O16" s="1790"/>
      <c r="P16" s="1786"/>
      <c r="Q16" s="1786"/>
      <c r="R16" s="2229">
        <v>15</v>
      </c>
      <c r="S16" s="2219"/>
      <c r="T16" s="2229">
        <f t="shared" si="0"/>
        <v>0</v>
      </c>
      <c r="U16" s="2219"/>
      <c r="V16" s="2229">
        <f t="shared" si="1"/>
        <v>0</v>
      </c>
      <c r="W16" s="1789"/>
      <c r="X16" s="1789"/>
      <c r="Y16" s="1789"/>
      <c r="Z16" s="1789"/>
      <c r="AA16" s="1789"/>
      <c r="AB16" s="1789"/>
      <c r="AC16" s="1790"/>
    </row>
    <row r="17" spans="1:40" ht="24">
      <c r="A17" s="3278" t="s">
        <v>1369</v>
      </c>
      <c r="B17" s="3279" t="s">
        <v>3195</v>
      </c>
      <c r="C17" s="3287">
        <f>ROUND(IF(OR(E2="工业",E2="公共服务"),1,IF(AND(E18=0,E19=0),1,IF(AND(E18=J24,E19=G19),0.8,IF(E19=0,1+E17*(-0.2),1+E17*G17*(-0.2))))),4)</f>
        <v>1</v>
      </c>
      <c r="D17" s="3280" t="s">
        <v>3196</v>
      </c>
      <c r="E17" s="3287">
        <f>ROUND(G18/I18,2)</f>
        <v>0</v>
      </c>
      <c r="F17" s="3280" t="s">
        <v>3199</v>
      </c>
      <c r="G17" s="3287" t="e">
        <f>ROUND(E19/G19,2)</f>
        <v>#DIV/0!</v>
      </c>
      <c r="H17" s="3287"/>
      <c r="I17" s="3287"/>
      <c r="J17" s="3366"/>
      <c r="K17" s="1790"/>
      <c r="L17" s="1790"/>
      <c r="M17" s="1790"/>
      <c r="N17" s="1790"/>
      <c r="O17" s="1790"/>
      <c r="P17" s="1786"/>
      <c r="Q17" s="1786"/>
      <c r="R17" s="1790"/>
      <c r="S17" s="1790"/>
      <c r="T17" s="1790"/>
      <c r="U17" s="1790"/>
      <c r="V17" s="1790"/>
      <c r="W17" s="1789"/>
      <c r="X17" s="1789"/>
      <c r="Y17" s="1789"/>
      <c r="Z17" s="1789"/>
      <c r="AA17" s="1789"/>
      <c r="AB17" s="1789"/>
      <c r="AC17" s="1790"/>
      <c r="AH17" s="1183"/>
      <c r="AI17" s="1183"/>
      <c r="AJ17" s="1186"/>
      <c r="AK17" s="1186"/>
      <c r="AL17" s="1186"/>
      <c r="AM17" s="1186"/>
    </row>
    <row r="18" spans="1:40" s="1200" customFormat="1" ht="14.25">
      <c r="A18" s="3271"/>
      <c r="B18" s="3151"/>
      <c r="C18" s="3285"/>
      <c r="D18" s="3281" t="s">
        <v>3197</v>
      </c>
      <c r="E18" s="3286"/>
      <c r="F18" s="3283" t="s">
        <v>3200</v>
      </c>
      <c r="G18" s="3285">
        <f>ROUND(1-(1/(POWER(1+G24,E18))),4)</f>
        <v>0</v>
      </c>
      <c r="H18" s="3283" t="s">
        <v>3202</v>
      </c>
      <c r="I18" s="3285">
        <f>ROUND(1-(1/(POWER(1+G24,J24))),4)</f>
        <v>0.88249999999999995</v>
      </c>
      <c r="J18" s="3367"/>
      <c r="K18" s="1790"/>
      <c r="L18" s="1790"/>
      <c r="M18" s="1790"/>
      <c r="N18" s="1790"/>
      <c r="O18" s="1790"/>
      <c r="P18" s="1786"/>
      <c r="Q18" s="1786"/>
      <c r="R18" s="1791"/>
      <c r="S18" s="1791"/>
      <c r="T18" s="1791"/>
      <c r="U18" s="1791"/>
      <c r="V18" s="1791"/>
      <c r="W18" s="1790"/>
      <c r="X18" s="1790"/>
      <c r="Y18" s="1790"/>
      <c r="Z18" s="1790"/>
      <c r="AA18" s="1789"/>
      <c r="AB18" s="1789"/>
      <c r="AC18" s="1792"/>
      <c r="AD18" s="1218"/>
      <c r="AE18" s="1218"/>
      <c r="AF18" s="1218"/>
      <c r="AG18" s="1218"/>
      <c r="AH18" s="1184"/>
      <c r="AI18" s="1184"/>
      <c r="AJ18" s="1185"/>
      <c r="AK18" s="1185"/>
      <c r="AL18" s="1185"/>
    </row>
    <row r="19" spans="1:40" s="1200" customFormat="1" ht="15" thickBot="1">
      <c r="A19" s="3277"/>
      <c r="B19" s="3154"/>
      <c r="C19" s="3282"/>
      <c r="D19" s="3282" t="s">
        <v>3198</v>
      </c>
      <c r="E19" s="3288"/>
      <c r="F19" s="3284" t="s">
        <v>3201</v>
      </c>
      <c r="G19" s="3288"/>
      <c r="H19" s="3282"/>
      <c r="I19" s="3282"/>
      <c r="J19" s="3368"/>
      <c r="K19" s="1790"/>
      <c r="L19" s="1790"/>
      <c r="M19" s="1790"/>
      <c r="N19" s="1790"/>
      <c r="O19" s="1790"/>
      <c r="P19" s="1786"/>
      <c r="Q19" s="1786"/>
      <c r="R19" s="1792"/>
      <c r="S19" s="1792"/>
      <c r="T19" s="1792"/>
      <c r="U19" s="1792"/>
      <c r="V19" s="1792"/>
      <c r="W19" s="1792"/>
      <c r="X19" s="1792"/>
      <c r="Y19" s="1184"/>
      <c r="Z19" s="1184"/>
      <c r="AA19" s="1184"/>
      <c r="AB19" s="1184"/>
      <c r="AC19" s="1218"/>
      <c r="AD19" s="1219"/>
      <c r="AE19" s="1223"/>
      <c r="AF19" s="1185"/>
      <c r="AG19" s="1199"/>
      <c r="AH19" s="1199"/>
      <c r="AI19" s="1199"/>
    </row>
    <row r="20" spans="1:40" s="1200" customFormat="1" ht="14.25">
      <c r="A20" s="3737" t="s">
        <v>1370</v>
      </c>
      <c r="B20" s="1202" t="s">
        <v>875</v>
      </c>
      <c r="C20" s="945">
        <f>ROUND(IF(F21="与级别开发程度一致",0,(G21-E21)/C21),0)</f>
        <v>-28</v>
      </c>
      <c r="D20" s="3732" t="s">
        <v>879</v>
      </c>
      <c r="E20" s="3733"/>
      <c r="F20" s="3732" t="s">
        <v>876</v>
      </c>
      <c r="G20" s="3733"/>
      <c r="H20" s="1214" t="s">
        <v>2759</v>
      </c>
      <c r="I20" s="1214" t="s">
        <v>2760</v>
      </c>
      <c r="J20" s="1214" t="s">
        <v>2762</v>
      </c>
      <c r="K20" s="1214"/>
      <c r="L20" s="1214"/>
      <c r="M20" s="1214"/>
      <c r="N20" s="1214"/>
      <c r="O20" s="2407"/>
      <c r="P20" s="1786"/>
      <c r="Q20" s="1789"/>
      <c r="R20" s="1792"/>
      <c r="S20" s="1792"/>
      <c r="T20" s="1792"/>
      <c r="U20" s="1792"/>
      <c r="V20" s="1792"/>
      <c r="W20" s="1792"/>
      <c r="X20" s="1792"/>
      <c r="Y20" s="1218"/>
      <c r="Z20" s="1218"/>
      <c r="AA20" s="1218"/>
      <c r="AB20" s="1218"/>
      <c r="AC20" s="1218"/>
      <c r="AD20" s="1218"/>
    </row>
    <row r="21" spans="1:40" s="1200" customFormat="1" ht="24.75" thickBot="1">
      <c r="A21" s="3738"/>
      <c r="B21" s="2408" t="s">
        <v>878</v>
      </c>
      <c r="C21" s="2409">
        <f>IF(E3="M4科研用地",SUMPRODUCT((修正!A2:A7=E3)*(修正!B1:M1=G2)*(修正!B2:M7)),SUMPRODUCT((修正!A2:A7=E2)*(修正!B1:M1=G2)*(修正!B2:M7)))</f>
        <v>2</v>
      </c>
      <c r="D21" s="2410" t="str">
        <f>IF(OR(G2="八级",G2="九级",G2="十级",G2="十一级",G2="十二级"),"五通一平","七通一平")</f>
        <v>五通一平</v>
      </c>
      <c r="E21" s="2400">
        <f>SUMPRODUCT((修正!B1:M1=G2)*(修正!B17:M17))</f>
        <v>185</v>
      </c>
      <c r="F21" s="2401" t="s">
        <v>3350</v>
      </c>
      <c r="G21" s="2400">
        <f>SUM(H21:O21)</f>
        <v>130</v>
      </c>
      <c r="H21" s="944">
        <f>SUMPRODUCT((七通一平=H20)*(修正!B1:M1=G2)*(修正!B8:M16))</f>
        <v>60</v>
      </c>
      <c r="I21" s="944">
        <f>SUMPRODUCT((七通一平=I20)*(修正!B1:M1=G2)*(修正!B8:M16))</f>
        <v>50</v>
      </c>
      <c r="J21" s="944">
        <f>SUMPRODUCT((七通一平=J20)*(修正!B1:M1=G2)*(修正!B8:M16))</f>
        <v>20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1">
        <f>SUMPRODUCT((七通一平=O20)*(修正!B1:M1=G2)*(修正!B8:M16))</f>
        <v>0</v>
      </c>
      <c r="P21" s="1786"/>
      <c r="Q21" s="1789"/>
      <c r="R21" s="1792"/>
      <c r="S21" s="1792"/>
      <c r="T21" s="1792"/>
      <c r="U21" s="1792"/>
      <c r="V21" s="1792"/>
      <c r="W21" s="1792"/>
      <c r="X21" s="1792"/>
      <c r="Y21" s="1184"/>
      <c r="Z21" s="1184"/>
      <c r="AA21" s="1184"/>
      <c r="AB21" s="1184"/>
      <c r="AC21" s="1218"/>
      <c r="AD21" s="1218"/>
    </row>
    <row r="22" spans="1:40" s="1200" customFormat="1" ht="15.75" thickBot="1">
      <c r="A22" s="2092" t="s">
        <v>1355</v>
      </c>
      <c r="B22" s="2403" t="s">
        <v>880</v>
      </c>
      <c r="C22" s="2404">
        <f>SUMIF(修正!C20:C51,E3,修正!E20:E51)</f>
        <v>1</v>
      </c>
      <c r="D22" s="2405"/>
      <c r="E22" s="2406"/>
      <c r="F22" s="2393"/>
      <c r="G22" s="1227"/>
      <c r="H22" s="1227"/>
      <c r="I22" s="1227"/>
      <c r="J22" s="2398"/>
      <c r="K22" s="2734"/>
      <c r="L22" s="1227"/>
      <c r="M22" s="1227"/>
      <c r="N22" s="1227"/>
      <c r="O22" s="1227"/>
      <c r="P22" s="2734"/>
      <c r="Q22" s="1791"/>
      <c r="R22" s="1792"/>
      <c r="S22" s="1792"/>
      <c r="T22" s="1792"/>
      <c r="U22" s="1792"/>
      <c r="V22" s="1792"/>
      <c r="W22" s="1792"/>
      <c r="X22" s="1792"/>
      <c r="Y22" s="1218"/>
      <c r="Z22" s="1218"/>
      <c r="AA22" s="1218"/>
      <c r="AB22" s="1218"/>
      <c r="AC22" s="1218"/>
      <c r="AD22" s="1218"/>
    </row>
    <row r="23" spans="1:40" ht="27.75" thickBot="1">
      <c r="A23" s="1357" t="s">
        <v>1356</v>
      </c>
      <c r="B23" s="1217"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0" t="s">
        <v>882</v>
      </c>
      <c r="E23" s="947">
        <v>44197</v>
      </c>
      <c r="F23" s="1220" t="s">
        <v>883</v>
      </c>
      <c r="G23" s="948">
        <f>'数据-取费表'!B2</f>
        <v>45617</v>
      </c>
      <c r="H23" s="1221" t="s">
        <v>2240</v>
      </c>
      <c r="I23" s="2098" t="str">
        <f>IF(H23="季度增幅（自定义）",SUMIF(N25:N28,E2,O25:O28),"")</f>
        <v/>
      </c>
      <c r="J23" s="3289" t="s">
        <v>3351</v>
      </c>
      <c r="K23" s="2734"/>
      <c r="L23" s="2319" t="s">
        <v>2114</v>
      </c>
      <c r="M23" s="2320">
        <f>ROUND(SUMIF(地价!B2:F2,E2,地价!B41:F41),0)</f>
        <v>258</v>
      </c>
      <c r="N23" s="2100" t="s">
        <v>1211</v>
      </c>
      <c r="O23" s="2099">
        <f>ROUNDDOWN(DATEDIF(E23,G23,"M")/3,0)</f>
        <v>15</v>
      </c>
      <c r="P23" s="1790"/>
      <c r="Q23" s="2218"/>
      <c r="R23" s="1792"/>
      <c r="S23" s="1792"/>
      <c r="T23" s="1792"/>
      <c r="U23" s="1792"/>
      <c r="V23" s="1792"/>
      <c r="W23" s="1792"/>
      <c r="X23" s="1792"/>
      <c r="Y23" s="1184"/>
      <c r="Z23" s="1184"/>
      <c r="AA23" s="1184"/>
      <c r="AB23" s="1184"/>
      <c r="AC23" s="1184"/>
      <c r="AE23" s="1185"/>
      <c r="AF23" s="1185"/>
      <c r="AG23" s="1185"/>
      <c r="AH23" s="1185"/>
      <c r="AI23" s="1185"/>
      <c r="AJ23" s="1186"/>
      <c r="AK23" s="1186"/>
      <c r="AL23" s="1186"/>
      <c r="AM23" s="1186"/>
    </row>
    <row r="24" spans="1:40" s="1200" customFormat="1" ht="24.75" thickBot="1">
      <c r="A24" s="2092" t="s">
        <v>1357</v>
      </c>
      <c r="B24" s="2093" t="s">
        <v>896</v>
      </c>
      <c r="C24" s="2094">
        <f>ROUND(POWER(1+G24,J24-I24)*(POWER(1+G24,I24)-1)/(POWER(1+G24,J24)-1),4)</f>
        <v>0.99319999999999997</v>
      </c>
      <c r="D24" s="2095" t="s">
        <v>897</v>
      </c>
      <c r="E24" s="2346">
        <f>存贷款利率!E27/100</f>
        <v>4.3499999999999997E-2</v>
      </c>
      <c r="F24" s="2095" t="s">
        <v>898</v>
      </c>
      <c r="G24" s="2096">
        <f>SUMIF(M30:Q30,E2,M33:Q33)</f>
        <v>5.5E-2</v>
      </c>
      <c r="H24" s="2095" t="s">
        <v>899</v>
      </c>
      <c r="I24" s="2091">
        <f>SUMIF('数据-取费表'!C6:C15,E2,'数据-取费表'!F6:F15)/COUNTIF('数据-取费表'!C6:C15,E2)</f>
        <v>39.07</v>
      </c>
      <c r="J24" s="2097">
        <f>IF(E2="住宅",70,IF(E2="商业",40,50))</f>
        <v>40</v>
      </c>
      <c r="K24" s="1790"/>
      <c r="L24" s="2321" t="s">
        <v>2115</v>
      </c>
      <c r="M24" s="2395">
        <f>ROUND(SUMPRODUCT((地价!A4:A41=YEAR(G23)&amp;"-"&amp;ROUNDUP(MONTH(G23)/3,0))*(地价!B2:F2=E2)*(地价!B4:F41)),0)</f>
        <v>0</v>
      </c>
      <c r="N24" s="2103" t="s">
        <v>1925</v>
      </c>
      <c r="O24" s="2101" t="s">
        <v>1924</v>
      </c>
      <c r="P24" s="2102" t="s">
        <v>1930</v>
      </c>
      <c r="Q24" s="2218"/>
      <c r="R24" s="1792"/>
      <c r="S24" s="1792"/>
      <c r="T24" s="1792"/>
      <c r="U24" s="1792"/>
      <c r="V24" s="1792"/>
      <c r="W24" s="1792"/>
      <c r="X24" s="1792"/>
      <c r="Y24" s="1218"/>
      <c r="Z24" s="1218"/>
      <c r="AA24" s="1218"/>
      <c r="AB24" s="1218"/>
      <c r="AC24" s="1218"/>
      <c r="AD24" s="1218"/>
    </row>
    <row r="25" spans="1:40" ht="14.25">
      <c r="A25" s="1359" t="s">
        <v>1366</v>
      </c>
      <c r="B25" s="1226" t="s">
        <v>3354</v>
      </c>
      <c r="C25" s="1001">
        <f>IF(B25="容积率修正",IF(G3&lt;10,D26,J26),C27)</f>
        <v>0</v>
      </c>
      <c r="D25" s="1227"/>
      <c r="E25" s="1227"/>
      <c r="F25" s="1227"/>
      <c r="G25" s="1227"/>
      <c r="H25" s="1227"/>
      <c r="I25" s="1227"/>
      <c r="J25" s="1228"/>
      <c r="K25" s="2734"/>
      <c r="L25" s="1227"/>
      <c r="M25" s="1227"/>
      <c r="N25" s="1224" t="s">
        <v>900</v>
      </c>
      <c r="O25" s="1284"/>
      <c r="P25" s="2090">
        <f>SUMPRODUCT((地价!A3:A41=YEAR(G23)&amp;"-"&amp;ROUNDUP(MONTH(G23)/3,0))*(地价!AD2:AH2=N25)*(地价!AD3:AH41))</f>
        <v>0</v>
      </c>
      <c r="Q25" s="2218"/>
      <c r="R25" s="1792"/>
      <c r="S25" s="1792"/>
      <c r="T25" s="1792"/>
      <c r="U25" s="1792"/>
      <c r="V25" s="1792"/>
      <c r="W25" s="1792"/>
      <c r="X25" s="1792"/>
      <c r="Y25" s="1184"/>
      <c r="Z25" s="1184"/>
      <c r="AA25" s="1184"/>
      <c r="AB25" s="1184"/>
      <c r="AC25" s="1184"/>
      <c r="AE25" s="1185"/>
      <c r="AF25" s="1185"/>
      <c r="AG25" s="1185"/>
      <c r="AH25" s="1185"/>
      <c r="AI25" s="1186"/>
      <c r="AJ25" s="1186"/>
      <c r="AK25" s="1186"/>
      <c r="AL25" s="1186"/>
      <c r="AM25" s="1186"/>
    </row>
    <row r="26" spans="1:40" ht="14.25">
      <c r="A26" s="1360" t="s">
        <v>1395</v>
      </c>
      <c r="B26" s="1229" t="s">
        <v>901</v>
      </c>
      <c r="C26" s="3290" t="s">
        <v>3203</v>
      </c>
      <c r="D26" s="949">
        <f>IF(E26=G26,F26,IF(G3&lt;10,ROUND(F26+(H26-F26)*(G3-E26)/(G26-E26),4),"——"))</f>
        <v>1</v>
      </c>
      <c r="E26" s="939">
        <f>ROUNDDOWN(G3,1)</f>
        <v>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39">
        <f>ROUNDUP(G3,1)</f>
        <v>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0" t="s">
        <v>3204</v>
      </c>
      <c r="J26" s="949" t="str">
        <f>IF(G3&gt;=10,D116,"——")</f>
        <v>——</v>
      </c>
      <c r="K26" s="2218"/>
      <c r="L26" s="1227"/>
      <c r="M26" s="1227"/>
      <c r="N26" s="1224" t="s">
        <v>902</v>
      </c>
      <c r="O26" s="1284"/>
      <c r="P26" s="2090">
        <f>SUMPRODUCT((地价!A3:A41=YEAR(G23)&amp;"-"&amp;ROUNDUP(MONTH(G23)/3,0))*(地价!AD2:AH2=N26)*(地价!AD3:AH41))</f>
        <v>0</v>
      </c>
      <c r="Q26" s="2218"/>
      <c r="R26" s="1792"/>
      <c r="S26" s="1792"/>
      <c r="T26" s="1792"/>
      <c r="U26" s="1792"/>
      <c r="V26" s="1792"/>
      <c r="W26" s="1792"/>
      <c r="X26" s="1792"/>
      <c r="Y26" s="1218"/>
      <c r="Z26" s="1218"/>
      <c r="AA26" s="1218"/>
      <c r="AB26" s="1218"/>
      <c r="AC26" s="1184"/>
      <c r="AE26" s="1185"/>
      <c r="AF26" s="1185"/>
      <c r="AG26" s="1185"/>
      <c r="AH26" s="1185"/>
      <c r="AI26" s="1186"/>
      <c r="AJ26" s="1186"/>
      <c r="AK26" s="1186"/>
      <c r="AL26" s="1186"/>
      <c r="AM26" s="1186"/>
    </row>
    <row r="27" spans="1:40" ht="15.75" thickBot="1">
      <c r="A27" s="1360" t="s">
        <v>1396</v>
      </c>
      <c r="B27" s="1229" t="s">
        <v>903</v>
      </c>
      <c r="C27" s="950">
        <f>ROUND(IF(I3&lt;6,SUMPRODUCT((B107:B111=I3)*(C106:N106=G2)*(C107:N111)),SUMIF(C106:N106,G2,C113:N113)),4)</f>
        <v>0</v>
      </c>
      <c r="D27" s="1272"/>
      <c r="E27" s="1272"/>
      <c r="F27" s="1273"/>
      <c r="G27" s="1274"/>
      <c r="H27" s="1275"/>
      <c r="I27" s="1276"/>
      <c r="J27" s="1276"/>
      <c r="K27" s="1792"/>
      <c r="L27" s="1182"/>
      <c r="M27" s="1182"/>
      <c r="N27" s="1224" t="s">
        <v>851</v>
      </c>
      <c r="O27" s="1284"/>
      <c r="P27" s="2090">
        <f>SUMPRODUCT((地价!A3:A41=YEAR(G23)&amp;"-"&amp;ROUNDUP(MONTH(G23)/3,0))*(地价!AD2:AH2=N27)*(地价!AD3:AH41))</f>
        <v>0</v>
      </c>
      <c r="Q27" s="2218"/>
      <c r="R27" s="2218"/>
      <c r="S27" s="2218"/>
      <c r="T27" s="2218"/>
      <c r="U27" s="2218"/>
      <c r="V27" s="2218"/>
      <c r="W27" s="1792"/>
      <c r="X27" s="1792"/>
      <c r="Y27" s="1792"/>
      <c r="Z27" s="1792"/>
      <c r="AA27" s="1792"/>
      <c r="AB27" s="1792"/>
      <c r="AC27" s="1792"/>
    </row>
    <row r="28" spans="1:40" ht="15.75" thickBot="1">
      <c r="A28" s="1358" t="s">
        <v>1397</v>
      </c>
      <c r="B28" s="1194" t="s">
        <v>904</v>
      </c>
      <c r="C28" s="951">
        <f>SUMIF(A47:A101,E2,B47:B101)</f>
        <v>1.0047999999999999</v>
      </c>
      <c r="D28" s="1277"/>
      <c r="E28" s="1278"/>
      <c r="F28" s="1278"/>
      <c r="G28" s="1278"/>
      <c r="H28" s="1278"/>
      <c r="I28" s="1278"/>
      <c r="J28" s="1278"/>
      <c r="K28" s="1792"/>
      <c r="L28" s="1227"/>
      <c r="M28" s="1227"/>
      <c r="N28" s="1224" t="s">
        <v>905</v>
      </c>
      <c r="O28" s="2394"/>
      <c r="P28" s="2090">
        <f>SUMPRODUCT((地价!A3:A41=YEAR(G23)&amp;"-"&amp;ROUNDUP(MONTH(G23)/3,0))*(地价!AD2:AH2=N28)*(地价!AD3:AH41))</f>
        <v>0</v>
      </c>
      <c r="Q28" s="2218"/>
      <c r="R28" s="2218"/>
      <c r="S28" s="2218"/>
      <c r="T28" s="2218"/>
      <c r="U28" s="2218"/>
      <c r="V28" s="2218"/>
      <c r="W28" s="1792"/>
      <c r="X28" s="1792"/>
      <c r="Y28" s="1792"/>
      <c r="Z28" s="1792"/>
      <c r="AA28" s="1792"/>
      <c r="AB28" s="1792"/>
      <c r="AC28" s="1792"/>
      <c r="AD28" s="1218"/>
      <c r="AE28" s="1218"/>
      <c r="AF28" s="1218"/>
      <c r="AG28" s="1218"/>
    </row>
    <row r="29" spans="1:40" ht="15" thickBot="1">
      <c r="A29" s="1358" t="s">
        <v>1398</v>
      </c>
      <c r="B29" s="1231" t="s">
        <v>906</v>
      </c>
      <c r="C29" s="1232"/>
      <c r="D29" s="1204"/>
      <c r="E29" s="1204"/>
      <c r="F29" s="1233"/>
      <c r="G29" s="1204"/>
      <c r="H29" s="1204"/>
      <c r="I29" s="1204"/>
      <c r="J29" s="1205"/>
      <c r="K29" s="1786"/>
      <c r="L29" s="1792"/>
      <c r="M29" s="1792"/>
      <c r="N29" s="2396" t="s">
        <v>1928</v>
      </c>
      <c r="O29" s="2397"/>
      <c r="P29" s="1964">
        <f>SUMPRODUCT((地价!A3:A41=YEAR(G23)&amp;"-"&amp;ROUNDUP(MONTH(G23)/3,0))*(地价!AD2:AH2=N29)*(地价!AD3:AH41))</f>
        <v>0</v>
      </c>
      <c r="Q29" s="2218"/>
      <c r="R29" s="1792"/>
      <c r="S29" s="1792"/>
      <c r="T29" s="1792"/>
      <c r="U29" s="1792"/>
      <c r="V29" s="1792"/>
      <c r="W29" s="2218"/>
      <c r="X29" s="2218"/>
      <c r="Y29" s="2218"/>
      <c r="Z29" s="2218"/>
      <c r="AA29" s="2218"/>
      <c r="AB29" s="1792"/>
      <c r="AC29" s="1792"/>
      <c r="AD29" s="1792"/>
      <c r="AE29" s="1792"/>
      <c r="AF29" s="1792"/>
      <c r="AG29" s="1792"/>
      <c r="AH29" s="1792"/>
      <c r="AJ29" s="1184"/>
      <c r="AK29" s="1184"/>
      <c r="AL29" s="1184"/>
      <c r="AM29" s="1183"/>
      <c r="AN29" s="1183"/>
    </row>
    <row r="30" spans="1:40" ht="13.5">
      <c r="A30" s="1234"/>
      <c r="B30" s="1229" t="s">
        <v>910</v>
      </c>
      <c r="C30" s="2549">
        <f>IF(B25="容积率修正",E33+SUM(E37:E42),SUM(V2:V16)+SUM(E37:E42))</f>
        <v>1485</v>
      </c>
      <c r="D30" s="1235"/>
      <c r="E30" s="1182"/>
      <c r="F30" s="1236"/>
      <c r="G30" s="1182"/>
      <c r="H30" s="1182"/>
      <c r="I30" s="1182"/>
      <c r="J30" s="1237"/>
      <c r="K30" s="1786"/>
      <c r="L30" s="1323" t="s">
        <v>833</v>
      </c>
      <c r="M30" s="1203" t="s">
        <v>900</v>
      </c>
      <c r="N30" s="1203" t="s">
        <v>902</v>
      </c>
      <c r="O30" s="1203" t="s">
        <v>835</v>
      </c>
      <c r="P30" s="1222" t="s">
        <v>909</v>
      </c>
      <c r="Q30" s="1222" t="s">
        <v>3230</v>
      </c>
      <c r="R30" s="1786"/>
      <c r="S30" s="1786"/>
      <c r="T30" s="1786"/>
      <c r="U30" s="1786"/>
      <c r="V30" s="1786"/>
      <c r="W30" s="1787"/>
      <c r="X30" s="1787"/>
      <c r="Y30" s="1787"/>
      <c r="Z30" s="1787"/>
      <c r="AA30" s="1787"/>
      <c r="AB30" s="1786"/>
      <c r="AC30" s="1786"/>
      <c r="AD30" s="1786"/>
      <c r="AE30" s="1786"/>
      <c r="AF30" s="1786"/>
      <c r="AG30" s="1786"/>
      <c r="AH30" s="1786"/>
      <c r="AI30" s="1218"/>
      <c r="AJ30" s="1218"/>
      <c r="AK30" s="1218"/>
      <c r="AL30" s="1218"/>
      <c r="AM30" s="1183"/>
      <c r="AN30" s="1183"/>
    </row>
    <row r="31" spans="1:40" ht="14.25" thickBot="1">
      <c r="A31" s="1234"/>
      <c r="B31" s="1238" t="s">
        <v>912</v>
      </c>
      <c r="C31" s="953" t="e">
        <f>E34+SUM(I37:I42)</f>
        <v>#REF!</v>
      </c>
      <c r="D31" s="1239"/>
      <c r="E31" s="1240"/>
      <c r="F31" s="1241"/>
      <c r="G31" s="1240"/>
      <c r="H31" s="1240"/>
      <c r="I31" s="1240"/>
      <c r="J31" s="1242"/>
      <c r="K31" s="1786"/>
      <c r="L31" s="1215" t="s">
        <v>911</v>
      </c>
      <c r="M31" s="942">
        <v>0.25</v>
      </c>
      <c r="N31" s="942">
        <v>0.2</v>
      </c>
      <c r="O31" s="942">
        <v>0.15</v>
      </c>
      <c r="P31" s="1281">
        <v>0.1</v>
      </c>
      <c r="Q31" s="1281">
        <v>0.15</v>
      </c>
      <c r="R31" s="1786"/>
      <c r="S31" s="1786"/>
      <c r="T31" s="1786"/>
      <c r="U31" s="1786"/>
      <c r="V31" s="1786"/>
      <c r="W31" s="1787"/>
      <c r="X31" s="1787"/>
      <c r="Y31" s="1787"/>
      <c r="Z31" s="1787"/>
      <c r="AA31" s="1787"/>
      <c r="AB31" s="1786"/>
      <c r="AC31" s="1786"/>
      <c r="AD31" s="1786"/>
      <c r="AE31" s="1786"/>
      <c r="AF31" s="1786"/>
      <c r="AG31" s="1786"/>
      <c r="AH31" s="1786"/>
      <c r="AJ31" s="1184"/>
      <c r="AK31" s="1184"/>
      <c r="AL31" s="1184"/>
      <c r="AM31" s="1183"/>
      <c r="AN31" s="1183"/>
    </row>
    <row r="32" spans="1:40" ht="14.25" thickBot="1">
      <c r="A32" s="1230"/>
      <c r="B32" s="1243" t="s">
        <v>913</v>
      </c>
      <c r="C32" s="1244" t="s">
        <v>914</v>
      </c>
      <c r="D32" s="1244" t="s">
        <v>915</v>
      </c>
      <c r="E32" s="1245" t="s">
        <v>916</v>
      </c>
      <c r="F32" s="1246"/>
      <c r="G32" s="1209"/>
      <c r="H32" s="1209"/>
      <c r="I32" s="1209"/>
      <c r="J32" s="1210"/>
      <c r="K32" s="1786"/>
      <c r="L32" s="1216" t="s">
        <v>898</v>
      </c>
      <c r="M32" s="1282">
        <f>ROUND($E$24*(1+M31),3)</f>
        <v>5.3999999999999999E-2</v>
      </c>
      <c r="N32" s="1282">
        <f>ROUND($E$24*(1+N31),3)</f>
        <v>5.1999999999999998E-2</v>
      </c>
      <c r="O32" s="1282">
        <f>ROUND($E$24*(1+O31),3)</f>
        <v>0.05</v>
      </c>
      <c r="P32" s="1283">
        <f>ROUND($E$24*(1+P31),3)</f>
        <v>4.8000000000000001E-2</v>
      </c>
      <c r="Q32" s="1283">
        <f>ROUND($E$24*(1+Q31),3)</f>
        <v>0.05</v>
      </c>
      <c r="R32" s="1786"/>
      <c r="S32" s="1786"/>
      <c r="T32" s="1786"/>
      <c r="U32" s="1786"/>
      <c r="V32" s="1786"/>
      <c r="W32" s="1787"/>
      <c r="X32" s="1787"/>
      <c r="Y32" s="1787"/>
      <c r="Z32" s="1787"/>
      <c r="AA32" s="1787"/>
      <c r="AB32" s="1786"/>
      <c r="AC32" s="1786"/>
      <c r="AD32" s="1786"/>
      <c r="AE32" s="1786"/>
      <c r="AF32" s="1786"/>
      <c r="AG32" s="1786"/>
      <c r="AH32" s="1786"/>
      <c r="AI32" s="1183"/>
      <c r="AJ32" s="1183"/>
      <c r="AK32" s="1183"/>
      <c r="AL32" s="1183"/>
      <c r="AM32" s="1183"/>
      <c r="AN32" s="1183"/>
    </row>
    <row r="33" spans="1:44" ht="12.75">
      <c r="A33" s="1247"/>
      <c r="B33" s="1248" t="s">
        <v>917</v>
      </c>
      <c r="C33" s="952">
        <f>ROUND(C5*C22*C23*C24*C25*C28,0)</f>
        <v>0</v>
      </c>
      <c r="D33" s="1249">
        <f>'数据-汇总表'!E21</f>
        <v>2172.2399999999998</v>
      </c>
      <c r="E33" s="1535">
        <f>ROUND(C33*D33/10000,0)</f>
        <v>0</v>
      </c>
      <c r="F33" s="3291" t="s">
        <v>3205</v>
      </c>
      <c r="G33" s="1250"/>
      <c r="H33" s="1250"/>
      <c r="I33" s="1250"/>
      <c r="J33" s="1251"/>
      <c r="K33" s="2738"/>
      <c r="L33" s="3359" t="s">
        <v>3231</v>
      </c>
      <c r="M33" s="3360">
        <v>5.5E-2</v>
      </c>
      <c r="N33" s="3360">
        <v>5.5E-2</v>
      </c>
      <c r="O33" s="3360">
        <v>0.05</v>
      </c>
      <c r="P33" s="3360">
        <v>0.05</v>
      </c>
      <c r="Q33" s="3360">
        <v>0.05</v>
      </c>
      <c r="R33" s="1786"/>
      <c r="S33" s="1786"/>
      <c r="T33" s="1786"/>
      <c r="U33" s="1786"/>
      <c r="V33" s="1786"/>
      <c r="W33" s="1787"/>
      <c r="X33" s="1787"/>
      <c r="Y33" s="1787"/>
      <c r="Z33" s="1787"/>
      <c r="AA33" s="1787"/>
      <c r="AB33" s="1786"/>
      <c r="AC33" s="1786"/>
      <c r="AD33" s="1786"/>
      <c r="AE33" s="1786"/>
      <c r="AF33" s="1786"/>
      <c r="AG33" s="1786"/>
      <c r="AH33" s="1787"/>
      <c r="AJ33" s="1184"/>
      <c r="AK33" s="1184"/>
      <c r="AL33" s="1184"/>
      <c r="AM33" s="1184"/>
      <c r="AN33" s="1184"/>
      <c r="AO33" s="1185"/>
      <c r="AP33" s="1185"/>
      <c r="AQ33" s="1185"/>
      <c r="AR33" s="1185"/>
    </row>
    <row r="34" spans="1:44" ht="24.75" thickBot="1">
      <c r="A34" s="1252"/>
      <c r="B34" s="1253" t="s">
        <v>918</v>
      </c>
      <c r="C34" s="944" t="e">
        <f>ROUND(IF(E2="工业",C33*M42,IF(B25="楼层修正",SUM(V2:V16)*M41*10000/D34,C33*M41)),0)</f>
        <v>#DIV/0!</v>
      </c>
      <c r="D34" s="1254"/>
      <c r="E34" s="1535" t="e">
        <f>ROUND(IF(B25="楼层修正",SUM(V2:V16)*#REF!,C34*D34/10000),0)</f>
        <v>#REF!</v>
      </c>
      <c r="F34" s="3292" t="s">
        <v>3206</v>
      </c>
      <c r="G34" s="1255"/>
      <c r="H34" s="1255"/>
      <c r="I34" s="1255"/>
      <c r="J34" s="1256"/>
      <c r="K34" s="1786"/>
      <c r="L34" s="3359" t="s">
        <v>3232</v>
      </c>
      <c r="M34" s="3360">
        <v>6.5000000000000002E-2</v>
      </c>
      <c r="N34" s="3360">
        <v>6.5000000000000002E-2</v>
      </c>
      <c r="O34" s="3360">
        <v>0.06</v>
      </c>
      <c r="P34" s="3360">
        <v>0.06</v>
      </c>
      <c r="Q34" s="3360">
        <v>0.06</v>
      </c>
      <c r="R34" s="1786"/>
      <c r="S34" s="1786"/>
      <c r="T34" s="1786"/>
      <c r="U34" s="1786"/>
      <c r="V34" s="1786"/>
      <c r="W34" s="1787"/>
      <c r="X34" s="1787"/>
      <c r="Y34" s="1787"/>
      <c r="Z34" s="1787"/>
      <c r="AA34" s="1787"/>
      <c r="AB34" s="1786"/>
      <c r="AC34" s="1786"/>
      <c r="AD34" s="1786"/>
      <c r="AE34" s="1786"/>
      <c r="AF34" s="1786"/>
      <c r="AG34" s="1786"/>
      <c r="AH34" s="1787"/>
      <c r="AJ34" s="1184"/>
      <c r="AK34" s="1184"/>
      <c r="AL34" s="1184"/>
      <c r="AM34" s="1184"/>
      <c r="AN34" s="1184"/>
      <c r="AO34" s="1185"/>
      <c r="AP34" s="1185"/>
      <c r="AQ34" s="1185"/>
      <c r="AR34" s="1185"/>
    </row>
    <row r="35" spans="1:44">
      <c r="A35" s="1257"/>
      <c r="B35" s="1258" t="s">
        <v>920</v>
      </c>
      <c r="C35" s="1259" t="s">
        <v>921</v>
      </c>
      <c r="D35" s="1209"/>
      <c r="E35" s="1259"/>
      <c r="F35" s="1259"/>
      <c r="G35" s="1208" t="s">
        <v>919</v>
      </c>
      <c r="H35" s="1209"/>
      <c r="I35" s="1260"/>
      <c r="J35" s="1210"/>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4"/>
      <c r="AK35" s="1184"/>
      <c r="AL35" s="1184"/>
      <c r="AM35" s="1184"/>
      <c r="AN35" s="1184"/>
      <c r="AO35" s="1185"/>
      <c r="AP35" s="1185"/>
      <c r="AQ35" s="1185"/>
      <c r="AR35" s="1185"/>
    </row>
    <row r="36" spans="1:44" ht="24.75" thickBot="1">
      <c r="A36" s="1247"/>
      <c r="B36" s="1261"/>
      <c r="C36" s="1262" t="s">
        <v>914</v>
      </c>
      <c r="D36" s="1263" t="s">
        <v>915</v>
      </c>
      <c r="E36" s="1263" t="s">
        <v>916</v>
      </c>
      <c r="F36" s="1264" t="s">
        <v>922</v>
      </c>
      <c r="G36" s="1225" t="s">
        <v>914</v>
      </c>
      <c r="H36" s="1225" t="s">
        <v>915</v>
      </c>
      <c r="I36" s="1225" t="s">
        <v>916</v>
      </c>
      <c r="J36" s="1265"/>
      <c r="K36" s="3361" t="s">
        <v>3233</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4"/>
      <c r="AK36" s="1184"/>
      <c r="AL36" s="1184"/>
      <c r="AM36" s="1184"/>
      <c r="AN36" s="1184"/>
      <c r="AO36" s="1185"/>
      <c r="AP36" s="1185"/>
      <c r="AQ36" s="1185"/>
      <c r="AR36" s="1185"/>
    </row>
    <row r="37" spans="1:44" ht="13.5" thickBot="1">
      <c r="A37" s="3734"/>
      <c r="B37" s="1267" t="s">
        <v>923</v>
      </c>
      <c r="C37" s="952">
        <f>ROUND(D5*C22*C23*C24*C28*F37,0)</f>
        <v>2504</v>
      </c>
      <c r="D37" s="1279"/>
      <c r="E37" s="943">
        <f>ROUND(C37*D37/10000,0)</f>
        <v>0</v>
      </c>
      <c r="F37" s="943">
        <f>SUMIF(修正!A57:A68,G2,修正!B57:B68)</f>
        <v>0.5</v>
      </c>
      <c r="G37" s="943">
        <f>ROUND(IF(E2="工业",C37*$M$42,C37*$M$41),0)</f>
        <v>626</v>
      </c>
      <c r="H37" s="943">
        <f>D37</f>
        <v>0</v>
      </c>
      <c r="I37" s="943">
        <f>ROUND(G37*H37/10000,0)</f>
        <v>0</v>
      </c>
      <c r="J37" s="3734"/>
      <c r="K37" s="3362" t="s">
        <v>3234</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7"/>
      <c r="S37" s="1787"/>
      <c r="T37" s="1787"/>
      <c r="U37" s="1787"/>
      <c r="V37" s="1787"/>
      <c r="W37" s="1786"/>
      <c r="X37" s="1786"/>
      <c r="Y37" s="1786"/>
      <c r="Z37" s="1786"/>
      <c r="AA37" s="1786"/>
      <c r="AB37" s="1786"/>
      <c r="AC37" s="1787"/>
    </row>
    <row r="38" spans="1:44" ht="12.75">
      <c r="A38" s="3735"/>
      <c r="B38" s="1212" t="s">
        <v>924</v>
      </c>
      <c r="C38" s="952">
        <f>ROUND(D5*C22*C23*C24*C28*F38,0)</f>
        <v>1002</v>
      </c>
      <c r="D38" s="1279"/>
      <c r="E38" s="943">
        <f t="shared" ref="E38:E42" si="4">ROUND(C38*D38/10000,0)</f>
        <v>0</v>
      </c>
      <c r="F38" s="943">
        <f>SUMIF(修正!A57:A68,G2,修正!C57:C68)</f>
        <v>0.2</v>
      </c>
      <c r="G38" s="943">
        <f>ROUND(IF(E2="工业",C38*$M$42,C38*$M$41),0)</f>
        <v>251</v>
      </c>
      <c r="H38" s="943">
        <f t="shared" ref="H38:H42" si="5">D38</f>
        <v>0</v>
      </c>
      <c r="I38" s="943">
        <f t="shared" ref="I38:I42" si="6">ROUND(G38*H38/10000,0)</f>
        <v>0</v>
      </c>
      <c r="J38" s="3735"/>
      <c r="K38" s="3361">
        <v>5.0000000000000001E-3</v>
      </c>
      <c r="L38" s="3361"/>
      <c r="M38" s="3361"/>
      <c r="N38" s="3361"/>
      <c r="O38" s="3361"/>
      <c r="P38" s="3361"/>
      <c r="Q38" s="3361"/>
      <c r="R38" s="1787"/>
      <c r="S38" s="1787"/>
      <c r="T38" s="1787"/>
      <c r="U38" s="1787"/>
      <c r="V38" s="1787"/>
      <c r="W38" s="1786"/>
      <c r="X38" s="1786"/>
      <c r="Y38" s="1786"/>
      <c r="Z38" s="1786"/>
      <c r="AA38" s="1786"/>
      <c r="AB38" s="1786"/>
      <c r="AC38" s="1787"/>
    </row>
    <row r="39" spans="1:44" ht="13.5" thickBot="1">
      <c r="A39" s="3735"/>
      <c r="B39" s="3293" t="s">
        <v>3207</v>
      </c>
      <c r="C39" s="952">
        <f>ROUND(D5*C22*C23*C24*C28*F39,0)</f>
        <v>1002</v>
      </c>
      <c r="D39" s="1279"/>
      <c r="E39" s="943">
        <f t="shared" si="4"/>
        <v>0</v>
      </c>
      <c r="F39" s="943">
        <f>SUMIF(修正!A57:A68,G2,修正!D57:D68)</f>
        <v>0.2</v>
      </c>
      <c r="G39" s="943">
        <f>ROUND(IF(E2="工业",C39*$M$42,C39*$M$41),0)</f>
        <v>251</v>
      </c>
      <c r="H39" s="943">
        <f t="shared" si="5"/>
        <v>0</v>
      </c>
      <c r="I39" s="943">
        <f t="shared" si="6"/>
        <v>0</v>
      </c>
      <c r="J39" s="3735"/>
      <c r="K39" s="1787"/>
      <c r="L39" s="1787"/>
      <c r="M39" s="1787"/>
      <c r="N39" s="1787"/>
      <c r="O39" s="1787"/>
      <c r="P39" s="1786"/>
      <c r="Q39" s="1786"/>
      <c r="R39" s="1787"/>
      <c r="S39" s="1787"/>
      <c r="T39" s="1787"/>
      <c r="U39" s="1787"/>
      <c r="V39" s="1787"/>
      <c r="W39" s="1786"/>
      <c r="X39" s="1786"/>
      <c r="Y39" s="1786"/>
      <c r="Z39" s="1786"/>
      <c r="AA39" s="1786"/>
      <c r="AB39" s="1786"/>
      <c r="AC39" s="1787"/>
    </row>
    <row r="40" spans="1:44" s="1183" customFormat="1" ht="12.75">
      <c r="A40" s="1266"/>
      <c r="B40" s="1212" t="s">
        <v>925</v>
      </c>
      <c r="C40" s="943">
        <f>ROUND(D5*C22*C23*C24*C28*F40,0)</f>
        <v>1002</v>
      </c>
      <c r="D40" s="1279"/>
      <c r="E40" s="943">
        <f t="shared" si="4"/>
        <v>0</v>
      </c>
      <c r="F40" s="952">
        <f>SUMIF(修正!A57:A68,G2,修正!E57:E68)</f>
        <v>0.2</v>
      </c>
      <c r="G40" s="943">
        <f>ROUND(IF(E2="工业",C40*$M$42,C40*$M$41),0)</f>
        <v>251</v>
      </c>
      <c r="H40" s="943">
        <f t="shared" si="5"/>
        <v>0</v>
      </c>
      <c r="I40" s="943">
        <f t="shared" si="6"/>
        <v>0</v>
      </c>
      <c r="J40" s="1268"/>
      <c r="K40" s="1786"/>
      <c r="L40" s="1285" t="s">
        <v>1233</v>
      </c>
      <c r="M40" s="1286"/>
      <c r="N40" s="1786"/>
      <c r="O40" s="1786"/>
      <c r="P40" s="1786"/>
      <c r="Q40" s="1786"/>
      <c r="R40" s="1794"/>
      <c r="S40" s="1794"/>
      <c r="T40" s="1794"/>
      <c r="U40" s="1794"/>
      <c r="V40" s="1794"/>
      <c r="W40" s="1793"/>
      <c r="X40" s="1793"/>
      <c r="Y40" s="1793"/>
      <c r="Z40" s="1793"/>
      <c r="AA40" s="1793"/>
      <c r="AB40" s="1793"/>
      <c r="AC40" s="1794"/>
      <c r="AD40" s="1184"/>
      <c r="AE40" s="1184"/>
      <c r="AF40" s="1184"/>
      <c r="AG40" s="1184"/>
      <c r="AH40" s="1184"/>
      <c r="AI40" s="1184"/>
      <c r="AJ40" s="1184"/>
      <c r="AK40" s="1184"/>
      <c r="AL40" s="1184"/>
      <c r="AM40" s="1184"/>
    </row>
    <row r="41" spans="1:44" s="1183" customFormat="1" ht="12.75">
      <c r="A41" s="1266"/>
      <c r="B41" s="1212" t="s">
        <v>926</v>
      </c>
      <c r="C41" s="943">
        <f>ROUND(D5*C22*C23*C44*C28*F41,0)</f>
        <v>1005</v>
      </c>
      <c r="D41" s="1279"/>
      <c r="E41" s="943">
        <f t="shared" si="4"/>
        <v>0</v>
      </c>
      <c r="F41" s="952">
        <f>SUMIF(修正!A57:A68,G2,修正!F57:F68)</f>
        <v>0.2</v>
      </c>
      <c r="G41" s="943">
        <f>ROUND(IF(E2="工业",C41*$M$42,C41*$M$41),0)</f>
        <v>251</v>
      </c>
      <c r="H41" s="943">
        <f t="shared" si="5"/>
        <v>0</v>
      </c>
      <c r="I41" s="943">
        <f t="shared" si="6"/>
        <v>0</v>
      </c>
      <c r="J41" s="1268"/>
      <c r="K41" s="1786"/>
      <c r="L41" s="3365" t="s">
        <v>3235</v>
      </c>
      <c r="M41" s="1287">
        <v>0.25</v>
      </c>
      <c r="N41" s="1786"/>
      <c r="O41" s="1786"/>
      <c r="P41" s="1786"/>
      <c r="Q41" s="1786"/>
      <c r="R41" s="1794"/>
      <c r="S41" s="1794"/>
      <c r="T41" s="1794"/>
      <c r="U41" s="1794"/>
      <c r="V41" s="1794"/>
      <c r="W41" s="1793"/>
      <c r="X41" s="1793"/>
      <c r="Y41" s="1793"/>
      <c r="Z41" s="1793"/>
      <c r="AA41" s="1793"/>
      <c r="AB41" s="1793"/>
      <c r="AC41" s="1794"/>
      <c r="AD41" s="1184"/>
      <c r="AE41" s="1184"/>
      <c r="AF41" s="1184"/>
      <c r="AG41" s="1184"/>
      <c r="AH41" s="1184"/>
      <c r="AI41" s="1184"/>
      <c r="AJ41" s="1184"/>
      <c r="AK41" s="1184"/>
      <c r="AL41" s="1184"/>
      <c r="AM41" s="1184"/>
    </row>
    <row r="42" spans="1:44" s="1183" customFormat="1" ht="13.5" thickBot="1">
      <c r="A42" s="1252"/>
      <c r="B42" s="1269" t="s">
        <v>927</v>
      </c>
      <c r="C42" s="944">
        <f>ROUND(D5*C22*C23*C44*C28*F42,0)</f>
        <v>502</v>
      </c>
      <c r="D42" s="1279"/>
      <c r="E42" s="944">
        <f t="shared" si="4"/>
        <v>0</v>
      </c>
      <c r="F42" s="954">
        <f>SUMIF(修正!A57:A68,G2,修正!G57:G68)</f>
        <v>0.1</v>
      </c>
      <c r="G42" s="944">
        <f>ROUND(IF(E2="工业",C42*$M$42,C42*$M$41),0)</f>
        <v>126</v>
      </c>
      <c r="H42" s="944">
        <f t="shared" si="5"/>
        <v>0</v>
      </c>
      <c r="I42" s="944">
        <f t="shared" si="6"/>
        <v>0</v>
      </c>
      <c r="J42" s="1270"/>
      <c r="K42" s="1786"/>
      <c r="L42" s="1288" t="s">
        <v>1234</v>
      </c>
      <c r="M42" s="1289">
        <v>0.15</v>
      </c>
      <c r="N42" s="1786"/>
      <c r="O42" s="1786"/>
      <c r="P42" s="1786"/>
      <c r="Q42" s="1786"/>
      <c r="R42" s="1794"/>
      <c r="S42" s="1794"/>
      <c r="T42" s="1794"/>
      <c r="U42" s="1794"/>
      <c r="V42" s="1794"/>
      <c r="W42" s="1793"/>
      <c r="X42" s="1793"/>
      <c r="Y42" s="1793"/>
      <c r="Z42" s="1793"/>
      <c r="AA42" s="1793"/>
      <c r="AB42" s="1793"/>
      <c r="AC42" s="1794"/>
      <c r="AD42" s="1184"/>
      <c r="AE42" s="1184"/>
      <c r="AF42" s="1184"/>
      <c r="AG42" s="1184"/>
      <c r="AH42" s="1184"/>
      <c r="AI42" s="1184"/>
      <c r="AJ42" s="1184"/>
      <c r="AK42" s="1184"/>
      <c r="AL42" s="1184"/>
      <c r="AM42" s="1184"/>
    </row>
    <row r="43" spans="1:44" s="1183"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4"/>
      <c r="AE43" s="1184"/>
      <c r="AF43" s="1184"/>
      <c r="AG43" s="1184"/>
      <c r="AH43" s="1184"/>
      <c r="AI43" s="1184"/>
      <c r="AJ43" s="1184"/>
      <c r="AK43" s="1184"/>
      <c r="AL43" s="1184"/>
      <c r="AM43" s="1184"/>
    </row>
    <row r="44" spans="1:44" s="1183" customFormat="1" ht="12.75">
      <c r="A44" s="1184"/>
      <c r="B44" s="2392" t="s">
        <v>2236</v>
      </c>
      <c r="C44" s="771">
        <f>ROUND(POWER(1+E44,H44-G44)*(POWER(1+E44,G44)-1)/(POWER(1+E44,H44)-1),4)</f>
        <v>0.99629999999999996</v>
      </c>
      <c r="D44" s="346" t="s">
        <v>2234</v>
      </c>
      <c r="E44" s="2391">
        <f>G24</f>
        <v>5.5E-2</v>
      </c>
      <c r="F44" s="346" t="s">
        <v>2235</v>
      </c>
      <c r="G44" s="364">
        <f>项目基本情况!F19</f>
        <v>49.08</v>
      </c>
      <c r="H44" s="346">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4"/>
      <c r="AE44" s="1184"/>
      <c r="AF44" s="1184"/>
      <c r="AG44" s="1184"/>
      <c r="AH44" s="1184"/>
      <c r="AI44" s="1184"/>
      <c r="AJ44" s="1184"/>
      <c r="AK44" s="1184"/>
      <c r="AL44" s="1184"/>
      <c r="AM44" s="1184"/>
    </row>
    <row r="45" spans="1:44" s="1183" customFormat="1">
      <c r="A45" s="1184"/>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4"/>
      <c r="AF45" s="1184"/>
      <c r="AG45" s="1184"/>
      <c r="AH45" s="1184"/>
      <c r="AI45" s="1184"/>
      <c r="AJ45" s="1184"/>
      <c r="AK45" s="1184"/>
      <c r="AL45" s="1184"/>
      <c r="AM45" s="1184"/>
      <c r="AN45" s="1184"/>
    </row>
    <row r="46" spans="1:44" s="1183" customFormat="1">
      <c r="A46" s="1184"/>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4"/>
      <c r="AF46" s="1184"/>
      <c r="AG46" s="1184"/>
      <c r="AH46" s="1184"/>
      <c r="AI46" s="1184"/>
      <c r="AJ46" s="1184"/>
      <c r="AK46" s="1184"/>
      <c r="AL46" s="1184"/>
      <c r="AM46" s="1184"/>
      <c r="AN46" s="1184"/>
    </row>
    <row r="47" spans="1:44" s="3306" customFormat="1" ht="15" thickBot="1">
      <c r="A47" s="3302" t="s">
        <v>928</v>
      </c>
      <c r="B47" s="3303"/>
      <c r="C47" s="3304"/>
      <c r="D47" s="3305"/>
      <c r="E47" s="3305"/>
      <c r="F47" s="3305"/>
      <c r="G47" s="3161"/>
      <c r="H47" s="3305"/>
      <c r="I47" s="3161"/>
      <c r="J47" s="3161"/>
      <c r="K47" s="3161"/>
      <c r="L47" s="3161"/>
      <c r="M47" s="3161"/>
      <c r="O47" s="1795"/>
      <c r="P47" s="1795"/>
      <c r="Q47" s="1795"/>
      <c r="R47" s="1795"/>
      <c r="S47" s="1795"/>
      <c r="T47" s="1795"/>
      <c r="U47" s="1795"/>
      <c r="V47" s="1795"/>
      <c r="W47" s="1795"/>
      <c r="X47" s="1795"/>
      <c r="Y47" s="1795"/>
      <c r="Z47" s="1795"/>
      <c r="AA47" s="1795"/>
      <c r="AB47" s="1795"/>
      <c r="AC47" s="1795"/>
      <c r="AD47" s="1795"/>
    </row>
    <row r="48" spans="1:44" s="3306" customFormat="1" ht="15">
      <c r="A48" s="3307" t="s">
        <v>900</v>
      </c>
      <c r="B48" s="3369">
        <f>1+E50</f>
        <v>1.0047999999999999</v>
      </c>
      <c r="C48" s="3308"/>
      <c r="D48" s="3309"/>
      <c r="E48" s="3310"/>
      <c r="F48" s="3302"/>
      <c r="G48" s="3305"/>
      <c r="H48" s="3305"/>
      <c r="I48" s="3161"/>
      <c r="J48" s="3161"/>
      <c r="K48" s="3161"/>
      <c r="L48" s="3161"/>
      <c r="M48" s="3161"/>
      <c r="O48" s="1795"/>
      <c r="P48" s="1795"/>
      <c r="Q48" s="1795"/>
      <c r="R48" s="1795"/>
      <c r="S48" s="1795"/>
      <c r="T48" s="1795"/>
      <c r="U48" s="1795"/>
      <c r="V48" s="1795"/>
      <c r="W48" s="1795"/>
      <c r="X48" s="1795"/>
      <c r="Y48" s="1795"/>
      <c r="Z48" s="1795"/>
      <c r="AA48" s="1795"/>
      <c r="AB48" s="1795"/>
      <c r="AC48" s="1795"/>
      <c r="AD48" s="1795"/>
    </row>
    <row r="49" spans="1:30" s="3306" customFormat="1" ht="24">
      <c r="A49" s="3311" t="s">
        <v>930</v>
      </c>
      <c r="B49" s="3312" t="s">
        <v>931</v>
      </c>
      <c r="C49" s="3313" t="s">
        <v>932</v>
      </c>
      <c r="D49" s="3314" t="s">
        <v>933</v>
      </c>
      <c r="E49" s="3315" t="s">
        <v>935</v>
      </c>
      <c r="F49" s="3189" t="s">
        <v>1607</v>
      </c>
      <c r="G49" s="3314" t="s">
        <v>936</v>
      </c>
      <c r="H49" s="3316" t="s">
        <v>1770</v>
      </c>
      <c r="I49" s="3314" t="s">
        <v>934</v>
      </c>
      <c r="J49" s="3317" t="s">
        <v>937</v>
      </c>
      <c r="K49" s="3317" t="s">
        <v>938</v>
      </c>
      <c r="L49" s="3317" t="s">
        <v>939</v>
      </c>
      <c r="M49" s="3317" t="s">
        <v>940</v>
      </c>
      <c r="N49" s="3317" t="s">
        <v>941</v>
      </c>
      <c r="P49" s="1795"/>
      <c r="Q49" s="1795"/>
      <c r="R49" s="1795"/>
      <c r="S49" s="1795"/>
      <c r="T49" s="1795"/>
      <c r="U49" s="1795"/>
      <c r="V49" s="1795"/>
      <c r="W49" s="1795"/>
      <c r="X49" s="1795"/>
      <c r="Y49" s="1795"/>
      <c r="Z49" s="1795"/>
      <c r="AA49" s="1795"/>
      <c r="AB49" s="1795"/>
      <c r="AC49" s="1795"/>
      <c r="AD49" s="1795"/>
    </row>
    <row r="50" spans="1:30" s="3306" customFormat="1" ht="24">
      <c r="A50" s="3311" t="s">
        <v>942</v>
      </c>
      <c r="B50" s="3318">
        <f>估价对象房地状况!C16</f>
        <v>0</v>
      </c>
      <c r="C50" s="3319" t="s">
        <v>3343</v>
      </c>
      <c r="D50" s="3320">
        <f t="shared" ref="D50:D58" si="7">SUMIF($J$49:$N$49,C50,J50:N50)</f>
        <v>-1.89E-2</v>
      </c>
      <c r="E50" s="3321">
        <f>ROUND(SUM(D50:D58),4)</f>
        <v>4.7999999999999996E-3</v>
      </c>
      <c r="F50" s="3322">
        <f>IF(E2="商业",SUMIF(L1:L12,G2,N1:N12),"——")</f>
        <v>0.126</v>
      </c>
      <c r="G50" s="3323">
        <v>1.89E-2</v>
      </c>
      <c r="H50" s="3324">
        <f t="shared" ref="H50:H58" si="8">IFERROR(ROUNDDOWN(($F$50*I50/2),4),"——")</f>
        <v>1.89E-2</v>
      </c>
      <c r="I50" s="3299">
        <v>0.3</v>
      </c>
      <c r="J50" s="3325">
        <f t="shared" ref="J50:J58" si="9">K50+$G50</f>
        <v>3.78E-2</v>
      </c>
      <c r="K50" s="3325">
        <f t="shared" ref="K50:K58" si="10">$L50+$G50</f>
        <v>1.89E-2</v>
      </c>
      <c r="L50" s="3325">
        <v>0</v>
      </c>
      <c r="M50" s="3325">
        <f t="shared" ref="M50:N58" si="11">L50-$G50</f>
        <v>-1.89E-2</v>
      </c>
      <c r="N50" s="3325">
        <f t="shared" si="11"/>
        <v>-3.78E-2</v>
      </c>
      <c r="P50" s="1795"/>
      <c r="Q50" s="1795"/>
      <c r="R50" s="1795"/>
      <c r="S50" s="1795"/>
      <c r="T50" s="1795"/>
      <c r="U50" s="1795"/>
      <c r="V50" s="1795"/>
      <c r="W50" s="1795"/>
      <c r="X50" s="1795"/>
      <c r="Y50" s="1795"/>
      <c r="Z50" s="1795"/>
      <c r="AA50" s="1795"/>
      <c r="AB50" s="1795"/>
      <c r="AC50" s="1795"/>
      <c r="AD50" s="1795"/>
    </row>
    <row r="51" spans="1:30" s="3306" customFormat="1" ht="14.25">
      <c r="A51" s="3311" t="s">
        <v>943</v>
      </c>
      <c r="B51" s="3312">
        <f>估价对象房地状况!C18</f>
        <v>0</v>
      </c>
      <c r="C51" s="3319" t="s">
        <v>3342</v>
      </c>
      <c r="D51" s="3320">
        <f t="shared" si="7"/>
        <v>0</v>
      </c>
      <c r="E51" s="3326"/>
      <c r="F51" s="3322"/>
      <c r="G51" s="3323">
        <v>1.38E-2</v>
      </c>
      <c r="H51" s="3324">
        <f t="shared" si="8"/>
        <v>1.38E-2</v>
      </c>
      <c r="I51" s="3299">
        <v>0.22</v>
      </c>
      <c r="J51" s="3325">
        <f t="shared" si="9"/>
        <v>2.76E-2</v>
      </c>
      <c r="K51" s="3325">
        <f t="shared" si="10"/>
        <v>1.38E-2</v>
      </c>
      <c r="L51" s="3325">
        <v>0</v>
      </c>
      <c r="M51" s="3325">
        <f t="shared" si="11"/>
        <v>-1.38E-2</v>
      </c>
      <c r="N51" s="3325">
        <f t="shared" si="11"/>
        <v>-2.76E-2</v>
      </c>
      <c r="P51" s="1795"/>
      <c r="Q51" s="1795"/>
      <c r="R51" s="1795"/>
      <c r="S51" s="1795"/>
      <c r="T51" s="1795"/>
      <c r="U51" s="1795"/>
      <c r="V51" s="1795"/>
      <c r="W51" s="1795"/>
      <c r="X51" s="1795"/>
      <c r="Y51" s="1795"/>
      <c r="Z51" s="1795"/>
      <c r="AA51" s="1795"/>
      <c r="AB51" s="1795"/>
      <c r="AC51" s="1795"/>
      <c r="AD51" s="1795"/>
    </row>
    <row r="52" spans="1:30" s="3306" customFormat="1" ht="36">
      <c r="A52" s="3294" t="s">
        <v>3209</v>
      </c>
      <c r="B52" s="3312">
        <f>估价对象房地状况!C19</f>
        <v>0</v>
      </c>
      <c r="C52" s="3319" t="s">
        <v>3346</v>
      </c>
      <c r="D52" s="3320">
        <f t="shared" si="7"/>
        <v>7.4999999999999997E-3</v>
      </c>
      <c r="E52" s="3326"/>
      <c r="F52" s="3322"/>
      <c r="G52" s="3323">
        <v>7.4999999999999997E-3</v>
      </c>
      <c r="H52" s="3324">
        <f t="shared" si="8"/>
        <v>7.4999999999999997E-3</v>
      </c>
      <c r="I52" s="3299">
        <v>0.12</v>
      </c>
      <c r="J52" s="3325">
        <f t="shared" si="9"/>
        <v>1.4999999999999999E-2</v>
      </c>
      <c r="K52" s="3325">
        <f t="shared" si="10"/>
        <v>7.4999999999999997E-3</v>
      </c>
      <c r="L52" s="3325">
        <v>0</v>
      </c>
      <c r="M52" s="3325">
        <f t="shared" si="11"/>
        <v>-7.4999999999999997E-3</v>
      </c>
      <c r="N52" s="3325">
        <f t="shared" si="11"/>
        <v>-1.4999999999999999E-2</v>
      </c>
      <c r="P52" s="1795"/>
      <c r="Q52" s="1795"/>
      <c r="R52" s="1795"/>
      <c r="S52" s="1795"/>
      <c r="T52" s="1795"/>
      <c r="U52" s="1795"/>
      <c r="V52" s="1795"/>
      <c r="W52" s="1795"/>
      <c r="X52" s="1795"/>
      <c r="Y52" s="1795"/>
      <c r="Z52" s="1795"/>
      <c r="AA52" s="1795"/>
      <c r="AB52" s="1795"/>
      <c r="AC52" s="1795"/>
      <c r="AD52" s="1795"/>
    </row>
    <row r="53" spans="1:30" s="3306" customFormat="1" ht="36">
      <c r="A53" s="3311" t="s">
        <v>945</v>
      </c>
      <c r="B53" s="3327" t="s">
        <v>2193</v>
      </c>
      <c r="C53" s="3319" t="s">
        <v>3346</v>
      </c>
      <c r="D53" s="3320">
        <f t="shared" si="7"/>
        <v>3.0999999999999999E-3</v>
      </c>
      <c r="E53" s="3326"/>
      <c r="F53" s="3322"/>
      <c r="G53" s="3323">
        <v>3.0999999999999999E-3</v>
      </c>
      <c r="H53" s="3324">
        <f t="shared" si="8"/>
        <v>3.0999999999999999E-3</v>
      </c>
      <c r="I53" s="3299">
        <v>0.05</v>
      </c>
      <c r="J53" s="3325">
        <f t="shared" si="9"/>
        <v>6.1999999999999998E-3</v>
      </c>
      <c r="K53" s="3325">
        <f t="shared" si="10"/>
        <v>3.0999999999999999E-3</v>
      </c>
      <c r="L53" s="3325">
        <v>0</v>
      </c>
      <c r="M53" s="3325">
        <f t="shared" si="11"/>
        <v>-3.0999999999999999E-3</v>
      </c>
      <c r="N53" s="3325">
        <f t="shared" si="11"/>
        <v>-6.1999999999999998E-3</v>
      </c>
      <c r="P53" s="1795"/>
      <c r="Q53" s="1795"/>
      <c r="R53" s="1795"/>
      <c r="S53" s="1795"/>
      <c r="T53" s="1795"/>
      <c r="U53" s="1795"/>
      <c r="V53" s="1795"/>
      <c r="W53" s="1795"/>
      <c r="X53" s="1795"/>
      <c r="Y53" s="1795"/>
      <c r="Z53" s="1795"/>
      <c r="AA53" s="1795"/>
      <c r="AB53" s="1795"/>
      <c r="AC53" s="1795"/>
      <c r="AD53" s="1795"/>
    </row>
    <row r="54" spans="1:30" s="3306" customFormat="1" ht="24">
      <c r="A54" s="3311" t="s">
        <v>946</v>
      </c>
      <c r="B54" s="3312">
        <f>估价对象房地状况!C24</f>
        <v>0</v>
      </c>
      <c r="C54" s="3319" t="s">
        <v>3342</v>
      </c>
      <c r="D54" s="3320">
        <f t="shared" si="7"/>
        <v>0</v>
      </c>
      <c r="E54" s="3326"/>
      <c r="F54" s="3322"/>
      <c r="G54" s="3323">
        <v>5.0000000000000001E-3</v>
      </c>
      <c r="H54" s="3324">
        <f t="shared" si="8"/>
        <v>5.0000000000000001E-3</v>
      </c>
      <c r="I54" s="3299">
        <v>0.08</v>
      </c>
      <c r="J54" s="3325">
        <f t="shared" si="9"/>
        <v>0.01</v>
      </c>
      <c r="K54" s="3325">
        <f t="shared" si="10"/>
        <v>5.0000000000000001E-3</v>
      </c>
      <c r="L54" s="3325">
        <v>0</v>
      </c>
      <c r="M54" s="3325">
        <f t="shared" si="11"/>
        <v>-5.0000000000000001E-3</v>
      </c>
      <c r="N54" s="3325">
        <f t="shared" si="11"/>
        <v>-0.01</v>
      </c>
      <c r="P54" s="1795"/>
      <c r="Q54" s="1795"/>
      <c r="R54" s="1795"/>
      <c r="S54" s="1795"/>
      <c r="T54" s="1795"/>
      <c r="U54" s="1795"/>
      <c r="V54" s="1795"/>
      <c r="W54" s="1795"/>
      <c r="X54" s="1795"/>
      <c r="Y54" s="1795"/>
      <c r="Z54" s="1795"/>
      <c r="AA54" s="1795"/>
      <c r="AB54" s="1795"/>
      <c r="AC54" s="1795"/>
      <c r="AD54" s="1795"/>
    </row>
    <row r="55" spans="1:30" s="3306" customFormat="1" ht="24">
      <c r="A55" s="3311" t="s">
        <v>947</v>
      </c>
      <c r="B55" s="3328" t="s">
        <v>2192</v>
      </c>
      <c r="C55" s="3319" t="s">
        <v>3346</v>
      </c>
      <c r="D55" s="3320">
        <f t="shared" si="7"/>
        <v>3.0999999999999999E-3</v>
      </c>
      <c r="E55" s="3326"/>
      <c r="F55" s="3322"/>
      <c r="G55" s="3323">
        <v>3.0999999999999999E-3</v>
      </c>
      <c r="H55" s="3324">
        <f t="shared" si="8"/>
        <v>3.0999999999999999E-3</v>
      </c>
      <c r="I55" s="3299">
        <v>0.05</v>
      </c>
      <c r="J55" s="3325">
        <f t="shared" si="9"/>
        <v>6.1999999999999998E-3</v>
      </c>
      <c r="K55" s="3325">
        <f t="shared" si="10"/>
        <v>3.0999999999999999E-3</v>
      </c>
      <c r="L55" s="3325">
        <v>0</v>
      </c>
      <c r="M55" s="3325">
        <f t="shared" si="11"/>
        <v>-3.0999999999999999E-3</v>
      </c>
      <c r="N55" s="3325">
        <f t="shared" si="11"/>
        <v>-6.1999999999999998E-3</v>
      </c>
      <c r="P55" s="1795"/>
      <c r="Q55" s="1795"/>
      <c r="R55" s="1795"/>
      <c r="S55" s="1795"/>
      <c r="T55" s="1795"/>
      <c r="U55" s="1795"/>
      <c r="V55" s="1795"/>
      <c r="W55" s="1795"/>
      <c r="X55" s="1795"/>
      <c r="Y55" s="1795"/>
      <c r="Z55" s="1795"/>
      <c r="AA55" s="1795"/>
      <c r="AB55" s="1795"/>
      <c r="AC55" s="1795"/>
      <c r="AD55" s="1795"/>
    </row>
    <row r="56" spans="1:30" s="3306" customFormat="1" ht="24">
      <c r="A56" s="3329" t="s">
        <v>948</v>
      </c>
      <c r="B56" s="3330">
        <f>估价对象房地状况!C21</f>
        <v>0</v>
      </c>
      <c r="C56" s="3319" t="s">
        <v>3342</v>
      </c>
      <c r="D56" s="3320">
        <f t="shared" si="7"/>
        <v>0</v>
      </c>
      <c r="E56" s="3326"/>
      <c r="F56" s="3322"/>
      <c r="G56" s="3323">
        <v>3.0999999999999999E-3</v>
      </c>
      <c r="H56" s="3324">
        <f t="shared" si="8"/>
        <v>3.0999999999999999E-3</v>
      </c>
      <c r="I56" s="3299">
        <v>0.05</v>
      </c>
      <c r="J56" s="3325">
        <f t="shared" si="9"/>
        <v>6.1999999999999998E-3</v>
      </c>
      <c r="K56" s="3325">
        <f t="shared" si="10"/>
        <v>3.0999999999999999E-3</v>
      </c>
      <c r="L56" s="3325">
        <v>0</v>
      </c>
      <c r="M56" s="3325">
        <f t="shared" si="11"/>
        <v>-3.0999999999999999E-3</v>
      </c>
      <c r="N56" s="3325">
        <f t="shared" si="11"/>
        <v>-6.1999999999999998E-3</v>
      </c>
      <c r="P56" s="1795"/>
      <c r="Q56" s="1795"/>
      <c r="R56" s="1795"/>
      <c r="S56" s="1795"/>
      <c r="T56" s="1795"/>
      <c r="U56" s="1795"/>
      <c r="V56" s="1795"/>
      <c r="W56" s="1795"/>
      <c r="X56" s="1795"/>
      <c r="Y56" s="1795"/>
      <c r="Z56" s="1795"/>
      <c r="AA56" s="1795"/>
      <c r="AB56" s="1795"/>
      <c r="AC56" s="1795"/>
      <c r="AD56" s="1795"/>
    </row>
    <row r="57" spans="1:30" s="3306" customFormat="1" ht="24">
      <c r="A57" s="3329" t="s">
        <v>949</v>
      </c>
      <c r="B57" s="3312" t="str">
        <f>估价对象房地状况!C22</f>
        <v>七通</v>
      </c>
      <c r="C57" s="3319" t="s">
        <v>3352</v>
      </c>
      <c r="D57" s="3320">
        <f t="shared" si="7"/>
        <v>0.01</v>
      </c>
      <c r="E57" s="3326"/>
      <c r="F57" s="3322"/>
      <c r="G57" s="3323">
        <v>5.0000000000000001E-3</v>
      </c>
      <c r="H57" s="3324">
        <f t="shared" si="8"/>
        <v>5.0000000000000001E-3</v>
      </c>
      <c r="I57" s="3299">
        <v>0.08</v>
      </c>
      <c r="J57" s="3325">
        <f t="shared" si="9"/>
        <v>0.01</v>
      </c>
      <c r="K57" s="3325">
        <f t="shared" si="10"/>
        <v>5.0000000000000001E-3</v>
      </c>
      <c r="L57" s="3325">
        <v>0</v>
      </c>
      <c r="M57" s="3325">
        <f t="shared" si="11"/>
        <v>-5.0000000000000001E-3</v>
      </c>
      <c r="N57" s="3325">
        <f t="shared" si="11"/>
        <v>-0.01</v>
      </c>
      <c r="P57" s="1795"/>
      <c r="Q57" s="1795"/>
      <c r="R57" s="1795"/>
      <c r="S57" s="1795"/>
      <c r="T57" s="1795"/>
      <c r="U57" s="1795"/>
      <c r="V57" s="1795"/>
      <c r="W57" s="1795"/>
      <c r="X57" s="1795"/>
      <c r="Y57" s="1795"/>
      <c r="Z57" s="1795"/>
      <c r="AA57" s="1795"/>
      <c r="AB57" s="1795"/>
      <c r="AC57" s="1795"/>
      <c r="AD57" s="1795"/>
    </row>
    <row r="58" spans="1:30" s="3306" customFormat="1" ht="24.75" thickBot="1">
      <c r="A58" s="3331" t="s">
        <v>950</v>
      </c>
      <c r="B58" s="3332">
        <f>估价对象房地状况!C20</f>
        <v>0</v>
      </c>
      <c r="C58" s="3319" t="s">
        <v>3342</v>
      </c>
      <c r="D58" s="3320">
        <f t="shared" si="7"/>
        <v>0</v>
      </c>
      <c r="E58" s="3333"/>
      <c r="F58" s="3322"/>
      <c r="G58" s="3323">
        <v>3.0999999999999999E-3</v>
      </c>
      <c r="H58" s="3324">
        <f t="shared" si="8"/>
        <v>3.0999999999999999E-3</v>
      </c>
      <c r="I58" s="3301">
        <v>0.05</v>
      </c>
      <c r="J58" s="3325">
        <f t="shared" si="9"/>
        <v>6.1999999999999998E-3</v>
      </c>
      <c r="K58" s="3325">
        <f t="shared" si="10"/>
        <v>3.0999999999999999E-3</v>
      </c>
      <c r="L58" s="3325">
        <v>0</v>
      </c>
      <c r="M58" s="3325">
        <f t="shared" si="11"/>
        <v>-3.0999999999999999E-3</v>
      </c>
      <c r="N58" s="3325">
        <f t="shared" si="11"/>
        <v>-6.1999999999999998E-3</v>
      </c>
      <c r="P58" s="1795"/>
      <c r="Q58" s="1795"/>
      <c r="R58" s="1795"/>
      <c r="S58" s="1795"/>
      <c r="T58" s="1795"/>
      <c r="U58" s="1795"/>
      <c r="V58" s="1795"/>
      <c r="W58" s="1795"/>
      <c r="X58" s="1795"/>
      <c r="Y58" s="1795"/>
      <c r="Z58" s="1795"/>
      <c r="AA58" s="1795"/>
      <c r="AB58" s="1795"/>
      <c r="AC58" s="1795"/>
      <c r="AD58" s="1795"/>
    </row>
    <row r="59" spans="1:30" s="3306" customFormat="1" ht="15">
      <c r="A59" s="3307" t="s">
        <v>902</v>
      </c>
      <c r="B59" s="3369">
        <f>1+E61</f>
        <v>1</v>
      </c>
      <c r="C59" s="3334"/>
      <c r="D59" s="3309"/>
      <c r="E59" s="3310"/>
      <c r="F59" s="3302"/>
      <c r="G59" s="3305"/>
      <c r="H59" s="3305"/>
      <c r="I59" s="3305"/>
      <c r="J59" s="3161"/>
      <c r="K59" s="3161"/>
      <c r="L59" s="3161"/>
      <c r="M59" s="3161"/>
      <c r="N59" s="3161"/>
      <c r="P59" s="1795"/>
      <c r="Q59" s="1795"/>
      <c r="R59" s="1795"/>
      <c r="S59" s="1795"/>
      <c r="T59" s="1795"/>
      <c r="U59" s="1795"/>
      <c r="V59" s="1795"/>
      <c r="W59" s="1795"/>
      <c r="X59" s="1795"/>
      <c r="Y59" s="1795"/>
      <c r="Z59" s="1795"/>
      <c r="AA59" s="1795"/>
      <c r="AB59" s="1795"/>
      <c r="AC59" s="1795"/>
      <c r="AD59" s="1795"/>
    </row>
    <row r="60" spans="1:30" s="3306" customFormat="1" ht="24">
      <c r="A60" s="3311" t="s">
        <v>930</v>
      </c>
      <c r="B60" s="3312"/>
      <c r="C60" s="3313" t="s">
        <v>932</v>
      </c>
      <c r="D60" s="3314" t="s">
        <v>933</v>
      </c>
      <c r="E60" s="3315" t="s">
        <v>935</v>
      </c>
      <c r="F60" s="3189" t="s">
        <v>1607</v>
      </c>
      <c r="G60" s="3314" t="s">
        <v>936</v>
      </c>
      <c r="H60" s="3316" t="s">
        <v>1770</v>
      </c>
      <c r="I60" s="3314" t="s">
        <v>934</v>
      </c>
      <c r="J60" s="3317" t="s">
        <v>937</v>
      </c>
      <c r="K60" s="3317" t="s">
        <v>938</v>
      </c>
      <c r="L60" s="3317" t="s">
        <v>939</v>
      </c>
      <c r="M60" s="3317" t="s">
        <v>940</v>
      </c>
      <c r="N60" s="3317" t="s">
        <v>941</v>
      </c>
      <c r="P60" s="1795"/>
      <c r="Q60" s="1795"/>
      <c r="R60" s="1795"/>
      <c r="S60" s="1795"/>
      <c r="T60" s="1795"/>
      <c r="U60" s="1795"/>
      <c r="V60" s="1795"/>
      <c r="W60" s="1795"/>
      <c r="X60" s="1795"/>
      <c r="Y60" s="1795"/>
      <c r="Z60" s="1795"/>
      <c r="AA60" s="1795"/>
      <c r="AB60" s="1795"/>
      <c r="AC60" s="1795"/>
      <c r="AD60" s="1795"/>
    </row>
    <row r="61" spans="1:30" s="3306" customFormat="1" ht="24">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5"/>
      <c r="Q61" s="1795"/>
      <c r="R61" s="1795"/>
      <c r="S61" s="1795"/>
      <c r="T61" s="1795"/>
      <c r="U61" s="1795"/>
      <c r="V61" s="1795"/>
      <c r="W61" s="1795"/>
      <c r="X61" s="1795"/>
      <c r="Y61" s="1795"/>
      <c r="Z61" s="1795"/>
      <c r="AA61" s="1795"/>
      <c r="AB61" s="1795"/>
      <c r="AC61" s="1795"/>
      <c r="AD61" s="1795"/>
    </row>
    <row r="62" spans="1:30" s="3306" customFormat="1" ht="14.25">
      <c r="A62" s="3311" t="s">
        <v>943</v>
      </c>
      <c r="B62" s="3312">
        <f>估价对象房地状况!C18</f>
        <v>0</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5"/>
      <c r="Q62" s="1795"/>
      <c r="R62" s="1795"/>
      <c r="S62" s="1795"/>
      <c r="T62" s="1795"/>
      <c r="U62" s="1795"/>
      <c r="V62" s="1795"/>
      <c r="W62" s="1795"/>
      <c r="X62" s="1795"/>
      <c r="Y62" s="1795"/>
      <c r="Z62" s="1795"/>
      <c r="AA62" s="1795"/>
      <c r="AB62" s="1795"/>
      <c r="AC62" s="1795"/>
      <c r="AD62" s="1795"/>
    </row>
    <row r="63" spans="1:30" s="3306" customFormat="1" ht="36">
      <c r="A63" s="3294" t="s">
        <v>3209</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5"/>
      <c r="Q63" s="1795"/>
      <c r="R63" s="1795"/>
      <c r="S63" s="1795"/>
      <c r="T63" s="1795"/>
      <c r="U63" s="1795"/>
      <c r="V63" s="1795"/>
      <c r="W63" s="1795"/>
      <c r="X63" s="1795"/>
      <c r="Y63" s="1795"/>
      <c r="Z63" s="1795"/>
      <c r="AA63" s="1795"/>
      <c r="AB63" s="1795"/>
      <c r="AC63" s="1795"/>
      <c r="AD63" s="1795"/>
    </row>
    <row r="64" spans="1:30" s="3306" customFormat="1" ht="36">
      <c r="A64" s="3311" t="s">
        <v>945</v>
      </c>
      <c r="B64" s="3327" t="s">
        <v>2193</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5"/>
      <c r="Q64" s="1795"/>
      <c r="R64" s="1795"/>
      <c r="S64" s="1795"/>
      <c r="T64" s="1795"/>
      <c r="U64" s="1795"/>
      <c r="V64" s="1795"/>
      <c r="W64" s="1795"/>
      <c r="X64" s="1795"/>
      <c r="Y64" s="1795"/>
      <c r="Z64" s="1795"/>
      <c r="AA64" s="1795"/>
      <c r="AB64" s="1795"/>
      <c r="AC64" s="1795"/>
      <c r="AD64" s="1795"/>
    </row>
    <row r="65" spans="1:36" s="3306" customFormat="1" ht="24">
      <c r="A65" s="3311" t="s">
        <v>946</v>
      </c>
      <c r="B65" s="3312">
        <f>估价对象房地状况!C24</f>
        <v>0</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5"/>
      <c r="Q65" s="1795"/>
      <c r="R65" s="1795"/>
      <c r="S65" s="1795"/>
      <c r="T65" s="1795"/>
      <c r="U65" s="1795"/>
      <c r="V65" s="1795"/>
      <c r="W65" s="1795"/>
      <c r="X65" s="1795"/>
      <c r="Y65" s="1795"/>
      <c r="Z65" s="1795"/>
      <c r="AA65" s="1795"/>
      <c r="AB65" s="1795"/>
      <c r="AC65" s="1795"/>
      <c r="AD65" s="1795"/>
    </row>
    <row r="66" spans="1:36" s="3306" customFormat="1" ht="24">
      <c r="A66" s="3311" t="s">
        <v>947</v>
      </c>
      <c r="B66" s="3328" t="s">
        <v>2192</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5"/>
      <c r="Q66" s="1795"/>
      <c r="R66" s="1795"/>
      <c r="S66" s="1795"/>
      <c r="T66" s="1795"/>
      <c r="U66" s="1795"/>
      <c r="V66" s="1795"/>
      <c r="W66" s="1795"/>
      <c r="X66" s="1795"/>
      <c r="Y66" s="1795"/>
      <c r="Z66" s="1795"/>
      <c r="AA66" s="1795"/>
      <c r="AB66" s="1795"/>
      <c r="AC66" s="1795"/>
      <c r="AD66" s="1795"/>
    </row>
    <row r="67" spans="1:36" s="3306" customFormat="1" ht="24">
      <c r="A67" s="3311" t="s">
        <v>948</v>
      </c>
      <c r="B67" s="3330">
        <f>估价对象房地状况!C21</f>
        <v>0</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5"/>
      <c r="Q67" s="1795"/>
      <c r="R67" s="1795"/>
      <c r="S67" s="1795"/>
      <c r="T67" s="1795"/>
      <c r="U67" s="1795"/>
      <c r="V67" s="1795"/>
      <c r="W67" s="1795"/>
      <c r="X67" s="1795"/>
      <c r="Y67" s="1795"/>
      <c r="Z67" s="1795"/>
      <c r="AA67" s="1795"/>
      <c r="AB67" s="1795"/>
      <c r="AC67" s="1795"/>
      <c r="AD67" s="1795"/>
    </row>
    <row r="68" spans="1:36" s="3306" customFormat="1" ht="24">
      <c r="A68" s="3311" t="s">
        <v>949</v>
      </c>
      <c r="B68" s="3330" t="str">
        <f>估价对象房地状况!C22</f>
        <v>七通</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5"/>
      <c r="Q68" s="1795"/>
      <c r="R68" s="1795"/>
      <c r="S68" s="1795"/>
      <c r="T68" s="1795"/>
      <c r="U68" s="1795"/>
      <c r="V68" s="1795"/>
      <c r="W68" s="1795"/>
      <c r="X68" s="1795"/>
      <c r="Y68" s="1795"/>
      <c r="Z68" s="1795"/>
      <c r="AA68" s="1795"/>
      <c r="AB68" s="1795"/>
      <c r="AC68" s="1795"/>
      <c r="AD68" s="1795"/>
    </row>
    <row r="69" spans="1:36" s="3306" customFormat="1" ht="24.75" thickBot="1">
      <c r="A69" s="3331" t="s">
        <v>950</v>
      </c>
      <c r="B69" s="3335">
        <f>估价对象房地状况!C20</f>
        <v>0</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5"/>
      <c r="Q69" s="1795"/>
      <c r="R69" s="1795"/>
      <c r="S69" s="1795"/>
      <c r="T69" s="1795"/>
      <c r="U69" s="1795"/>
      <c r="V69" s="1795"/>
      <c r="W69" s="1795"/>
      <c r="X69" s="1795"/>
      <c r="Y69" s="1795"/>
      <c r="Z69" s="1795"/>
      <c r="AA69" s="1795"/>
      <c r="AB69" s="1795"/>
      <c r="AC69" s="1795"/>
      <c r="AD69" s="1795"/>
    </row>
    <row r="70" spans="1:36" s="3306" customFormat="1" ht="15">
      <c r="A70" s="3307" t="s">
        <v>835</v>
      </c>
      <c r="B70" s="3369">
        <f>1+E72</f>
        <v>1.0196000000000001</v>
      </c>
      <c r="C70" s="3334"/>
      <c r="D70" s="3309"/>
      <c r="E70" s="3310"/>
      <c r="F70" s="3302"/>
      <c r="G70" s="3305"/>
      <c r="H70" s="3305"/>
      <c r="I70" s="3305"/>
      <c r="J70" s="3161"/>
      <c r="K70" s="3161"/>
      <c r="L70" s="3161"/>
      <c r="M70" s="3161"/>
      <c r="N70" s="3161"/>
      <c r="P70" s="1795"/>
      <c r="Q70" s="1795"/>
      <c r="R70" s="1795"/>
      <c r="S70" s="1795"/>
      <c r="T70" s="1795"/>
      <c r="U70" s="1795"/>
      <c r="V70" s="1795"/>
      <c r="W70" s="1795"/>
      <c r="X70" s="1795"/>
      <c r="Y70" s="1795"/>
      <c r="Z70" s="1795"/>
      <c r="AA70" s="1795"/>
      <c r="AB70" s="1795"/>
      <c r="AC70" s="1795"/>
      <c r="AD70" s="1795"/>
    </row>
    <row r="71" spans="1:36" s="3306" customFormat="1" ht="24">
      <c r="A71" s="3311" t="s">
        <v>930</v>
      </c>
      <c r="B71" s="3312"/>
      <c r="C71" s="3313" t="s">
        <v>932</v>
      </c>
      <c r="D71" s="3314" t="s">
        <v>933</v>
      </c>
      <c r="E71" s="3315" t="s">
        <v>935</v>
      </c>
      <c r="F71" s="3189" t="s">
        <v>1607</v>
      </c>
      <c r="G71" s="3314" t="s">
        <v>936</v>
      </c>
      <c r="H71" s="3316" t="s">
        <v>1770</v>
      </c>
      <c r="I71" s="3314" t="s">
        <v>934</v>
      </c>
      <c r="J71" s="3317" t="s">
        <v>937</v>
      </c>
      <c r="K71" s="3317" t="s">
        <v>938</v>
      </c>
      <c r="L71" s="3317" t="s">
        <v>939</v>
      </c>
      <c r="M71" s="3317" t="s">
        <v>940</v>
      </c>
      <c r="N71" s="3317" t="s">
        <v>941</v>
      </c>
      <c r="P71" s="1795"/>
      <c r="Q71" s="1795"/>
      <c r="R71" s="1795"/>
      <c r="S71" s="1795"/>
      <c r="T71" s="1795"/>
      <c r="U71" s="1795"/>
      <c r="V71" s="1795"/>
      <c r="W71" s="1795"/>
      <c r="X71" s="1795"/>
      <c r="Y71" s="1795"/>
      <c r="Z71" s="1795"/>
      <c r="AA71" s="1795"/>
      <c r="AB71" s="1795"/>
      <c r="AC71" s="1795"/>
      <c r="AD71" s="1795"/>
    </row>
    <row r="72" spans="1:36" s="3306" customFormat="1" ht="24">
      <c r="A72" s="3311" t="s">
        <v>954</v>
      </c>
      <c r="B72" s="3312">
        <f>估价对象房地状况!C15</f>
        <v>0</v>
      </c>
      <c r="C72" s="3336" t="s">
        <v>3342</v>
      </c>
      <c r="D72" s="3320">
        <f t="shared" ref="D72:D80" si="17">SUMIF($J$71:$N$71,C72,J72:N72)</f>
        <v>0</v>
      </c>
      <c r="E72" s="3321">
        <f>ROUND(SUM(D72:D80),4)</f>
        <v>1.9599999999999999E-2</v>
      </c>
      <c r="F72" s="3322" t="str">
        <f>IF(E2="住宅",SUMIF(L1:L12,G2,N1:N12),"——")</f>
        <v>——</v>
      </c>
      <c r="G72" s="3337">
        <v>1.41E-2</v>
      </c>
      <c r="H72" s="3338" t="str">
        <f t="shared" ref="H72:H80" si="18">IFERROR(ROUNDDOWN($F$72*I72/2,4),"——")</f>
        <v>——</v>
      </c>
      <c r="I72" s="3299">
        <v>0.2</v>
      </c>
      <c r="J72" s="3325">
        <f t="shared" ref="J72:J80" si="19">K72+$G72</f>
        <v>2.8199999999999999E-2</v>
      </c>
      <c r="K72" s="3325">
        <f t="shared" ref="K72:K80" si="20">$L72+$G72</f>
        <v>1.41E-2</v>
      </c>
      <c r="L72" s="3325">
        <v>0</v>
      </c>
      <c r="M72" s="3325">
        <f t="shared" ref="M72:N80" si="21">L72-$G72</f>
        <v>-1.41E-2</v>
      </c>
      <c r="N72" s="3325">
        <f t="shared" si="21"/>
        <v>-2.8199999999999999E-2</v>
      </c>
      <c r="P72" s="1795"/>
      <c r="Q72" s="1795"/>
      <c r="R72" s="1795"/>
      <c r="S72" s="1795"/>
      <c r="T72" s="1795"/>
      <c r="U72" s="1795"/>
      <c r="V72" s="1795"/>
      <c r="W72" s="1795"/>
      <c r="X72" s="1795"/>
      <c r="Y72" s="1795"/>
      <c r="Z72" s="1795"/>
      <c r="AA72" s="1795"/>
      <c r="AB72" s="1795"/>
      <c r="AC72" s="1795"/>
      <c r="AD72" s="1795"/>
    </row>
    <row r="73" spans="1:36" s="3306" customFormat="1" ht="14.25">
      <c r="A73" s="3311" t="s">
        <v>943</v>
      </c>
      <c r="B73" s="3312">
        <f>估价对象房地状况!C18</f>
        <v>0</v>
      </c>
      <c r="C73" s="3336" t="s">
        <v>3342</v>
      </c>
      <c r="D73" s="3320">
        <f t="shared" si="17"/>
        <v>0</v>
      </c>
      <c r="E73" s="3326"/>
      <c r="F73" s="3322"/>
      <c r="G73" s="3337">
        <v>1.83E-2</v>
      </c>
      <c r="H73" s="3338" t="str">
        <f t="shared" si="18"/>
        <v>——</v>
      </c>
      <c r="I73" s="3299">
        <v>0.26</v>
      </c>
      <c r="J73" s="3325">
        <f t="shared" si="19"/>
        <v>3.6600000000000001E-2</v>
      </c>
      <c r="K73" s="3325">
        <f t="shared" si="20"/>
        <v>1.83E-2</v>
      </c>
      <c r="L73" s="3325">
        <v>0</v>
      </c>
      <c r="M73" s="3325">
        <f t="shared" si="21"/>
        <v>-1.83E-2</v>
      </c>
      <c r="N73" s="3325">
        <f t="shared" si="21"/>
        <v>-3.6600000000000001E-2</v>
      </c>
      <c r="P73" s="1795"/>
      <c r="Q73" s="1795"/>
      <c r="R73" s="1795"/>
      <c r="S73" s="1795"/>
      <c r="T73" s="1795"/>
      <c r="U73" s="1795"/>
      <c r="V73" s="1795"/>
      <c r="W73" s="1795"/>
      <c r="X73" s="1795"/>
      <c r="Y73" s="1795"/>
      <c r="Z73" s="1795"/>
      <c r="AA73" s="1795"/>
      <c r="AB73" s="1795"/>
      <c r="AC73" s="1795"/>
      <c r="AD73" s="1795"/>
    </row>
    <row r="74" spans="1:36" s="3306" customFormat="1" ht="36">
      <c r="A74" s="3294" t="s">
        <v>3209</v>
      </c>
      <c r="B74" s="3312">
        <f>估价对象房地状况!C19</f>
        <v>0</v>
      </c>
      <c r="C74" s="3336" t="s">
        <v>3346</v>
      </c>
      <c r="D74" s="3320">
        <f t="shared" si="17"/>
        <v>7.0000000000000001E-3</v>
      </c>
      <c r="E74" s="3326"/>
      <c r="F74" s="3322"/>
      <c r="G74" s="3337">
        <v>7.0000000000000001E-3</v>
      </c>
      <c r="H74" s="3338" t="str">
        <f t="shared" si="18"/>
        <v>——</v>
      </c>
      <c r="I74" s="3299">
        <v>0.1</v>
      </c>
      <c r="J74" s="3325">
        <f t="shared" si="19"/>
        <v>1.4E-2</v>
      </c>
      <c r="K74" s="3325">
        <f t="shared" si="20"/>
        <v>7.0000000000000001E-3</v>
      </c>
      <c r="L74" s="3325">
        <v>0</v>
      </c>
      <c r="M74" s="3325">
        <f t="shared" si="21"/>
        <v>-7.0000000000000001E-3</v>
      </c>
      <c r="N74" s="3325">
        <f t="shared" si="21"/>
        <v>-1.4E-2</v>
      </c>
      <c r="P74" s="1795"/>
      <c r="Q74" s="1795"/>
      <c r="R74" s="1795"/>
      <c r="S74" s="1795"/>
      <c r="T74" s="1795"/>
      <c r="U74" s="1795"/>
      <c r="V74" s="1795"/>
      <c r="W74" s="1795"/>
      <c r="X74" s="1795"/>
      <c r="Y74" s="1795"/>
      <c r="Z74" s="1795"/>
      <c r="AA74" s="1795"/>
      <c r="AB74" s="1795"/>
      <c r="AC74" s="1795"/>
      <c r="AD74" s="1795"/>
    </row>
    <row r="75" spans="1:36" s="1271" customFormat="1" ht="14.25">
      <c r="A75" s="3311" t="s">
        <v>956</v>
      </c>
      <c r="B75" s="3312">
        <f>估价对象房地状况!C24</f>
        <v>0</v>
      </c>
      <c r="C75" s="3336" t="s">
        <v>3342</v>
      </c>
      <c r="D75" s="3320">
        <f t="shared" si="17"/>
        <v>0</v>
      </c>
      <c r="E75" s="3326"/>
      <c r="F75" s="3322"/>
      <c r="G75" s="3337">
        <v>3.5000000000000001E-3</v>
      </c>
      <c r="H75" s="3338" t="str">
        <f t="shared" si="18"/>
        <v>——</v>
      </c>
      <c r="I75" s="3299">
        <v>0.05</v>
      </c>
      <c r="J75" s="3325">
        <f t="shared" si="19"/>
        <v>7.0000000000000001E-3</v>
      </c>
      <c r="K75" s="3325">
        <f t="shared" si="20"/>
        <v>3.5000000000000001E-3</v>
      </c>
      <c r="L75" s="3325">
        <v>0</v>
      </c>
      <c r="M75" s="3325">
        <f t="shared" si="21"/>
        <v>-3.5000000000000001E-3</v>
      </c>
      <c r="N75" s="3325">
        <f t="shared" si="21"/>
        <v>-7.0000000000000001E-3</v>
      </c>
      <c r="O75" s="3306"/>
      <c r="P75" s="1795"/>
      <c r="Q75" s="1795"/>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1" customFormat="1" ht="24">
      <c r="A76" s="3311" t="s">
        <v>948</v>
      </c>
      <c r="B76" s="3330">
        <f>估价对象房地状况!C21</f>
        <v>0</v>
      </c>
      <c r="C76" s="3336" t="s">
        <v>3342</v>
      </c>
      <c r="D76" s="3320">
        <f t="shared" si="17"/>
        <v>0</v>
      </c>
      <c r="E76" s="3326"/>
      <c r="F76" s="3322"/>
      <c r="G76" s="3337">
        <v>5.5999999999999999E-3</v>
      </c>
      <c r="H76" s="3338" t="str">
        <f t="shared" si="18"/>
        <v>——</v>
      </c>
      <c r="I76" s="3299">
        <v>0.08</v>
      </c>
      <c r="J76" s="3325">
        <f t="shared" si="19"/>
        <v>1.12E-2</v>
      </c>
      <c r="K76" s="3325">
        <f t="shared" si="20"/>
        <v>5.5999999999999999E-3</v>
      </c>
      <c r="L76" s="3325">
        <v>0</v>
      </c>
      <c r="M76" s="3325">
        <f t="shared" si="21"/>
        <v>-5.5999999999999999E-3</v>
      </c>
      <c r="N76" s="3325">
        <f t="shared" si="21"/>
        <v>-1.12E-2</v>
      </c>
      <c r="O76" s="3306"/>
      <c r="P76" s="1795"/>
      <c r="Q76" s="1795"/>
      <c r="AE76" s="3306"/>
      <c r="AF76" s="3306"/>
      <c r="AG76" s="3306"/>
      <c r="AH76" s="3306"/>
      <c r="AI76" s="3306"/>
      <c r="AJ76" s="3306"/>
    </row>
    <row r="77" spans="1:36" s="1271" customFormat="1" ht="24">
      <c r="A77" s="3311" t="s">
        <v>949</v>
      </c>
      <c r="B77" s="3330" t="str">
        <f>估价对象房地状况!C22</f>
        <v>七通</v>
      </c>
      <c r="C77" s="3336" t="s">
        <v>3352</v>
      </c>
      <c r="D77" s="3320">
        <f t="shared" si="17"/>
        <v>1.26E-2</v>
      </c>
      <c r="E77" s="3326"/>
      <c r="F77" s="3322"/>
      <c r="G77" s="3337">
        <v>6.3E-3</v>
      </c>
      <c r="H77" s="3338" t="str">
        <f t="shared" si="18"/>
        <v>——</v>
      </c>
      <c r="I77" s="3299">
        <v>0.09</v>
      </c>
      <c r="J77" s="3325">
        <f t="shared" si="19"/>
        <v>1.26E-2</v>
      </c>
      <c r="K77" s="3325">
        <f t="shared" si="20"/>
        <v>6.3E-3</v>
      </c>
      <c r="L77" s="3325">
        <v>0</v>
      </c>
      <c r="M77" s="3325">
        <f t="shared" si="21"/>
        <v>-6.3E-3</v>
      </c>
      <c r="N77" s="3325">
        <f t="shared" si="21"/>
        <v>-1.26E-2</v>
      </c>
      <c r="O77" s="3306"/>
      <c r="P77" s="1795"/>
      <c r="Q77" s="1795"/>
      <c r="AE77" s="3306"/>
      <c r="AF77" s="3306"/>
      <c r="AG77" s="3306"/>
      <c r="AH77" s="3306"/>
      <c r="AI77" s="3306"/>
      <c r="AJ77" s="3306"/>
    </row>
    <row r="78" spans="1:36" s="1271" customFormat="1" ht="24">
      <c r="A78" s="3311" t="s">
        <v>947</v>
      </c>
      <c r="B78" s="3328" t="s">
        <v>2192</v>
      </c>
      <c r="C78" s="3336" t="s">
        <v>3346</v>
      </c>
      <c r="D78" s="3320">
        <f t="shared" si="17"/>
        <v>3.5000000000000001E-3</v>
      </c>
      <c r="E78" s="3326"/>
      <c r="F78" s="3322"/>
      <c r="G78" s="3337">
        <v>3.5000000000000001E-3</v>
      </c>
      <c r="H78" s="3338" t="str">
        <f t="shared" si="18"/>
        <v>——</v>
      </c>
      <c r="I78" s="3299">
        <v>0.05</v>
      </c>
      <c r="J78" s="3325">
        <f t="shared" si="19"/>
        <v>7.0000000000000001E-3</v>
      </c>
      <c r="K78" s="3325">
        <f t="shared" si="20"/>
        <v>3.5000000000000001E-3</v>
      </c>
      <c r="L78" s="3325">
        <v>0</v>
      </c>
      <c r="M78" s="3325">
        <f t="shared" si="21"/>
        <v>-3.5000000000000001E-3</v>
      </c>
      <c r="N78" s="3325">
        <f t="shared" si="21"/>
        <v>-7.0000000000000001E-3</v>
      </c>
      <c r="O78" s="3306"/>
      <c r="P78" s="1795"/>
      <c r="Q78" s="1795"/>
      <c r="AE78" s="3306"/>
      <c r="AF78" s="3306"/>
      <c r="AG78" s="3306"/>
      <c r="AH78" s="3306"/>
      <c r="AI78" s="3306"/>
      <c r="AJ78" s="3306"/>
    </row>
    <row r="79" spans="1:36" s="1271" customFormat="1" ht="24">
      <c r="A79" s="3311" t="s">
        <v>950</v>
      </c>
      <c r="B79" s="3318">
        <f>估价对象房地状况!C20</f>
        <v>0</v>
      </c>
      <c r="C79" s="3336" t="s">
        <v>3342</v>
      </c>
      <c r="D79" s="3320">
        <f t="shared" si="17"/>
        <v>0</v>
      </c>
      <c r="E79" s="3326"/>
      <c r="F79" s="3322"/>
      <c r="G79" s="3337">
        <v>8.3999999999999995E-3</v>
      </c>
      <c r="H79" s="3338" t="str">
        <f t="shared" si="18"/>
        <v>——</v>
      </c>
      <c r="I79" s="3299">
        <v>0.12</v>
      </c>
      <c r="J79" s="3325">
        <f t="shared" si="19"/>
        <v>1.6799999999999999E-2</v>
      </c>
      <c r="K79" s="3325">
        <f t="shared" si="20"/>
        <v>8.3999999999999995E-3</v>
      </c>
      <c r="L79" s="3325">
        <v>0</v>
      </c>
      <c r="M79" s="3325">
        <f t="shared" si="21"/>
        <v>-8.3999999999999995E-3</v>
      </c>
      <c r="N79" s="3325">
        <f t="shared" si="21"/>
        <v>-1.6799999999999999E-2</v>
      </c>
      <c r="P79" s="3339"/>
      <c r="Q79" s="3339"/>
      <c r="AE79" s="3306"/>
      <c r="AF79" s="3306"/>
      <c r="AG79" s="3306"/>
      <c r="AH79" s="3306"/>
      <c r="AI79" s="3306"/>
      <c r="AJ79" s="3306"/>
    </row>
    <row r="80" spans="1:36" s="1271" customFormat="1" ht="24.75" thickBot="1">
      <c r="A80" s="3331" t="s">
        <v>957</v>
      </c>
      <c r="B80" s="3340"/>
      <c r="C80" s="3336" t="s">
        <v>3343</v>
      </c>
      <c r="D80" s="3320">
        <f t="shared" si="17"/>
        <v>-3.5000000000000001E-3</v>
      </c>
      <c r="E80" s="3333"/>
      <c r="F80" s="3322"/>
      <c r="G80" s="3337">
        <v>3.5000000000000001E-3</v>
      </c>
      <c r="H80" s="3338" t="str">
        <f t="shared" si="18"/>
        <v>——</v>
      </c>
      <c r="I80" s="3301">
        <v>0.05</v>
      </c>
      <c r="J80" s="3325">
        <f t="shared" si="19"/>
        <v>7.0000000000000001E-3</v>
      </c>
      <c r="K80" s="3325">
        <f t="shared" si="20"/>
        <v>3.5000000000000001E-3</v>
      </c>
      <c r="L80" s="3325">
        <v>0</v>
      </c>
      <c r="M80" s="3325">
        <f t="shared" si="21"/>
        <v>-3.5000000000000001E-3</v>
      </c>
      <c r="N80" s="3325">
        <f t="shared" si="21"/>
        <v>-7.0000000000000001E-3</v>
      </c>
      <c r="AE80" s="3306"/>
      <c r="AF80" s="3306"/>
      <c r="AG80" s="3306"/>
      <c r="AH80" s="3306"/>
      <c r="AI80" s="3306"/>
      <c r="AJ80" s="3306"/>
    </row>
    <row r="81" spans="1:36" s="1271" customFormat="1" ht="15">
      <c r="A81" s="3307" t="s">
        <v>909</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1" customFormat="1" ht="24">
      <c r="A82" s="3311" t="s">
        <v>930</v>
      </c>
      <c r="B82" s="3312"/>
      <c r="C82" s="3313" t="s">
        <v>932</v>
      </c>
      <c r="D82" s="3314" t="s">
        <v>933</v>
      </c>
      <c r="E82" s="3315" t="s">
        <v>935</v>
      </c>
      <c r="F82" s="3189" t="s">
        <v>1607</v>
      </c>
      <c r="G82" s="3314" t="s">
        <v>936</v>
      </c>
      <c r="H82" s="3316" t="s">
        <v>1770</v>
      </c>
      <c r="I82" s="3314" t="s">
        <v>934</v>
      </c>
      <c r="J82" s="3317" t="s">
        <v>937</v>
      </c>
      <c r="K82" s="3317" t="s">
        <v>938</v>
      </c>
      <c r="L82" s="3317" t="s">
        <v>939</v>
      </c>
      <c r="M82" s="3317" t="s">
        <v>940</v>
      </c>
      <c r="N82" s="3317" t="s">
        <v>941</v>
      </c>
      <c r="AE82" s="3306"/>
      <c r="AF82" s="3306"/>
      <c r="AG82" s="3306"/>
      <c r="AH82" s="3306"/>
      <c r="AI82" s="3306"/>
      <c r="AJ82" s="3306"/>
    </row>
    <row r="83" spans="1:36" s="1271"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1" customFormat="1" ht="36">
      <c r="A84" s="3311" t="s">
        <v>943</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1"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1"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1"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1"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1" customFormat="1" ht="24">
      <c r="A89" s="3311" t="s">
        <v>947</v>
      </c>
      <c r="B89" s="3328" t="s">
        <v>2192</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1"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1" customFormat="1" ht="15">
      <c r="A91" s="3295" t="s">
        <v>2448</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1" customFormat="1" ht="24">
      <c r="A92" s="3296" t="s">
        <v>3219</v>
      </c>
      <c r="B92" s="3296"/>
      <c r="C92" s="3296" t="s">
        <v>3224</v>
      </c>
      <c r="D92" s="3296" t="s">
        <v>3211</v>
      </c>
      <c r="E92" s="344" t="s">
        <v>3212</v>
      </c>
      <c r="F92" s="3351" t="s">
        <v>1607</v>
      </c>
      <c r="G92" s="3314" t="s">
        <v>936</v>
      </c>
      <c r="H92" s="3316" t="s">
        <v>1770</v>
      </c>
      <c r="I92" s="3314" t="s">
        <v>934</v>
      </c>
      <c r="J92" s="3317" t="s">
        <v>937</v>
      </c>
      <c r="K92" s="3317" t="s">
        <v>938</v>
      </c>
      <c r="L92" s="3317" t="s">
        <v>939</v>
      </c>
      <c r="M92" s="3317" t="s">
        <v>940</v>
      </c>
      <c r="N92" s="3317" t="s">
        <v>941</v>
      </c>
      <c r="AE92" s="3306"/>
      <c r="AF92" s="3306"/>
      <c r="AG92" s="3306"/>
      <c r="AH92" s="3306"/>
      <c r="AI92" s="3306"/>
      <c r="AJ92" s="3306"/>
    </row>
    <row r="93" spans="1:36" s="1271" customFormat="1" ht="24">
      <c r="A93" s="3350" t="s">
        <v>3220</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101" si="28">L93-$G93</f>
        <v>0</v>
      </c>
      <c r="N93" s="3349">
        <f t="shared" si="28"/>
        <v>0</v>
      </c>
      <c r="AE93" s="3306"/>
      <c r="AF93" s="3306"/>
      <c r="AG93" s="3306"/>
      <c r="AH93" s="3306"/>
      <c r="AI93" s="3306"/>
      <c r="AJ93" s="3306"/>
    </row>
    <row r="94" spans="1:36" s="1271" customFormat="1" ht="36">
      <c r="A94" s="3296" t="s">
        <v>3221</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si="28"/>
        <v>0</v>
      </c>
      <c r="N94" s="3349">
        <f t="shared" si="28"/>
        <v>0</v>
      </c>
      <c r="AE94" s="3306"/>
      <c r="AF94" s="3306"/>
      <c r="AG94" s="3306"/>
      <c r="AH94" s="3306"/>
      <c r="AI94" s="3306"/>
      <c r="AJ94" s="3306"/>
    </row>
    <row r="95" spans="1:36" s="1271" customFormat="1" ht="36">
      <c r="A95" s="3350" t="s">
        <v>3209</v>
      </c>
      <c r="B95" s="3312">
        <f>估价对象房地状况!G17</f>
        <v>0</v>
      </c>
      <c r="C95" s="3319"/>
      <c r="D95" s="3320">
        <f t="shared" si="29"/>
        <v>0</v>
      </c>
      <c r="E95" s="3344"/>
      <c r="F95" s="3322"/>
      <c r="G95" s="3337"/>
      <c r="H95" s="3324" t="str">
        <f t="shared" si="30"/>
        <v>——</v>
      </c>
      <c r="I95" s="3299">
        <v>0.11</v>
      </c>
      <c r="J95" s="3349">
        <f t="shared" ref="J95:J101" si="31">K95+$G95</f>
        <v>0</v>
      </c>
      <c r="K95" s="3349">
        <f t="shared" si="27"/>
        <v>0</v>
      </c>
      <c r="L95" s="3349">
        <v>0</v>
      </c>
      <c r="M95" s="3349">
        <f t="shared" si="28"/>
        <v>0</v>
      </c>
      <c r="N95" s="3349">
        <f t="shared" si="28"/>
        <v>0</v>
      </c>
      <c r="AE95" s="3306"/>
      <c r="AF95" s="3306"/>
      <c r="AG95" s="3306"/>
      <c r="AH95" s="3306"/>
      <c r="AI95" s="3306"/>
      <c r="AJ95" s="3306"/>
    </row>
    <row r="96" spans="1:36" s="1271" customFormat="1" ht="36.75">
      <c r="A96" s="3296" t="s">
        <v>3213</v>
      </c>
      <c r="B96" s="3300" t="s">
        <v>3214</v>
      </c>
      <c r="C96" s="3319"/>
      <c r="D96" s="3320">
        <f t="shared" si="29"/>
        <v>0</v>
      </c>
      <c r="E96" s="3344"/>
      <c r="F96" s="3322"/>
      <c r="G96" s="3337"/>
      <c r="H96" s="3324" t="str">
        <f t="shared" si="30"/>
        <v>——</v>
      </c>
      <c r="I96" s="3299">
        <v>0.05</v>
      </c>
      <c r="J96" s="3349">
        <f t="shared" si="31"/>
        <v>0</v>
      </c>
      <c r="K96" s="3349">
        <f t="shared" si="27"/>
        <v>0</v>
      </c>
      <c r="L96" s="3349">
        <v>0</v>
      </c>
      <c r="M96" s="3349">
        <f>L96-$G96</f>
        <v>0</v>
      </c>
      <c r="N96" s="3349">
        <f t="shared" si="28"/>
        <v>0</v>
      </c>
      <c r="AE96" s="3306"/>
      <c r="AF96" s="3306"/>
      <c r="AG96" s="3306"/>
      <c r="AH96" s="3306"/>
      <c r="AI96" s="3306"/>
      <c r="AJ96" s="3306"/>
    </row>
    <row r="97" spans="1:36" s="1271" customFormat="1" ht="24">
      <c r="A97" s="3296" t="s">
        <v>3215</v>
      </c>
      <c r="B97" s="3312">
        <f>估价对象房地状况!G22</f>
        <v>0</v>
      </c>
      <c r="C97" s="3319"/>
      <c r="D97" s="3320">
        <f t="shared" si="29"/>
        <v>0</v>
      </c>
      <c r="E97" s="3344"/>
      <c r="F97" s="3322"/>
      <c r="G97" s="3337"/>
      <c r="H97" s="3324" t="str">
        <f t="shared" si="30"/>
        <v>——</v>
      </c>
      <c r="I97" s="3299">
        <v>0.05</v>
      </c>
      <c r="J97" s="3349">
        <f t="shared" si="31"/>
        <v>0</v>
      </c>
      <c r="K97" s="3349">
        <f t="shared" si="27"/>
        <v>0</v>
      </c>
      <c r="L97" s="3349">
        <v>0</v>
      </c>
      <c r="M97" s="3349">
        <f t="shared" si="28"/>
        <v>0</v>
      </c>
      <c r="N97" s="3349">
        <f t="shared" si="28"/>
        <v>0</v>
      </c>
      <c r="AE97" s="3306"/>
      <c r="AF97" s="3306"/>
      <c r="AG97" s="3306"/>
      <c r="AH97" s="3306"/>
      <c r="AI97" s="3306"/>
      <c r="AJ97" s="3306"/>
    </row>
    <row r="98" spans="1:36" s="1271" customFormat="1" ht="24">
      <c r="A98" s="3296" t="s">
        <v>3222</v>
      </c>
      <c r="B98" s="3327" t="s">
        <v>2192</v>
      </c>
      <c r="C98" s="3319"/>
      <c r="D98" s="3320">
        <f t="shared" si="29"/>
        <v>0</v>
      </c>
      <c r="E98" s="3344"/>
      <c r="F98" s="3322"/>
      <c r="G98" s="3337"/>
      <c r="H98" s="3324" t="str">
        <f t="shared" si="30"/>
        <v>——</v>
      </c>
      <c r="I98" s="3299">
        <v>0.06</v>
      </c>
      <c r="J98" s="3349">
        <f t="shared" si="31"/>
        <v>0</v>
      </c>
      <c r="K98" s="3349">
        <f t="shared" si="27"/>
        <v>0</v>
      </c>
      <c r="L98" s="3349">
        <v>0</v>
      </c>
      <c r="M98" s="3349">
        <f t="shared" si="28"/>
        <v>0</v>
      </c>
      <c r="N98" s="3349">
        <f t="shared" si="28"/>
        <v>0</v>
      </c>
      <c r="AE98" s="3306"/>
      <c r="AF98" s="3306"/>
      <c r="AG98" s="3306"/>
      <c r="AH98" s="3306"/>
      <c r="AI98" s="3306"/>
      <c r="AJ98" s="3306"/>
    </row>
    <row r="99" spans="1:36" s="1271" customFormat="1" ht="24">
      <c r="A99" s="3296" t="s">
        <v>3223</v>
      </c>
      <c r="B99" s="3312">
        <f>估价对象房地状况!C21</f>
        <v>0</v>
      </c>
      <c r="C99" s="3319"/>
      <c r="D99" s="3320">
        <f t="shared" si="29"/>
        <v>0</v>
      </c>
      <c r="E99" s="3344"/>
      <c r="F99" s="3322"/>
      <c r="G99" s="3337"/>
      <c r="H99" s="3324" t="str">
        <f t="shared" si="30"/>
        <v>——</v>
      </c>
      <c r="I99" s="3299">
        <v>0.06</v>
      </c>
      <c r="J99" s="3349">
        <f t="shared" si="31"/>
        <v>0</v>
      </c>
      <c r="K99" s="3349">
        <f t="shared" si="27"/>
        <v>0</v>
      </c>
      <c r="L99" s="3349">
        <v>0</v>
      </c>
      <c r="M99" s="3349">
        <f t="shared" si="28"/>
        <v>0</v>
      </c>
      <c r="N99" s="3349">
        <f t="shared" si="28"/>
        <v>0</v>
      </c>
      <c r="AE99" s="3306"/>
      <c r="AF99" s="3306"/>
      <c r="AG99" s="3306"/>
      <c r="AH99" s="3306"/>
      <c r="AI99" s="3306"/>
      <c r="AJ99" s="3306"/>
    </row>
    <row r="100" spans="1:36" s="1271" customFormat="1" ht="24">
      <c r="A100" s="3296" t="s">
        <v>3216</v>
      </c>
      <c r="B100" s="3312" t="str">
        <f>估价对象房地状况!C22</f>
        <v>七通</v>
      </c>
      <c r="C100" s="3319"/>
      <c r="D100" s="3320">
        <f t="shared" si="29"/>
        <v>0</v>
      </c>
      <c r="E100" s="3344"/>
      <c r="F100" s="3322"/>
      <c r="G100" s="3337"/>
      <c r="H100" s="3324" t="str">
        <f t="shared" si="30"/>
        <v>——</v>
      </c>
      <c r="I100" s="3299">
        <v>0.09</v>
      </c>
      <c r="J100" s="3349">
        <f t="shared" si="31"/>
        <v>0</v>
      </c>
      <c r="K100" s="3349">
        <f t="shared" si="27"/>
        <v>0</v>
      </c>
      <c r="L100" s="3349">
        <v>0</v>
      </c>
      <c r="M100" s="3349">
        <f t="shared" si="28"/>
        <v>0</v>
      </c>
      <c r="N100" s="3349">
        <f t="shared" si="28"/>
        <v>0</v>
      </c>
      <c r="AE100" s="3306"/>
      <c r="AF100" s="3306"/>
      <c r="AG100" s="3306"/>
      <c r="AH100" s="3306"/>
      <c r="AI100" s="3306"/>
      <c r="AJ100" s="3306"/>
    </row>
    <row r="101" spans="1:36" s="1271" customFormat="1" ht="24.75" thickBot="1">
      <c r="A101" s="3296" t="s">
        <v>3217</v>
      </c>
      <c r="B101" s="3318">
        <f>估价对象房地状况!C20</f>
        <v>0</v>
      </c>
      <c r="C101" s="3319"/>
      <c r="D101" s="3320">
        <f t="shared" si="29"/>
        <v>0</v>
      </c>
      <c r="E101" s="3344"/>
      <c r="F101" s="3322"/>
      <c r="G101" s="3337"/>
      <c r="H101" s="3324" t="str">
        <f t="shared" si="30"/>
        <v>——</v>
      </c>
      <c r="I101" s="3301">
        <v>7.0000000000000007E-2</v>
      </c>
      <c r="J101" s="3349">
        <f t="shared" si="31"/>
        <v>0</v>
      </c>
      <c r="K101" s="3349">
        <f t="shared" si="27"/>
        <v>0</v>
      </c>
      <c r="L101" s="3349">
        <v>0</v>
      </c>
      <c r="M101" s="3349">
        <f t="shared" si="28"/>
        <v>0</v>
      </c>
      <c r="N101" s="3349">
        <f t="shared" si="28"/>
        <v>0</v>
      </c>
      <c r="AE101" s="3306"/>
      <c r="AF101" s="3306"/>
      <c r="AG101" s="3306"/>
      <c r="AH101" s="3306"/>
      <c r="AI101" s="3306"/>
      <c r="AJ101" s="3306"/>
    </row>
    <row r="102" spans="1:36" s="1271"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1" customFormat="1">
      <c r="K103" s="3306"/>
      <c r="AD103" s="3306"/>
      <c r="AE103" s="3306"/>
      <c r="AF103" s="3306"/>
      <c r="AG103" s="3306"/>
      <c r="AH103" s="3306"/>
      <c r="AI103" s="3306"/>
    </row>
    <row r="104" spans="1:36">
      <c r="A104" s="3739" t="s">
        <v>1172</v>
      </c>
      <c r="B104" s="3739"/>
      <c r="C104" s="3739"/>
      <c r="D104" s="3739"/>
      <c r="E104" s="3739"/>
      <c r="F104" s="3739"/>
      <c r="G104" s="3739"/>
      <c r="H104" s="3739"/>
      <c r="I104" s="3739"/>
      <c r="J104" s="3739"/>
      <c r="K104" s="998"/>
      <c r="L104" s="998"/>
      <c r="M104" s="998"/>
      <c r="N104" s="998"/>
    </row>
    <row r="105" spans="1:36">
      <c r="A105" s="3740" t="s">
        <v>833</v>
      </c>
      <c r="B105" s="3740" t="s">
        <v>1173</v>
      </c>
      <c r="C105" s="986" t="s">
        <v>1174</v>
      </c>
      <c r="D105" s="987"/>
      <c r="E105" s="987"/>
      <c r="F105" s="987"/>
      <c r="G105" s="987"/>
      <c r="H105" s="987"/>
      <c r="I105" s="987"/>
      <c r="J105" s="988"/>
      <c r="K105" s="981"/>
      <c r="L105" s="981"/>
      <c r="M105" s="981"/>
      <c r="N105" s="981"/>
    </row>
    <row r="106" spans="1:36">
      <c r="A106" s="3740"/>
      <c r="B106" s="3740"/>
      <c r="C106" s="997" t="s">
        <v>819</v>
      </c>
      <c r="D106" s="997" t="s">
        <v>820</v>
      </c>
      <c r="E106" s="997" t="s">
        <v>821</v>
      </c>
      <c r="F106" s="997" t="s">
        <v>822</v>
      </c>
      <c r="G106" s="997" t="s">
        <v>823</v>
      </c>
      <c r="H106" s="997" t="s">
        <v>824</v>
      </c>
      <c r="I106" s="997" t="s">
        <v>825</v>
      </c>
      <c r="J106" s="997" t="s">
        <v>826</v>
      </c>
      <c r="K106" s="997" t="s">
        <v>827</v>
      </c>
      <c r="L106" s="997" t="s">
        <v>828</v>
      </c>
      <c r="M106" s="997" t="s">
        <v>829</v>
      </c>
      <c r="N106" s="997" t="s">
        <v>830</v>
      </c>
    </row>
    <row r="107" spans="1:36">
      <c r="A107" s="3729" t="s">
        <v>2043</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30"/>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30"/>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30"/>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30"/>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30"/>
      <c r="B112" s="989" t="s">
        <v>3225</v>
      </c>
      <c r="C112" s="991">
        <f>$I$3</f>
        <v>0</v>
      </c>
      <c r="D112" s="991">
        <f t="shared" ref="D112:N112" si="32">$I$3</f>
        <v>0</v>
      </c>
      <c r="E112" s="991">
        <f t="shared" si="32"/>
        <v>0</v>
      </c>
      <c r="F112" s="991">
        <f t="shared" si="32"/>
        <v>0</v>
      </c>
      <c r="G112" s="991">
        <f t="shared" si="32"/>
        <v>0</v>
      </c>
      <c r="H112" s="991">
        <f t="shared" si="32"/>
        <v>0</v>
      </c>
      <c r="I112" s="991">
        <f t="shared" si="32"/>
        <v>0</v>
      </c>
      <c r="J112" s="991">
        <f t="shared" si="32"/>
        <v>0</v>
      </c>
      <c r="K112" s="991">
        <f t="shared" si="32"/>
        <v>0</v>
      </c>
      <c r="L112" s="991">
        <f t="shared" si="32"/>
        <v>0</v>
      </c>
      <c r="M112" s="991">
        <f t="shared" si="32"/>
        <v>0</v>
      </c>
      <c r="N112" s="991">
        <f t="shared" si="32"/>
        <v>0</v>
      </c>
    </row>
    <row r="113" spans="1:14">
      <c r="A113" s="3731"/>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36" t="s">
        <v>1175</v>
      </c>
      <c r="B114" s="3736"/>
      <c r="C114" s="3736"/>
      <c r="D114" s="3736"/>
      <c r="E114" s="3736"/>
      <c r="F114" s="3736"/>
      <c r="G114" s="3736"/>
      <c r="H114" s="3736"/>
      <c r="I114" s="3736"/>
      <c r="J114" s="3736"/>
      <c r="K114" s="1965"/>
      <c r="L114" s="1965"/>
      <c r="M114" s="1965"/>
      <c r="N114" s="1965"/>
    </row>
    <row r="116" spans="1:14" ht="12.75" thickBot="1"/>
    <row r="117" spans="1:14" ht="25.5" thickBot="1">
      <c r="A117" s="924" t="s">
        <v>831</v>
      </c>
      <c r="B117" s="1966">
        <f>G3</f>
        <v>2</v>
      </c>
      <c r="C117" s="925" t="s">
        <v>832</v>
      </c>
      <c r="D117" s="926" t="e">
        <f>SUMPRODUCT((A118:A122=F116)*(B117:M117=H116)*B118:M122)</f>
        <v>#VALUE!</v>
      </c>
      <c r="E117" s="927" t="s">
        <v>833</v>
      </c>
      <c r="F117" s="928" t="str">
        <f>E2</f>
        <v>商业</v>
      </c>
      <c r="G117" s="927" t="s">
        <v>834</v>
      </c>
      <c r="H117" s="928" t="str">
        <f>G2</f>
        <v>九级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3" t="s">
        <v>3226</v>
      </c>
      <c r="B119" s="3297">
        <f>ROUND(0.9968-0.011*B117,4)</f>
        <v>0.9748</v>
      </c>
      <c r="C119" s="3297">
        <f>B119</f>
        <v>0.9748</v>
      </c>
      <c r="D119" s="3297">
        <f>ROUND(0.949-0.014*B117,4)</f>
        <v>0.92100000000000004</v>
      </c>
      <c r="E119" s="3297">
        <f>D119</f>
        <v>0.92100000000000004</v>
      </c>
      <c r="F119" s="3297">
        <f>E119</f>
        <v>0.92100000000000004</v>
      </c>
      <c r="G119" s="3297">
        <f>F119</f>
        <v>0.92100000000000004</v>
      </c>
      <c r="H119" s="3297">
        <f>G119</f>
        <v>0.92100000000000004</v>
      </c>
      <c r="I119" s="3297">
        <f>ROUND(0.8486-0.018*B117,4)</f>
        <v>0.81259999999999999</v>
      </c>
      <c r="J119" s="3297">
        <f t="shared" ref="J119:M123" si="33">I119</f>
        <v>0.81259999999999999</v>
      </c>
      <c r="K119" s="3297">
        <f t="shared" si="33"/>
        <v>0.81259999999999999</v>
      </c>
      <c r="L119" s="3297">
        <f t="shared" si="33"/>
        <v>0.81259999999999999</v>
      </c>
      <c r="M119" s="3356">
        <f t="shared" si="33"/>
        <v>0.81259999999999999</v>
      </c>
    </row>
    <row r="120" spans="1:14" ht="12.75">
      <c r="A120" s="3353" t="s">
        <v>3227</v>
      </c>
      <c r="B120" s="3297">
        <f>ROUND(0.993-0.0112*B117,4)</f>
        <v>0.97060000000000002</v>
      </c>
      <c r="C120" s="3297">
        <f>B120</f>
        <v>0.97060000000000002</v>
      </c>
      <c r="D120" s="3297">
        <f>ROUND(0.9415-0.0142*B117,4)</f>
        <v>0.91310000000000002</v>
      </c>
      <c r="E120" s="3297">
        <f t="shared" ref="E120:H121" si="34">D120</f>
        <v>0.91310000000000002</v>
      </c>
      <c r="F120" s="3297">
        <f t="shared" si="34"/>
        <v>0.91310000000000002</v>
      </c>
      <c r="G120" s="3297">
        <f t="shared" si="34"/>
        <v>0.91310000000000002</v>
      </c>
      <c r="H120" s="3297">
        <f t="shared" si="34"/>
        <v>0.91310000000000002</v>
      </c>
      <c r="I120" s="3297">
        <f>ROUND(0.838-0.0182*B117,4)</f>
        <v>0.80159999999999998</v>
      </c>
      <c r="J120" s="3297">
        <f t="shared" si="33"/>
        <v>0.80159999999999998</v>
      </c>
      <c r="K120" s="3297">
        <f t="shared" si="33"/>
        <v>0.80159999999999998</v>
      </c>
      <c r="L120" s="3297">
        <f t="shared" si="33"/>
        <v>0.80159999999999998</v>
      </c>
      <c r="M120" s="3356">
        <f t="shared" si="33"/>
        <v>0.80159999999999998</v>
      </c>
    </row>
    <row r="121" spans="1:14" ht="12.75">
      <c r="A121" s="3353" t="s">
        <v>3228</v>
      </c>
      <c r="B121" s="3297">
        <f>ROUND(0.9448-0.0115*B117,4)</f>
        <v>0.92179999999999995</v>
      </c>
      <c r="C121" s="3297">
        <f>B121</f>
        <v>0.92179999999999995</v>
      </c>
      <c r="D121" s="3297">
        <f>ROUND(0.937-0.0145*B117,4)</f>
        <v>0.90800000000000003</v>
      </c>
      <c r="E121" s="3297">
        <f t="shared" si="34"/>
        <v>0.90800000000000003</v>
      </c>
      <c r="F121" s="3297">
        <f t="shared" si="34"/>
        <v>0.90800000000000003</v>
      </c>
      <c r="G121" s="3297">
        <f t="shared" si="34"/>
        <v>0.90800000000000003</v>
      </c>
      <c r="H121" s="3297">
        <f t="shared" si="34"/>
        <v>0.90800000000000003</v>
      </c>
      <c r="I121" s="3297">
        <f>ROUND(0.7965-0.0185*B117,4)</f>
        <v>0.75949999999999995</v>
      </c>
      <c r="J121" s="3297">
        <f t="shared" si="33"/>
        <v>0.75949999999999995</v>
      </c>
      <c r="K121" s="3297">
        <f t="shared" si="33"/>
        <v>0.75949999999999995</v>
      </c>
      <c r="L121" s="3297">
        <f t="shared" si="33"/>
        <v>0.75949999999999995</v>
      </c>
      <c r="M121" s="3356">
        <f t="shared" si="33"/>
        <v>0.75949999999999995</v>
      </c>
    </row>
    <row r="122" spans="1:14" ht="13.5" thickBot="1">
      <c r="A122" s="3354" t="s">
        <v>3229</v>
      </c>
      <c r="B122" s="3357">
        <f>ROUND(0.7836-0.012*B117,4)</f>
        <v>0.75960000000000005</v>
      </c>
      <c r="C122" s="3357">
        <f>B122</f>
        <v>0.75960000000000005</v>
      </c>
      <c r="D122" s="3357">
        <f>ROUND(0.753-0.015*B117,4)</f>
        <v>0.72299999999999998</v>
      </c>
      <c r="E122" s="3357">
        <f>D122</f>
        <v>0.72299999999999998</v>
      </c>
      <c r="F122" s="3357">
        <f>E122</f>
        <v>0.72299999999999998</v>
      </c>
      <c r="G122" s="3357">
        <f>ROUND(0.6612-0.018*B117,4)</f>
        <v>0.62519999999999998</v>
      </c>
      <c r="H122" s="3357">
        <f>G122</f>
        <v>0.62519999999999998</v>
      </c>
      <c r="I122" s="3357">
        <f>ROUND(0.5905-0.019*B117,4)</f>
        <v>0.55249999999999999</v>
      </c>
      <c r="J122" s="3357">
        <f t="shared" si="33"/>
        <v>0.55249999999999999</v>
      </c>
      <c r="K122" s="3357">
        <f t="shared" si="33"/>
        <v>0.55249999999999999</v>
      </c>
      <c r="L122" s="3357">
        <f t="shared" si="33"/>
        <v>0.55249999999999999</v>
      </c>
      <c r="M122" s="3358">
        <f t="shared" si="33"/>
        <v>0.55249999999999999</v>
      </c>
    </row>
    <row r="123" spans="1:14" ht="12.75">
      <c r="A123" s="3355" t="s">
        <v>2448</v>
      </c>
      <c r="B123" s="3297">
        <f>ROUND(0.9404-0.0106*B117,4)</f>
        <v>0.91920000000000002</v>
      </c>
      <c r="C123" s="3297">
        <f>B123</f>
        <v>0.91920000000000002</v>
      </c>
      <c r="D123" s="3297">
        <f>ROUND(0.8955-0.0135*B117,4)</f>
        <v>0.86850000000000005</v>
      </c>
      <c r="E123" s="3297">
        <f t="shared" ref="E123:H123" si="35">D123</f>
        <v>0.86850000000000005</v>
      </c>
      <c r="F123" s="3297">
        <f t="shared" si="35"/>
        <v>0.86850000000000005</v>
      </c>
      <c r="G123" s="3297">
        <f t="shared" si="35"/>
        <v>0.86850000000000005</v>
      </c>
      <c r="H123" s="3297">
        <f t="shared" si="35"/>
        <v>0.86850000000000005</v>
      </c>
      <c r="I123" s="3297">
        <f>ROUND(0.7632-0.0166*B117,4)</f>
        <v>0.73</v>
      </c>
      <c r="J123" s="3297">
        <f t="shared" si="33"/>
        <v>0.73</v>
      </c>
      <c r="K123" s="3297">
        <f t="shared" si="33"/>
        <v>0.73</v>
      </c>
      <c r="L123" s="3297">
        <f t="shared" si="33"/>
        <v>0.73</v>
      </c>
      <c r="M123" s="3356">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64" priority="5" stopIfTrue="1" operator="notEqual">
      <formula>"——"</formula>
    </cfRule>
  </conditionalFormatting>
  <conditionalFormatting sqref="F61">
    <cfRule type="cellIs" dxfId="63" priority="4" stopIfTrue="1" operator="notEqual">
      <formula>"——"</formula>
    </cfRule>
  </conditionalFormatting>
  <conditionalFormatting sqref="F72">
    <cfRule type="cellIs" dxfId="62" priority="3" stopIfTrue="1" operator="notEqual">
      <formula>"——"</formula>
    </cfRule>
  </conditionalFormatting>
  <conditionalFormatting sqref="F83">
    <cfRule type="cellIs" dxfId="61" priority="2" stopIfTrue="1" operator="notEqual">
      <formula>"——"</formula>
    </cfRule>
  </conditionalFormatting>
  <conditionalFormatting sqref="H50:H58 H61:H69 H72:H80 H83:H91 H93:H102">
    <cfRule type="cellIs" dxfId="6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2" customWidth="1"/>
    <col min="2" max="2" width="26.625" style="1783" customWidth="1"/>
    <col min="3" max="3" width="11.125" style="1783" customWidth="1"/>
    <col min="4" max="5" width="11.125" style="1784" customWidth="1"/>
    <col min="6" max="6" width="9.5" style="1783" customWidth="1"/>
    <col min="7" max="7" width="31.875" style="1783" customWidth="1"/>
    <col min="8" max="25" width="9" style="1785" customWidth="1"/>
    <col min="26" max="254" width="9" style="1783" customWidth="1"/>
    <col min="255" max="16384" width="8.375" style="1783"/>
  </cols>
  <sheetData>
    <row r="1" spans="1:25" s="1669" customFormat="1" ht="20.25">
      <c r="A1" s="389" t="s">
        <v>551</v>
      </c>
      <c r="B1" s="677"/>
      <c r="C1" s="1779"/>
      <c r="D1" s="1779"/>
      <c r="E1" s="1779"/>
      <c r="F1" s="1779"/>
      <c r="G1" s="1713"/>
    </row>
    <row r="2" spans="1:25" s="1669" customFormat="1" ht="18" customHeight="1">
      <c r="A2" s="391" t="s">
        <v>427</v>
      </c>
      <c r="B2" s="393">
        <f ca="1">C23</f>
        <v>931</v>
      </c>
      <c r="C2" s="2762"/>
      <c r="D2" s="2762"/>
      <c r="E2" s="2762"/>
      <c r="F2" s="2762"/>
      <c r="G2" s="2762"/>
    </row>
    <row r="3" spans="1:25" s="1669" customFormat="1" ht="18" customHeight="1">
      <c r="A3" s="1167" t="s">
        <v>1218</v>
      </c>
      <c r="B3" s="393">
        <f ca="1">ROUND(B2*10000/'数据-汇总表'!E3,0)</f>
        <v>161</v>
      </c>
      <c r="C3" s="2762"/>
      <c r="D3" s="2762"/>
      <c r="E3" s="2762"/>
      <c r="F3" s="2762"/>
      <c r="G3" s="2762"/>
    </row>
    <row r="4" spans="1:25" s="1669" customFormat="1" ht="18" customHeight="1">
      <c r="A4" s="394" t="s">
        <v>428</v>
      </c>
      <c r="B4" s="395">
        <f ca="1">ROUND(B2*10000/'数据-汇总表'!D3,0)</f>
        <v>477</v>
      </c>
      <c r="C4" s="2722"/>
      <c r="D4" s="2762"/>
      <c r="E4" s="2762"/>
      <c r="F4" s="2762"/>
      <c r="G4" s="2762"/>
    </row>
    <row r="5" spans="1:25" s="1669" customFormat="1" ht="18" customHeight="1" thickBot="1">
      <c r="A5" s="397"/>
      <c r="B5" s="398">
        <f ca="1">ROUND(B2/('数据-汇总表'!D3/666.67),0)</f>
        <v>32</v>
      </c>
      <c r="C5" s="399" t="s">
        <v>429</v>
      </c>
      <c r="D5" s="2762"/>
      <c r="E5" s="2762"/>
      <c r="F5" s="2762"/>
      <c r="G5" s="2762"/>
    </row>
    <row r="6" spans="1:25" s="1780" customFormat="1" ht="13.5" customHeight="1">
      <c r="A6" s="678"/>
      <c r="B6" s="679" t="s">
        <v>552</v>
      </c>
      <c r="C6" s="680" t="s">
        <v>553</v>
      </c>
      <c r="D6" s="680" t="s">
        <v>554</v>
      </c>
      <c r="E6" s="681" t="s">
        <v>555</v>
      </c>
      <c r="F6" s="681" t="s">
        <v>556</v>
      </c>
      <c r="G6" s="2761" t="s">
        <v>2276</v>
      </c>
    </row>
    <row r="7" spans="1:25" s="1780" customFormat="1" ht="13.5" customHeight="1">
      <c r="A7" s="1978">
        <v>1</v>
      </c>
      <c r="B7" s="682" t="s">
        <v>557</v>
      </c>
      <c r="C7" s="683">
        <f>C8+C9</f>
        <v>0</v>
      </c>
      <c r="D7" s="683"/>
      <c r="E7" s="684"/>
      <c r="F7" s="684"/>
      <c r="G7" s="1987"/>
    </row>
    <row r="8" spans="1:25" s="1780" customFormat="1" ht="13.5" customHeight="1">
      <c r="A8" s="1978" t="s">
        <v>1784</v>
      </c>
      <c r="B8" s="1981" t="s">
        <v>1786</v>
      </c>
      <c r="C8" s="2765">
        <f>ROUND(D8*E8/10000,0)</f>
        <v>0</v>
      </c>
      <c r="D8" s="2765">
        <v>0</v>
      </c>
      <c r="E8" s="2766">
        <v>0</v>
      </c>
      <c r="F8" s="684"/>
      <c r="G8" s="685"/>
    </row>
    <row r="9" spans="1:25" s="1780" customFormat="1" ht="13.5" customHeight="1">
      <c r="A9" s="1978" t="s">
        <v>1785</v>
      </c>
      <c r="B9" s="1981" t="s">
        <v>1787</v>
      </c>
      <c r="C9" s="2765">
        <f>ROUND(D9*E9/10000,0)</f>
        <v>0</v>
      </c>
      <c r="D9" s="2765">
        <v>0</v>
      </c>
      <c r="E9" s="2766">
        <v>0</v>
      </c>
      <c r="F9" s="684"/>
      <c r="G9" s="685"/>
    </row>
    <row r="10" spans="1:25" s="1780" customFormat="1" ht="36">
      <c r="A10" s="1978">
        <v>2</v>
      </c>
      <c r="B10" s="682" t="s">
        <v>561</v>
      </c>
      <c r="C10" s="683">
        <f ca="1">C11+C14+C15</f>
        <v>1022</v>
      </c>
      <c r="D10" s="693"/>
      <c r="E10" s="683"/>
      <c r="F10" s="694"/>
      <c r="G10" s="692" t="s">
        <v>562</v>
      </c>
    </row>
    <row r="11" spans="1:25" s="1780" customFormat="1" ht="13.5" customHeight="1">
      <c r="A11" s="1978" t="s">
        <v>1784</v>
      </c>
      <c r="B11" s="686" t="s">
        <v>558</v>
      </c>
      <c r="C11" s="687">
        <f ca="1">'数据-取费表'!B29</f>
        <v>1022</v>
      </c>
      <c r="D11" s="688"/>
      <c r="E11" s="687"/>
      <c r="F11" s="689"/>
      <c r="G11" s="1986" t="s">
        <v>1795</v>
      </c>
    </row>
    <row r="12" spans="1:25" s="1780" customFormat="1" ht="13.5" customHeight="1">
      <c r="A12" s="1984" t="s">
        <v>1792</v>
      </c>
      <c r="B12" s="690" t="s">
        <v>559</v>
      </c>
      <c r="C12" s="691">
        <f>ROUND(D12*E12/10000,0)</f>
        <v>552</v>
      </c>
      <c r="D12" s="2765">
        <f>'数据-汇总表'!E5</f>
        <v>34475.879999999997</v>
      </c>
      <c r="E12" s="2765">
        <f>'数据-取费表'!B27</f>
        <v>160</v>
      </c>
      <c r="F12" s="689"/>
      <c r="G12" s="692"/>
    </row>
    <row r="13" spans="1:25" s="1780" customFormat="1" ht="13.5" customHeight="1">
      <c r="A13" s="1984" t="s">
        <v>1791</v>
      </c>
      <c r="B13" s="690" t="s">
        <v>560</v>
      </c>
      <c r="C13" s="691">
        <f>ROUND(D13*E13/10000,0)</f>
        <v>470</v>
      </c>
      <c r="D13" s="2765">
        <f>'数据-汇总表'!E6</f>
        <v>23513.629999999997</v>
      </c>
      <c r="E13" s="2765">
        <f>'数据-取费表'!B28</f>
        <v>200</v>
      </c>
      <c r="F13" s="689"/>
      <c r="G13" s="692"/>
    </row>
    <row r="14" spans="1:25" s="1780" customFormat="1" ht="13.5" customHeight="1">
      <c r="A14" s="1978" t="s">
        <v>1785</v>
      </c>
      <c r="B14" s="1983" t="s">
        <v>1788</v>
      </c>
      <c r="C14" s="2767">
        <f>ROUND(D14*E14/10000,0)</f>
        <v>0</v>
      </c>
      <c r="D14" s="2765">
        <v>0</v>
      </c>
      <c r="E14" s="2766">
        <v>0</v>
      </c>
      <c r="F14" s="1982"/>
      <c r="G14" s="1985" t="s">
        <v>1793</v>
      </c>
    </row>
    <row r="15" spans="1:25" s="1780" customFormat="1" ht="13.5" customHeight="1">
      <c r="A15" s="1978" t="s">
        <v>1790</v>
      </c>
      <c r="B15" s="1983" t="s">
        <v>1789</v>
      </c>
      <c r="C15" s="2767">
        <f>ROUND(D15*E15/10000,0)</f>
        <v>0</v>
      </c>
      <c r="D15" s="2765">
        <v>0</v>
      </c>
      <c r="E15" s="2766">
        <v>0</v>
      </c>
      <c r="F15" s="1982"/>
      <c r="G15" s="1985" t="s">
        <v>1794</v>
      </c>
    </row>
    <row r="16" spans="1:25" s="1781" customFormat="1" ht="48">
      <c r="A16" s="1978">
        <v>3</v>
      </c>
      <c r="B16" s="682" t="s">
        <v>563</v>
      </c>
      <c r="C16" s="2767">
        <f>ROUND(D16*E16/10000,0)</f>
        <v>0</v>
      </c>
      <c r="D16" s="2765">
        <v>0</v>
      </c>
      <c r="E16" s="2766">
        <v>0</v>
      </c>
      <c r="F16" s="694"/>
      <c r="G16" s="692" t="s">
        <v>1796</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5.5">
      <c r="A17" s="1979">
        <v>4</v>
      </c>
      <c r="B17" s="682" t="s">
        <v>564</v>
      </c>
      <c r="C17" s="2043">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2" t="s">
        <v>565</v>
      </c>
      <c r="C18" s="683">
        <f ca="1">ROUND((C7+C10+C16)*F18,0)</f>
        <v>0</v>
      </c>
      <c r="D18" s="695"/>
      <c r="E18" s="696"/>
      <c r="F18" s="1140"/>
      <c r="G18" s="698"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2" t="s">
        <v>567</v>
      </c>
      <c r="C19" s="683">
        <f ca="1">C7+C10+C16+C17+C18</f>
        <v>1022</v>
      </c>
      <c r="D19" s="693"/>
      <c r="E19" s="683"/>
      <c r="F19" s="694"/>
      <c r="G19" s="698"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4.75">
      <c r="A20" s="1978">
        <v>7</v>
      </c>
      <c r="B20" s="682" t="s">
        <v>569</v>
      </c>
      <c r="C20" s="683">
        <f ca="1">ROUND(C19*F20,0)</f>
        <v>0</v>
      </c>
      <c r="D20" s="693"/>
      <c r="E20" s="683"/>
      <c r="F20" s="1140"/>
      <c r="G20" s="698"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2" t="s">
        <v>571</v>
      </c>
      <c r="C21" s="683">
        <f ca="1">C19+C20</f>
        <v>1022</v>
      </c>
      <c r="D21" s="693"/>
      <c r="E21" s="683"/>
      <c r="F21" s="694"/>
      <c r="G21" s="698"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2" t="s">
        <v>573</v>
      </c>
      <c r="C22" s="683">
        <f ca="1">ROUND(C21*F22,0)</f>
        <v>931</v>
      </c>
      <c r="D22" s="693"/>
      <c r="E22" s="683"/>
      <c r="F22" s="699">
        <f>'数据-取费表'!AP16</f>
        <v>0.91100000000000003</v>
      </c>
      <c r="G22" s="698"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15" customHeight="1" thickBot="1">
      <c r="A23" s="1980">
        <v>10</v>
      </c>
      <c r="B23" s="700" t="s">
        <v>575</v>
      </c>
      <c r="C23" s="701">
        <f ca="1">C22</f>
        <v>931</v>
      </c>
      <c r="D23" s="702"/>
      <c r="E23" s="701"/>
      <c r="F23" s="703"/>
      <c r="G23" s="704"/>
      <c r="H23" s="1780"/>
      <c r="I23" s="1780"/>
      <c r="J23" s="1780"/>
      <c r="K23" s="1780"/>
      <c r="L23" s="1780"/>
      <c r="M23" s="1780"/>
      <c r="N23" s="1780"/>
      <c r="O23" s="1780"/>
      <c r="P23" s="1780"/>
      <c r="Q23" s="1780"/>
      <c r="R23" s="1780"/>
      <c r="S23" s="1780"/>
      <c r="T23" s="1780"/>
      <c r="U23" s="1780"/>
      <c r="V23" s="1780"/>
      <c r="W23" s="1780"/>
      <c r="X23" s="1780"/>
      <c r="Y23" s="1780"/>
    </row>
    <row r="24" spans="1:25" s="2764" customFormat="1">
      <c r="A24" s="2763"/>
      <c r="D24" s="1625"/>
      <c r="E24" s="1625"/>
    </row>
    <row r="25" spans="1:25" s="2764" customFormat="1">
      <c r="A25" s="2763"/>
      <c r="D25" s="1625"/>
      <c r="E25" s="1625"/>
    </row>
    <row r="26" spans="1:25" s="2764" customFormat="1">
      <c r="A26" s="2763"/>
      <c r="D26" s="1625"/>
      <c r="E26" s="1625"/>
    </row>
    <row r="27" spans="1:25" s="2764" customFormat="1">
      <c r="A27" s="2763"/>
      <c r="D27" s="1625"/>
      <c r="E27" s="1625"/>
    </row>
    <row r="28" spans="1:25" s="2764" customFormat="1">
      <c r="A28" s="2763"/>
      <c r="D28" s="1625"/>
      <c r="E28" s="1625"/>
    </row>
    <row r="29" spans="1:25" s="2764" customFormat="1">
      <c r="A29" s="2763"/>
      <c r="D29" s="1625"/>
      <c r="E29" s="1625"/>
    </row>
    <row r="30" spans="1:25" s="2764" customFormat="1">
      <c r="A30" s="2763"/>
      <c r="D30" s="1625"/>
      <c r="E30" s="1625"/>
    </row>
    <row r="31" spans="1:25" s="2764" customFormat="1">
      <c r="A31" s="2763"/>
      <c r="D31" s="1625"/>
      <c r="E31" s="1625"/>
    </row>
    <row r="32" spans="1:25" s="2764" customFormat="1">
      <c r="A32" s="2763"/>
      <c r="D32" s="1625"/>
      <c r="E32" s="1625"/>
    </row>
    <row r="33" spans="1:5" s="2764" customFormat="1">
      <c r="A33" s="2763"/>
      <c r="D33" s="1625"/>
      <c r="E33" s="1625"/>
    </row>
    <row r="34" spans="1:5" s="2764" customFormat="1">
      <c r="A34" s="2763"/>
      <c r="D34" s="1625"/>
      <c r="E34" s="1625"/>
    </row>
    <row r="35" spans="1:5" s="2764" customFormat="1">
      <c r="A35" s="2763"/>
      <c r="D35" s="1625"/>
      <c r="E35" s="1625"/>
    </row>
    <row r="36" spans="1:5" s="2764" customFormat="1">
      <c r="A36" s="2763"/>
      <c r="D36" s="1625"/>
      <c r="E36" s="1625"/>
    </row>
    <row r="37" spans="1:5" s="2764" customFormat="1">
      <c r="A37" s="2763"/>
      <c r="D37" s="1625"/>
      <c r="E37" s="1625"/>
    </row>
    <row r="38" spans="1:5" s="2764" customFormat="1">
      <c r="A38" s="2763"/>
      <c r="D38" s="1625"/>
      <c r="E38" s="1625"/>
    </row>
    <row r="39" spans="1:5" s="2764" customFormat="1">
      <c r="A39" s="2763"/>
      <c r="D39" s="1625"/>
      <c r="E39" s="1625"/>
    </row>
    <row r="40" spans="1:5" s="2764" customFormat="1">
      <c r="A40" s="2763"/>
      <c r="D40" s="1625"/>
      <c r="E40" s="1625"/>
    </row>
    <row r="41" spans="1:5" s="2764" customFormat="1">
      <c r="A41" s="2763"/>
      <c r="D41" s="1625"/>
      <c r="E41" s="1625"/>
    </row>
    <row r="42" spans="1:5" s="2764" customFormat="1">
      <c r="A42" s="2763"/>
      <c r="D42" s="1625"/>
      <c r="E42" s="1625"/>
    </row>
    <row r="43" spans="1:5" s="2764" customFormat="1">
      <c r="A43" s="2763"/>
      <c r="D43" s="1625"/>
      <c r="E43" s="1625"/>
    </row>
    <row r="44" spans="1:5" s="2764" customFormat="1">
      <c r="A44" s="2763"/>
      <c r="D44" s="1625"/>
      <c r="E44" s="1625"/>
    </row>
    <row r="45" spans="1:5" s="2764" customFormat="1">
      <c r="A45" s="2763"/>
      <c r="D45" s="1625"/>
      <c r="E45" s="1625"/>
    </row>
    <row r="46" spans="1:5" s="2764" customFormat="1">
      <c r="A46" s="2763"/>
      <c r="D46" s="1625"/>
      <c r="E46" s="1625"/>
    </row>
    <row r="47" spans="1:5" s="2764" customFormat="1">
      <c r="A47" s="2763"/>
      <c r="D47" s="1625"/>
      <c r="E47" s="1625"/>
    </row>
    <row r="48" spans="1:5" s="2764" customFormat="1">
      <c r="A48" s="2763"/>
      <c r="D48" s="1625"/>
      <c r="E48" s="1625"/>
    </row>
    <row r="49" spans="1:5" s="2764" customFormat="1">
      <c r="A49" s="2763"/>
      <c r="D49" s="1625"/>
      <c r="E49" s="1625"/>
    </row>
    <row r="50" spans="1:5" s="2764" customFormat="1">
      <c r="A50" s="2763"/>
      <c r="D50" s="1625"/>
      <c r="E50" s="1625"/>
    </row>
    <row r="51" spans="1:5" s="2764" customFormat="1">
      <c r="A51" s="2763"/>
      <c r="D51" s="1625"/>
      <c r="E51" s="1625"/>
    </row>
    <row r="52" spans="1:5" s="2764" customFormat="1">
      <c r="A52" s="2763"/>
      <c r="D52" s="1625"/>
      <c r="E52" s="1625"/>
    </row>
    <row r="53" spans="1:5" s="2764" customFormat="1">
      <c r="A53" s="2763"/>
      <c r="D53" s="1625"/>
      <c r="E53" s="1625"/>
    </row>
    <row r="54" spans="1:5" s="2764" customFormat="1">
      <c r="A54" s="2763"/>
      <c r="D54" s="1625"/>
      <c r="E54" s="1625"/>
    </row>
    <row r="55" spans="1:5" s="2764" customFormat="1">
      <c r="A55" s="2763"/>
      <c r="D55" s="1625"/>
      <c r="E55" s="1625"/>
    </row>
    <row r="56" spans="1:5" s="2764" customFormat="1">
      <c r="A56" s="2763"/>
      <c r="D56" s="1625"/>
      <c r="E56" s="1625"/>
    </row>
    <row r="57" spans="1:5" s="2764" customFormat="1">
      <c r="A57" s="2763"/>
      <c r="D57" s="1625"/>
      <c r="E57" s="1625"/>
    </row>
    <row r="58" spans="1:5" s="2764" customFormat="1">
      <c r="A58" s="2763"/>
      <c r="D58" s="1625"/>
      <c r="E58" s="1625"/>
    </row>
    <row r="59" spans="1:5" s="2764" customFormat="1">
      <c r="A59" s="2763"/>
      <c r="D59" s="1625"/>
      <c r="E59" s="1625"/>
    </row>
    <row r="60" spans="1:5" s="2764" customFormat="1">
      <c r="A60" s="2763"/>
      <c r="D60" s="1625"/>
      <c r="E60" s="1625"/>
    </row>
    <row r="61" spans="1:5" s="2764" customFormat="1">
      <c r="A61" s="2763"/>
      <c r="D61" s="1625"/>
      <c r="E61" s="1625"/>
    </row>
    <row r="62" spans="1:5" s="2764" customFormat="1">
      <c r="A62" s="2763"/>
      <c r="D62" s="1625"/>
      <c r="E62" s="1625"/>
    </row>
    <row r="63" spans="1:5" s="2764" customFormat="1">
      <c r="A63" s="2763"/>
      <c r="D63" s="1625"/>
      <c r="E63" s="16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452" t="s">
        <v>697</v>
      </c>
      <c r="C1" s="453" t="s">
        <v>667</v>
      </c>
      <c r="D1" s="1930"/>
      <c r="E1" s="455"/>
      <c r="F1" s="2115"/>
      <c r="G1" s="1325" t="s">
        <v>668</v>
      </c>
      <c r="H1" s="455"/>
      <c r="I1" s="455"/>
      <c r="J1" s="455"/>
      <c r="K1" s="456"/>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468</v>
      </c>
      <c r="B3" s="459" t="e">
        <f>C49</f>
        <v>#DIV/0!</v>
      </c>
      <c r="C3" s="784" t="s">
        <v>669</v>
      </c>
      <c r="D3" s="783">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5">
      <c r="A4" s="461" t="s">
        <v>470</v>
      </c>
      <c r="B4" s="462"/>
      <c r="C4" s="3648" t="s">
        <v>471</v>
      </c>
      <c r="D4" s="3649"/>
      <c r="E4" s="3688" t="s">
        <v>472</v>
      </c>
      <c r="F4" s="3689"/>
      <c r="G4" s="3648" t="s">
        <v>473</v>
      </c>
      <c r="H4" s="3649"/>
      <c r="I4" s="3648" t="s">
        <v>474</v>
      </c>
      <c r="J4" s="3649"/>
      <c r="K4" s="463" t="s">
        <v>475</v>
      </c>
      <c r="L4" s="1738"/>
      <c r="M4" s="1739"/>
      <c r="N4" s="1739"/>
      <c r="O4" s="1739"/>
      <c r="P4" s="3650" t="s">
        <v>476</v>
      </c>
      <c r="Q4" s="3651"/>
      <c r="R4" s="3656" t="s">
        <v>472</v>
      </c>
      <c r="S4" s="3657"/>
      <c r="T4" s="3656" t="s">
        <v>473</v>
      </c>
      <c r="U4" s="3657"/>
      <c r="V4" s="3643" t="s">
        <v>474</v>
      </c>
      <c r="W4" s="3643"/>
      <c r="X4" s="1299"/>
      <c r="Y4" s="3656" t="s">
        <v>476</v>
      </c>
      <c r="Z4" s="3657"/>
      <c r="AA4" s="3645" t="s">
        <v>472</v>
      </c>
      <c r="AB4" s="3643" t="s">
        <v>473</v>
      </c>
      <c r="AC4" s="3645" t="s">
        <v>474</v>
      </c>
    </row>
    <row r="5" spans="1:29" ht="15">
      <c r="A5" s="464"/>
      <c r="B5" s="465"/>
      <c r="C5" s="3664" t="s">
        <v>2185</v>
      </c>
      <c r="D5" s="3665"/>
      <c r="E5" s="3690" t="s">
        <v>2186</v>
      </c>
      <c r="F5" s="3691"/>
      <c r="G5" s="3664" t="s">
        <v>2187</v>
      </c>
      <c r="H5" s="3665"/>
      <c r="I5" s="3664" t="s">
        <v>2188</v>
      </c>
      <c r="J5" s="3665"/>
      <c r="K5" s="463"/>
      <c r="L5" s="1738"/>
      <c r="M5" s="1739"/>
      <c r="N5" s="1739"/>
      <c r="O5" s="1739"/>
      <c r="P5" s="3652"/>
      <c r="Q5" s="3653"/>
      <c r="R5" s="3658"/>
      <c r="S5" s="3659"/>
      <c r="T5" s="3658"/>
      <c r="U5" s="3659"/>
      <c r="V5" s="3643"/>
      <c r="W5" s="3643"/>
      <c r="X5" s="1299"/>
      <c r="Y5" s="3658"/>
      <c r="Z5" s="3659"/>
      <c r="AA5" s="3646"/>
      <c r="AB5" s="3643"/>
      <c r="AC5" s="3646"/>
    </row>
    <row r="6" spans="1:29" ht="15.75" thickBot="1">
      <c r="A6" s="466"/>
      <c r="B6" s="467"/>
      <c r="C6" s="3662" t="s">
        <v>2189</v>
      </c>
      <c r="D6" s="3663"/>
      <c r="E6" s="3686" t="s">
        <v>2189</v>
      </c>
      <c r="F6" s="3687"/>
      <c r="G6" s="3662" t="s">
        <v>2189</v>
      </c>
      <c r="H6" s="3663"/>
      <c r="I6" s="3662" t="s">
        <v>2189</v>
      </c>
      <c r="J6" s="3663"/>
      <c r="K6" s="463" t="s">
        <v>477</v>
      </c>
      <c r="L6" s="1738"/>
      <c r="M6" s="1739"/>
      <c r="N6" s="1739"/>
      <c r="O6" s="1739"/>
      <c r="P6" s="3654"/>
      <c r="Q6" s="3655"/>
      <c r="R6" s="3658"/>
      <c r="S6" s="3659"/>
      <c r="T6" s="3660"/>
      <c r="U6" s="3661"/>
      <c r="V6" s="3643"/>
      <c r="W6" s="3643"/>
      <c r="X6" s="1299"/>
      <c r="Y6" s="3660"/>
      <c r="Z6" s="3661"/>
      <c r="AA6" s="3647"/>
      <c r="AB6" s="3643"/>
      <c r="AC6" s="3647"/>
    </row>
    <row r="7" spans="1:29" s="1057" customFormat="1" ht="15.75" thickBot="1">
      <c r="A7" s="2205"/>
      <c r="B7" s="2212" t="s">
        <v>478</v>
      </c>
      <c r="C7" s="468">
        <f>'数据-取费表'!B2</f>
        <v>45617</v>
      </c>
      <c r="D7" s="469">
        <v>100</v>
      </c>
      <c r="E7" s="470"/>
      <c r="F7" s="471">
        <f>SUMIF(58:58,YEAR(E7)&amp;"-"&amp;MONTH(E7),59:59)</f>
        <v>0</v>
      </c>
      <c r="G7" s="470"/>
      <c r="H7" s="469">
        <f>SUMIF(58:58,YEAR(G7)&amp;"-"&amp;MONTH(G7),59:59)</f>
        <v>0</v>
      </c>
      <c r="I7" s="470"/>
      <c r="J7" s="469">
        <f>SUMIF(58:58,YEAR(I7)&amp;"-"&amp;MONTH(I7),59:59)</f>
        <v>0</v>
      </c>
      <c r="K7" s="88"/>
      <c r="L7" s="1740"/>
      <c r="M7" s="1637"/>
      <c r="N7" s="1637"/>
      <c r="O7" s="1637"/>
      <c r="P7" s="3673" t="s">
        <v>479</v>
      </c>
      <c r="Q7" s="3675"/>
      <c r="R7" s="1300" t="s">
        <v>5</v>
      </c>
      <c r="S7" s="1301">
        <f t="shared" ref="S7:S15" si="0">F7</f>
        <v>0</v>
      </c>
      <c r="T7" s="1300" t="s">
        <v>5</v>
      </c>
      <c r="U7" s="1301">
        <f t="shared" ref="U7:U15" si="1">H7</f>
        <v>0</v>
      </c>
      <c r="V7" s="1300" t="s">
        <v>5</v>
      </c>
      <c r="W7" s="1301">
        <f t="shared" ref="W7:W15" si="2">J7</f>
        <v>0</v>
      </c>
      <c r="X7" s="1302"/>
      <c r="Y7" s="3673" t="s">
        <v>479</v>
      </c>
      <c r="Z7" s="3674"/>
      <c r="AA7" s="994" t="e">
        <f>D7/F7</f>
        <v>#DIV/0!</v>
      </c>
      <c r="AB7" s="994" t="e">
        <f>D7/H7</f>
        <v>#DIV/0!</v>
      </c>
      <c r="AC7" s="994" t="e">
        <f>D7/J7</f>
        <v>#DIV/0!</v>
      </c>
    </row>
    <row r="8" spans="1:29" s="1057" customFormat="1" ht="15.75" thickBot="1">
      <c r="A8" s="2206"/>
      <c r="B8" s="2213" t="s">
        <v>480</v>
      </c>
      <c r="C8" s="473" t="s">
        <v>524</v>
      </c>
      <c r="D8" s="469">
        <v>100</v>
      </c>
      <c r="E8" s="473"/>
      <c r="F8" s="471">
        <f>SUMIF(61:61,E8,62:62)-SUMIF(61:61,C8,62:62)+100</f>
        <v>0</v>
      </c>
      <c r="G8" s="473"/>
      <c r="H8" s="469">
        <f>SUMIF(61:61,G8,62:62)-SUMIF(61:61,C8,62:62)+100</f>
        <v>0</v>
      </c>
      <c r="I8" s="473"/>
      <c r="J8" s="469">
        <f>SUMIF(61:61,I8,62:62)-SUMIF(61:61,C8,62:62)+100</f>
        <v>0</v>
      </c>
      <c r="K8" s="88"/>
      <c r="L8" s="1740"/>
      <c r="M8" s="1637"/>
      <c r="N8" s="1637"/>
      <c r="O8" s="1637"/>
      <c r="P8" s="3673" t="s">
        <v>482</v>
      </c>
      <c r="Q8" s="3674"/>
      <c r="R8" s="1300" t="s">
        <v>5</v>
      </c>
      <c r="S8" s="1301">
        <f t="shared" si="0"/>
        <v>0</v>
      </c>
      <c r="T8" s="1300" t="s">
        <v>5</v>
      </c>
      <c r="U8" s="1301">
        <f t="shared" si="1"/>
        <v>0</v>
      </c>
      <c r="V8" s="1300" t="s">
        <v>5</v>
      </c>
      <c r="W8" s="1301">
        <f t="shared" si="2"/>
        <v>0</v>
      </c>
      <c r="X8" s="1302"/>
      <c r="Y8" s="3673" t="s">
        <v>482</v>
      </c>
      <c r="Z8" s="3674"/>
      <c r="AA8" s="994" t="e">
        <f t="shared" ref="AA8:AA46" si="3">D8/F8</f>
        <v>#DIV/0!</v>
      </c>
      <c r="AB8" s="994" t="e">
        <f t="shared" ref="AB8:AB46" si="4">D8/H8</f>
        <v>#DIV/0!</v>
      </c>
      <c r="AC8" s="994" t="e">
        <f t="shared" ref="AC8:AC46" si="5">D8/J8</f>
        <v>#DIV/0!</v>
      </c>
    </row>
    <row r="9" spans="1:29" s="1057" customFormat="1" ht="15">
      <c r="A9" s="2207"/>
      <c r="B9" s="2214" t="s">
        <v>2036</v>
      </c>
      <c r="C9" s="789"/>
      <c r="D9" s="154">
        <v>100</v>
      </c>
      <c r="E9" s="791"/>
      <c r="F9" s="154">
        <f>SUMIF(63:63,E9,64:64)-SUMIF(63:63,C9,64:64)+100</f>
        <v>100</v>
      </c>
      <c r="G9" s="790"/>
      <c r="H9" s="154">
        <f>SUMIF(63:63,G9,64:64)-SUMIF(63:63,C9,64:64)+100</f>
        <v>100</v>
      </c>
      <c r="I9" s="790"/>
      <c r="J9" s="154">
        <f>SUMIF(63:63,I9,64:64)-SUMIF(63:63,C9,64:64)+100</f>
        <v>100</v>
      </c>
      <c r="K9" s="88"/>
      <c r="L9" s="1740"/>
      <c r="M9" s="1637"/>
      <c r="N9" s="1637"/>
      <c r="O9" s="1741"/>
      <c r="P9" s="3642" t="s">
        <v>484</v>
      </c>
      <c r="Q9" s="815" t="str">
        <f t="shared" ref="Q9:Q15" si="6">B9</f>
        <v>用途</v>
      </c>
      <c r="R9" s="1300" t="s">
        <v>5</v>
      </c>
      <c r="S9" s="1301">
        <f t="shared" si="0"/>
        <v>100</v>
      </c>
      <c r="T9" s="1300" t="s">
        <v>5</v>
      </c>
      <c r="U9" s="1301">
        <f t="shared" si="1"/>
        <v>100</v>
      </c>
      <c r="V9" s="1300" t="s">
        <v>5</v>
      </c>
      <c r="W9" s="1301">
        <f t="shared" si="2"/>
        <v>100</v>
      </c>
      <c r="X9" s="1302"/>
      <c r="Y9" s="3590" t="s">
        <v>485</v>
      </c>
      <c r="Z9" s="994" t="str">
        <f t="shared" ref="Z9:Z15" si="7">Q9</f>
        <v>用途</v>
      </c>
      <c r="AA9" s="994">
        <f t="shared" si="3"/>
        <v>1</v>
      </c>
      <c r="AB9" s="994">
        <f t="shared" si="4"/>
        <v>1</v>
      </c>
      <c r="AC9" s="994">
        <f t="shared" si="5"/>
        <v>1</v>
      </c>
    </row>
    <row r="10" spans="1:29" s="1130" customFormat="1" ht="27">
      <c r="A10" s="2208"/>
      <c r="B10" s="2213" t="s">
        <v>2037</v>
      </c>
      <c r="C10" s="3380"/>
      <c r="D10" s="233">
        <v>100</v>
      </c>
      <c r="E10" s="3380"/>
      <c r="F10" s="233">
        <f>SUMIF(65:65,E10,66:66)-SUMIF(65:65,C10,66:66)+100</f>
        <v>100</v>
      </c>
      <c r="G10" s="3381"/>
      <c r="H10" s="233">
        <f>SUMIF(65:65,G10,66:66)-SUMIF(65:65,C10,66:66)+100</f>
        <v>100</v>
      </c>
      <c r="I10" s="3380"/>
      <c r="J10" s="233">
        <f>SUMIF(65:65,I10,66:66)-SUMIF(65:65,C10,66:66)+100</f>
        <v>100</v>
      </c>
      <c r="K10" s="88"/>
      <c r="L10" s="1742"/>
      <c r="M10" s="1775"/>
      <c r="N10" s="1775"/>
      <c r="O10" s="1743"/>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
      <c r="A11" s="2209"/>
      <c r="B11" s="2213" t="s">
        <v>2038</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4"/>
      <c r="M11" s="1739"/>
      <c r="N11" s="1739"/>
      <c r="O11" s="1745"/>
      <c r="P11" s="3642"/>
      <c r="Q11" s="815" t="str">
        <f t="shared" si="6"/>
        <v>容积率</v>
      </c>
      <c r="R11" s="1300" t="s">
        <v>5</v>
      </c>
      <c r="S11" s="1301" t="e">
        <f t="shared" si="0"/>
        <v>#N/A</v>
      </c>
      <c r="T11" s="1300" t="s">
        <v>5</v>
      </c>
      <c r="U11" s="1301" t="e">
        <f t="shared" si="1"/>
        <v>#N/A</v>
      </c>
      <c r="V11" s="1300" t="s">
        <v>5</v>
      </c>
      <c r="W11" s="1301" t="e">
        <f t="shared" si="2"/>
        <v>#N/A</v>
      </c>
      <c r="X11" s="1302"/>
      <c r="Y11" s="3590"/>
      <c r="Z11" s="994" t="str">
        <f t="shared" si="7"/>
        <v>容积率</v>
      </c>
      <c r="AA11" s="994" t="e">
        <f t="shared" si="3"/>
        <v>#N/A</v>
      </c>
      <c r="AB11" s="994" t="e">
        <f t="shared" si="4"/>
        <v>#N/A</v>
      </c>
      <c r="AC11" s="994" t="e">
        <f t="shared" si="5"/>
        <v>#N/A</v>
      </c>
    </row>
    <row r="12" spans="1:29" s="1057" customFormat="1" ht="15">
      <c r="A12" s="2210"/>
      <c r="B12" s="2216">
        <v>111</v>
      </c>
      <c r="C12" s="476"/>
      <c r="D12" s="486">
        <v>100</v>
      </c>
      <c r="E12" s="487"/>
      <c r="F12" s="233">
        <f>SUMIF(70:70,E12,71:71)-SUMIF(70:70,C12,71:71)+100</f>
        <v>100</v>
      </c>
      <c r="G12" s="832"/>
      <c r="H12" s="233">
        <f>SUMIF(70:70,G12,71:71)-SUMIF(70:70,C12,71:71)+100</f>
        <v>100</v>
      </c>
      <c r="I12" s="487"/>
      <c r="J12" s="233">
        <f>SUMIF(70:70,I12,71:71)-SUMIF(70:70,C12,71:71)+100</f>
        <v>100</v>
      </c>
      <c r="K12" s="529"/>
      <c r="L12" s="1740"/>
      <c r="M12" s="1637"/>
      <c r="N12" s="1637"/>
      <c r="O12" s="1741"/>
      <c r="P12" s="3642"/>
      <c r="Q12" s="815">
        <f t="shared" si="6"/>
        <v>111</v>
      </c>
      <c r="R12" s="1300" t="s">
        <v>5</v>
      </c>
      <c r="S12" s="1301">
        <f t="shared" si="0"/>
        <v>100</v>
      </c>
      <c r="T12" s="1300" t="s">
        <v>5</v>
      </c>
      <c r="U12" s="1301">
        <f t="shared" si="1"/>
        <v>100</v>
      </c>
      <c r="V12" s="1300" t="s">
        <v>5</v>
      </c>
      <c r="W12" s="1301">
        <f t="shared" si="2"/>
        <v>100</v>
      </c>
      <c r="X12" s="1302"/>
      <c r="Y12" s="3590"/>
      <c r="Z12" s="994">
        <f t="shared" si="7"/>
        <v>111</v>
      </c>
      <c r="AA12" s="994">
        <f>D12/F12</f>
        <v>1</v>
      </c>
      <c r="AB12" s="994">
        <f>D12/H12</f>
        <v>1</v>
      </c>
      <c r="AC12" s="994">
        <f>D12/J12</f>
        <v>1</v>
      </c>
    </row>
    <row r="13" spans="1:29" ht="15">
      <c r="A13" s="2210"/>
      <c r="B13" s="2216">
        <v>111</v>
      </c>
      <c r="C13" s="487"/>
      <c r="D13" s="488">
        <v>100</v>
      </c>
      <c r="E13" s="487"/>
      <c r="F13" s="233">
        <f>SUMIF(72:72,E13,73:73)-SUMIF(72:72,C13,73:73)+100</f>
        <v>100</v>
      </c>
      <c r="G13" s="832"/>
      <c r="H13" s="488">
        <f>SUMIF(72:72,G13,73:73)-SUMIF(72:72,C13,73:73)+100</f>
        <v>100</v>
      </c>
      <c r="I13" s="487"/>
      <c r="J13" s="488">
        <f>SUMIF(72:72,I13,73:73)-SUMIF(72:72,C13,73:73)+100</f>
        <v>100</v>
      </c>
      <c r="K13" s="529"/>
      <c r="L13" s="1746"/>
      <c r="M13" s="1739"/>
      <c r="N13" s="1739"/>
      <c r="O13" s="1745"/>
      <c r="P13" s="3642"/>
      <c r="Q13" s="815">
        <f t="shared" si="6"/>
        <v>111</v>
      </c>
      <c r="R13" s="1300" t="s">
        <v>5</v>
      </c>
      <c r="S13" s="1301">
        <f t="shared" si="0"/>
        <v>100</v>
      </c>
      <c r="T13" s="1300" t="s">
        <v>5</v>
      </c>
      <c r="U13" s="1301">
        <f t="shared" si="1"/>
        <v>100</v>
      </c>
      <c r="V13" s="1300" t="s">
        <v>5</v>
      </c>
      <c r="W13" s="1301">
        <f t="shared" si="2"/>
        <v>100</v>
      </c>
      <c r="X13" s="1302"/>
      <c r="Y13" s="3590"/>
      <c r="Z13" s="994">
        <f t="shared" si="7"/>
        <v>111</v>
      </c>
      <c r="AA13" s="994">
        <f t="shared" si="3"/>
        <v>1</v>
      </c>
      <c r="AB13" s="994">
        <f t="shared" si="4"/>
        <v>1</v>
      </c>
      <c r="AC13" s="994">
        <f t="shared" si="5"/>
        <v>1</v>
      </c>
    </row>
    <row r="14" spans="1:29" ht="15.75" thickBot="1">
      <c r="A14" s="2211"/>
      <c r="B14" s="2217">
        <v>111</v>
      </c>
      <c r="C14" s="493"/>
      <c r="D14" s="494">
        <v>100</v>
      </c>
      <c r="E14" s="493"/>
      <c r="F14" s="494">
        <f>SUMIF(74:74,E14,75:75)-SUMIF(74:74,C14,75:75)+100</f>
        <v>100</v>
      </c>
      <c r="G14" s="832"/>
      <c r="H14" s="494">
        <f>SUMIF(74:74,G14,75:75)-SUMIF(74:74,C14,75:75)+100</f>
        <v>100</v>
      </c>
      <c r="I14" s="487"/>
      <c r="J14" s="494">
        <f>SUMIF(74:74,I14,75:75)-SUMIF(74:74,C14,75:75)+100</f>
        <v>100</v>
      </c>
      <c r="K14" s="529"/>
      <c r="L14" s="1746"/>
      <c r="M14" s="1739"/>
      <c r="N14" s="1739"/>
      <c r="O14" s="1745"/>
      <c r="P14" s="3642"/>
      <c r="Q14" s="815">
        <f t="shared" si="6"/>
        <v>111</v>
      </c>
      <c r="R14" s="1300" t="s">
        <v>5</v>
      </c>
      <c r="S14" s="1301">
        <f t="shared" si="0"/>
        <v>100</v>
      </c>
      <c r="T14" s="1300" t="s">
        <v>5</v>
      </c>
      <c r="U14" s="1301">
        <f t="shared" si="1"/>
        <v>100</v>
      </c>
      <c r="V14" s="1300" t="s">
        <v>5</v>
      </c>
      <c r="W14" s="1301">
        <f t="shared" si="2"/>
        <v>100</v>
      </c>
      <c r="X14" s="1302"/>
      <c r="Y14" s="3590"/>
      <c r="Z14" s="994">
        <f t="shared" si="7"/>
        <v>111</v>
      </c>
      <c r="AA14" s="994">
        <f t="shared" si="3"/>
        <v>1</v>
      </c>
      <c r="AB14" s="994">
        <f t="shared" si="4"/>
        <v>1</v>
      </c>
      <c r="AC14" s="994">
        <f t="shared" si="5"/>
        <v>1</v>
      </c>
    </row>
    <row r="15" spans="1:29" ht="15">
      <c r="A15" s="2203" t="s">
        <v>2034</v>
      </c>
      <c r="B15" s="150" t="s">
        <v>490</v>
      </c>
      <c r="C15" s="795">
        <f>估价对象房地状况!C4</f>
        <v>0</v>
      </c>
      <c r="D15" s="497">
        <v>100</v>
      </c>
      <c r="E15" s="498"/>
      <c r="F15" s="499">
        <f>SUMIF(76:76,E16,77:77)-SUMIF(76:76,C16,77:77)+100</f>
        <v>100</v>
      </c>
      <c r="G15" s="500"/>
      <c r="H15" s="497">
        <f>SUMIF(76:76,G16,77:77)-SUMIF(76:76,C16,77:77)+100</f>
        <v>100</v>
      </c>
      <c r="I15" s="498"/>
      <c r="J15" s="497">
        <f>SUMIF(76:76,I16,77:77)-SUMIF(76:76,C16,77:77)+100</f>
        <v>100</v>
      </c>
      <c r="K15" s="819"/>
      <c r="L15" s="1746"/>
      <c r="M15" s="1739"/>
      <c r="N15" s="1739"/>
      <c r="O15" s="1745"/>
      <c r="P15" s="3676" t="s">
        <v>489</v>
      </c>
      <c r="Q15" s="1303" t="str">
        <f t="shared" si="6"/>
        <v>商业繁华度</v>
      </c>
      <c r="R15" s="1304" t="s">
        <v>5</v>
      </c>
      <c r="S15" s="1305">
        <f t="shared" si="0"/>
        <v>100</v>
      </c>
      <c r="T15" s="1304" t="s">
        <v>5</v>
      </c>
      <c r="U15" s="1305">
        <f t="shared" si="1"/>
        <v>100</v>
      </c>
      <c r="V15" s="1304" t="s">
        <v>5</v>
      </c>
      <c r="W15" s="1305">
        <f t="shared" si="2"/>
        <v>100</v>
      </c>
      <c r="X15" s="1299"/>
      <c r="Y15" s="3676" t="s">
        <v>489</v>
      </c>
      <c r="Z15" s="1306" t="str">
        <f t="shared" si="7"/>
        <v>商业繁华度</v>
      </c>
      <c r="AA15" s="1306">
        <f t="shared" si="3"/>
        <v>1</v>
      </c>
      <c r="AB15" s="1306">
        <f t="shared" si="4"/>
        <v>1</v>
      </c>
      <c r="AC15" s="1306">
        <f t="shared" si="5"/>
        <v>1</v>
      </c>
    </row>
    <row r="16" spans="1:29" ht="15">
      <c r="A16" s="480"/>
      <c r="B16" s="797"/>
      <c r="C16" s="524"/>
      <c r="D16" s="503"/>
      <c r="E16" s="524"/>
      <c r="F16" s="505"/>
      <c r="G16" s="524"/>
      <c r="H16" s="507"/>
      <c r="I16" s="524"/>
      <c r="J16" s="503"/>
      <c r="K16" s="820"/>
      <c r="L16" s="1746"/>
      <c r="M16" s="1739"/>
      <c r="N16" s="1739"/>
      <c r="O16" s="1745"/>
      <c r="P16" s="3677"/>
      <c r="Q16" s="1303"/>
      <c r="R16" s="1304"/>
      <c r="S16" s="1305"/>
      <c r="T16" s="1304"/>
      <c r="U16" s="1305"/>
      <c r="V16" s="1304"/>
      <c r="W16" s="1305"/>
      <c r="X16" s="1299"/>
      <c r="Y16" s="3677"/>
      <c r="Z16" s="1306"/>
      <c r="AA16" s="1306">
        <v>1</v>
      </c>
      <c r="AB16" s="1306">
        <v>1</v>
      </c>
      <c r="AC16" s="1306">
        <v>1</v>
      </c>
    </row>
    <row r="17" spans="1:29" ht="15">
      <c r="A17" s="480"/>
      <c r="B17" s="675" t="s">
        <v>262</v>
      </c>
      <c r="C17" s="799">
        <f>估价对象房地状况!C6</f>
        <v>0</v>
      </c>
      <c r="D17" s="507">
        <v>100</v>
      </c>
      <c r="E17" s="510"/>
      <c r="F17" s="511">
        <f>SUMIF(78:78,E18,79:79)-SUMIF(78:78,C18,79:79)+100</f>
        <v>100</v>
      </c>
      <c r="G17" s="512"/>
      <c r="H17" s="513">
        <f>SUMIF(78:78,G18,79:79)-SUMIF(78:78,C18,79:79)+100</f>
        <v>100</v>
      </c>
      <c r="I17" s="510"/>
      <c r="J17" s="513">
        <f>SUMIF(78:78,I18,79:79)-SUMIF(78:78,C18,79:79)+100</f>
        <v>100</v>
      </c>
      <c r="K17" s="819"/>
      <c r="L17" s="1746"/>
      <c r="M17" s="1739"/>
      <c r="N17" s="1739"/>
      <c r="O17" s="1745"/>
      <c r="P17" s="3677"/>
      <c r="Q17" s="1303" t="str">
        <f>B17</f>
        <v>交通便捷度</v>
      </c>
      <c r="R17" s="1304" t="s">
        <v>5</v>
      </c>
      <c r="S17" s="1305">
        <f>F17</f>
        <v>100</v>
      </c>
      <c r="T17" s="1304" t="s">
        <v>5</v>
      </c>
      <c r="U17" s="1305">
        <f>H17</f>
        <v>100</v>
      </c>
      <c r="V17" s="1304" t="s">
        <v>5</v>
      </c>
      <c r="W17" s="1305">
        <f>J17</f>
        <v>100</v>
      </c>
      <c r="X17" s="1299"/>
      <c r="Y17" s="3677"/>
      <c r="Z17" s="1306" t="str">
        <f>Q17</f>
        <v>交通便捷度</v>
      </c>
      <c r="AA17" s="1306">
        <f t="shared" si="3"/>
        <v>1</v>
      </c>
      <c r="AB17" s="1306">
        <f t="shared" si="4"/>
        <v>1</v>
      </c>
      <c r="AC17" s="1306">
        <f t="shared" si="5"/>
        <v>1</v>
      </c>
    </row>
    <row r="18" spans="1:29" ht="15">
      <c r="A18" s="480"/>
      <c r="B18" s="542"/>
      <c r="C18" s="800"/>
      <c r="D18" s="507"/>
      <c r="E18" s="516"/>
      <c r="F18" s="511"/>
      <c r="G18" s="517"/>
      <c r="H18" s="503"/>
      <c r="I18" s="516"/>
      <c r="J18" s="503"/>
      <c r="K18" s="820"/>
      <c r="L18" s="1746"/>
      <c r="M18" s="1739"/>
      <c r="N18" s="1739"/>
      <c r="O18" s="1745"/>
      <c r="P18" s="3677"/>
      <c r="Q18" s="1303"/>
      <c r="R18" s="1304"/>
      <c r="S18" s="1305"/>
      <c r="T18" s="1304"/>
      <c r="U18" s="1305"/>
      <c r="V18" s="1304"/>
      <c r="W18" s="1305"/>
      <c r="X18" s="1299"/>
      <c r="Y18" s="3677"/>
      <c r="Z18" s="1306"/>
      <c r="AA18" s="1306">
        <v>1</v>
      </c>
      <c r="AB18" s="1306">
        <v>1</v>
      </c>
      <c r="AC18" s="1306">
        <v>1</v>
      </c>
    </row>
    <row r="19" spans="1:29" ht="15">
      <c r="A19" s="480"/>
      <c r="B19" s="2056" t="s">
        <v>1827</v>
      </c>
      <c r="C19" s="799">
        <f>估价对象房地状况!C7</f>
        <v>0</v>
      </c>
      <c r="D19" s="513">
        <v>100</v>
      </c>
      <c r="E19" s="518"/>
      <c r="F19" s="519">
        <f>SUMIF(80:80,E20,81:81)-SUMIF(80:80,C20,81:81)+100</f>
        <v>100</v>
      </c>
      <c r="G19" s="520"/>
      <c r="H19" s="507">
        <f>SUMIF(80:80,G20,81:81)-SUMIF(80:80,C20,81:81)+100</f>
        <v>100</v>
      </c>
      <c r="I19" s="518"/>
      <c r="J19" s="507">
        <f>SUMIF(80:80,I20,81:81)-SUMIF(80:80,C20,81:81)+100</f>
        <v>100</v>
      </c>
      <c r="K19" s="819"/>
      <c r="L19" s="1746"/>
      <c r="M19" s="1739"/>
      <c r="N19" s="1739"/>
      <c r="O19" s="1745"/>
      <c r="P19" s="3677"/>
      <c r="Q19" s="1303" t="str">
        <f>B19</f>
        <v>公共配套设施</v>
      </c>
      <c r="R19" s="1304" t="s">
        <v>5</v>
      </c>
      <c r="S19" s="1305">
        <f>F19</f>
        <v>100</v>
      </c>
      <c r="T19" s="1304" t="s">
        <v>5</v>
      </c>
      <c r="U19" s="1305">
        <f>H19</f>
        <v>100</v>
      </c>
      <c r="V19" s="1304" t="s">
        <v>5</v>
      </c>
      <c r="W19" s="1305">
        <f>J19</f>
        <v>100</v>
      </c>
      <c r="X19" s="1299"/>
      <c r="Y19" s="3677"/>
      <c r="Z19" s="1306" t="str">
        <f>Q19</f>
        <v>公共配套设施</v>
      </c>
      <c r="AA19" s="1306">
        <f t="shared" si="3"/>
        <v>1</v>
      </c>
      <c r="AB19" s="1306">
        <f t="shared" si="4"/>
        <v>1</v>
      </c>
      <c r="AC19" s="1306">
        <f t="shared" si="5"/>
        <v>1</v>
      </c>
    </row>
    <row r="20" spans="1:29" ht="15">
      <c r="A20" s="480"/>
      <c r="B20" s="542"/>
      <c r="C20" s="524"/>
      <c r="D20" s="503"/>
      <c r="E20" s="504"/>
      <c r="F20" s="505"/>
      <c r="G20" s="506"/>
      <c r="H20" s="503"/>
      <c r="I20" s="504"/>
      <c r="J20" s="503"/>
      <c r="K20" s="820"/>
      <c r="L20" s="1746"/>
      <c r="M20" s="1739"/>
      <c r="N20" s="1739"/>
      <c r="O20" s="1745"/>
      <c r="P20" s="3677"/>
      <c r="Q20" s="1303"/>
      <c r="R20" s="1304"/>
      <c r="S20" s="1305"/>
      <c r="T20" s="1304"/>
      <c r="U20" s="1305"/>
      <c r="V20" s="1304"/>
      <c r="W20" s="1305"/>
      <c r="X20" s="1299"/>
      <c r="Y20" s="3677"/>
      <c r="Z20" s="1306"/>
      <c r="AA20" s="1306">
        <v>1</v>
      </c>
      <c r="AB20" s="1306">
        <v>1</v>
      </c>
      <c r="AC20" s="1306">
        <v>1</v>
      </c>
    </row>
    <row r="21" spans="1:29" ht="15">
      <c r="A21" s="480"/>
      <c r="B21" s="2049" t="s">
        <v>1839</v>
      </c>
      <c r="C21" s="799" t="str">
        <f>估价对象房地状况!C8</f>
        <v>七通</v>
      </c>
      <c r="D21" s="513">
        <v>100</v>
      </c>
      <c r="E21" s="520"/>
      <c r="F21" s="519">
        <f>SUMIF(82:82,E22,83:83)-SUMIF(82:82,C22,83:83)+100</f>
        <v>100</v>
      </c>
      <c r="G21" s="520"/>
      <c r="H21" s="513">
        <f>SUMIF(82:82,G22,83:83)-SUMIF(82:82,C22,83:83)+100</f>
        <v>100</v>
      </c>
      <c r="I21" s="518"/>
      <c r="J21" s="513">
        <f>SUMIF(82:82,I22,83:83)-SUMIF(82:82,C22,83:83)+100</f>
        <v>100</v>
      </c>
      <c r="K21" s="819"/>
      <c r="L21" s="1746"/>
      <c r="M21" s="1739"/>
      <c r="N21" s="1739"/>
      <c r="O21" s="1745"/>
      <c r="P21" s="3677"/>
      <c r="Q21" s="1303" t="str">
        <f>B21</f>
        <v>基础设施水平</v>
      </c>
      <c r="R21" s="1304" t="s">
        <v>5</v>
      </c>
      <c r="S21" s="1305">
        <f>F21</f>
        <v>100</v>
      </c>
      <c r="T21" s="1304" t="s">
        <v>5</v>
      </c>
      <c r="U21" s="1305">
        <f>H21</f>
        <v>100</v>
      </c>
      <c r="V21" s="1304" t="s">
        <v>5</v>
      </c>
      <c r="W21" s="1305">
        <f>J21</f>
        <v>100</v>
      </c>
      <c r="X21" s="1299"/>
      <c r="Y21" s="3677"/>
      <c r="Z21" s="1306" t="str">
        <f>Q21</f>
        <v>基础设施水平</v>
      </c>
      <c r="AA21" s="1306">
        <f>D21/F21</f>
        <v>1</v>
      </c>
      <c r="AB21" s="1306">
        <f>D21/H21</f>
        <v>1</v>
      </c>
      <c r="AC21" s="1306">
        <f>D21/J21</f>
        <v>1</v>
      </c>
    </row>
    <row r="22" spans="1:29" ht="15">
      <c r="A22" s="480"/>
      <c r="B22" s="841"/>
      <c r="C22" s="800"/>
      <c r="D22" s="503"/>
      <c r="E22" s="524"/>
      <c r="F22" s="505"/>
      <c r="G22" s="524"/>
      <c r="H22" s="503"/>
      <c r="I22" s="524"/>
      <c r="J22" s="503"/>
      <c r="K22" s="2058"/>
      <c r="L22" s="1746"/>
      <c r="M22" s="1739"/>
      <c r="N22" s="1739"/>
      <c r="O22" s="1745"/>
      <c r="P22" s="3677"/>
      <c r="Q22" s="1303"/>
      <c r="R22" s="1304"/>
      <c r="S22" s="1305"/>
      <c r="T22" s="1304"/>
      <c r="U22" s="1305"/>
      <c r="V22" s="1304"/>
      <c r="W22" s="1305"/>
      <c r="X22" s="1299"/>
      <c r="Y22" s="3677"/>
      <c r="Z22" s="1306"/>
      <c r="AA22" s="1306">
        <v>1</v>
      </c>
      <c r="AB22" s="1306">
        <v>1</v>
      </c>
      <c r="AC22" s="1306">
        <v>1</v>
      </c>
    </row>
    <row r="23" spans="1:29" ht="15">
      <c r="A23" s="480"/>
      <c r="B23" s="675" t="s">
        <v>263</v>
      </c>
      <c r="C23" s="821">
        <f>估价对象房地状况!C9</f>
        <v>0</v>
      </c>
      <c r="D23" s="507">
        <v>100</v>
      </c>
      <c r="E23" s="510"/>
      <c r="F23" s="511">
        <f>SUMIF(84:84,E24,85:85)-SUMIF(84:84,C24,85:85)+100</f>
        <v>100</v>
      </c>
      <c r="G23" s="512"/>
      <c r="H23" s="507">
        <f>SUMIF(84:84,G24,85:85)-SUMIF(84:84,C24,85:85)+100</f>
        <v>100</v>
      </c>
      <c r="I23" s="510"/>
      <c r="J23" s="507">
        <f>SUMIF(84:84,I24,85:85)-SUMIF(84:84,C24,85:85)+100</f>
        <v>100</v>
      </c>
      <c r="K23" s="819"/>
      <c r="L23" s="1746"/>
      <c r="M23" s="1739"/>
      <c r="N23" s="1739"/>
      <c r="O23" s="1745"/>
      <c r="P23" s="3677"/>
      <c r="Q23" s="1303" t="str">
        <f>B23</f>
        <v>自然及人文环境</v>
      </c>
      <c r="R23" s="1304" t="s">
        <v>5</v>
      </c>
      <c r="S23" s="1305">
        <f>F23</f>
        <v>100</v>
      </c>
      <c r="T23" s="1304" t="s">
        <v>5</v>
      </c>
      <c r="U23" s="1305">
        <f>H23</f>
        <v>100</v>
      </c>
      <c r="V23" s="1304" t="s">
        <v>5</v>
      </c>
      <c r="W23" s="1305">
        <f>J23</f>
        <v>100</v>
      </c>
      <c r="X23" s="1299"/>
      <c r="Y23" s="3677"/>
      <c r="Z23" s="1306" t="str">
        <f>Q23</f>
        <v>自然及人文环境</v>
      </c>
      <c r="AA23" s="1306">
        <f t="shared" si="3"/>
        <v>1</v>
      </c>
      <c r="AB23" s="1306">
        <f t="shared" si="4"/>
        <v>1</v>
      </c>
      <c r="AC23" s="1306">
        <f t="shared" si="5"/>
        <v>1</v>
      </c>
    </row>
    <row r="24" spans="1:29" ht="15">
      <c r="A24" s="480"/>
      <c r="B24" s="542"/>
      <c r="C24" s="524"/>
      <c r="D24" s="503"/>
      <c r="E24" s="504"/>
      <c r="F24" s="505"/>
      <c r="G24" s="506"/>
      <c r="H24" s="503"/>
      <c r="I24" s="504"/>
      <c r="J24" s="503"/>
      <c r="K24" s="820"/>
      <c r="L24" s="1746"/>
      <c r="M24" s="1739"/>
      <c r="N24" s="1739"/>
      <c r="O24" s="1745"/>
      <c r="P24" s="3677"/>
      <c r="Q24" s="1303"/>
      <c r="R24" s="1304"/>
      <c r="S24" s="1305"/>
      <c r="T24" s="1304"/>
      <c r="U24" s="1305"/>
      <c r="V24" s="1304"/>
      <c r="W24" s="1305"/>
      <c r="X24" s="1299"/>
      <c r="Y24" s="3677"/>
      <c r="Z24" s="1306"/>
      <c r="AA24" s="1306">
        <v>1</v>
      </c>
      <c r="AB24" s="1306">
        <v>1</v>
      </c>
      <c r="AC24" s="1306">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6"/>
      <c r="M25" s="1739"/>
      <c r="N25" s="1739"/>
      <c r="O25" s="1745"/>
      <c r="P25" s="3677"/>
      <c r="Q25" s="1303" t="str">
        <f t="shared" ref="Q25:Q46" si="8">B25</f>
        <v>临街状况</v>
      </c>
      <c r="R25" s="1304" t="s">
        <v>5</v>
      </c>
      <c r="S25" s="1305">
        <f>F25</f>
        <v>100</v>
      </c>
      <c r="T25" s="1304" t="s">
        <v>5</v>
      </c>
      <c r="U25" s="1305">
        <f>H25</f>
        <v>100</v>
      </c>
      <c r="V25" s="1304" t="s">
        <v>5</v>
      </c>
      <c r="W25" s="1305">
        <f>J25</f>
        <v>100</v>
      </c>
      <c r="X25" s="1299"/>
      <c r="Y25" s="3677"/>
      <c r="Z25" s="1306" t="str">
        <f>Q25</f>
        <v>临街状况</v>
      </c>
      <c r="AA25" s="1306">
        <f t="shared" si="3"/>
        <v>1</v>
      </c>
      <c r="AB25" s="1306">
        <f t="shared" si="4"/>
        <v>1</v>
      </c>
      <c r="AC25" s="1306">
        <f t="shared" si="5"/>
        <v>1</v>
      </c>
    </row>
    <row r="26" spans="1:29" ht="1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6"/>
      <c r="M26" s="1739"/>
      <c r="N26" s="1739"/>
      <c r="O26" s="1745"/>
      <c r="P26" s="3677"/>
      <c r="Q26" s="1303" t="str">
        <f t="shared" si="8"/>
        <v>平面位置/可视性</v>
      </c>
      <c r="R26" s="1304" t="s">
        <v>5</v>
      </c>
      <c r="S26" s="1305">
        <f>F26</f>
        <v>100</v>
      </c>
      <c r="T26" s="1304" t="s">
        <v>5</v>
      </c>
      <c r="U26" s="1305">
        <f>H26</f>
        <v>100</v>
      </c>
      <c r="V26" s="1304" t="s">
        <v>5</v>
      </c>
      <c r="W26" s="1305">
        <f>J26</f>
        <v>100</v>
      </c>
      <c r="X26" s="1299"/>
      <c r="Y26" s="3677"/>
      <c r="Z26" s="1306" t="str">
        <f>Q26</f>
        <v>平面位置/可视性</v>
      </c>
      <c r="AA26" s="1306">
        <f t="shared" si="3"/>
        <v>1</v>
      </c>
      <c r="AB26" s="1306">
        <f t="shared" si="4"/>
        <v>1</v>
      </c>
      <c r="AC26" s="1306">
        <f t="shared" si="5"/>
        <v>1</v>
      </c>
    </row>
    <row r="27" spans="1:29" s="1057" customFormat="1" ht="15">
      <c r="A27" s="484"/>
      <c r="B27" s="675" t="s">
        <v>699</v>
      </c>
      <c r="C27" s="822"/>
      <c r="D27" s="514">
        <v>100</v>
      </c>
      <c r="E27" s="822"/>
      <c r="F27" s="542">
        <f>SUMIF(90:90,E27,91:91)-SUMIF(90:90,C27,91:91)+100</f>
        <v>100</v>
      </c>
      <c r="G27" s="822"/>
      <c r="H27" s="514">
        <f>SUMIF(90:90,G27,91:91)-SUMIF(90:90,C27,91:91)+100</f>
        <v>100</v>
      </c>
      <c r="I27" s="822"/>
      <c r="J27" s="514">
        <f>SUMIF(90:90,I27,91:91)-SUMIF(90:90,C27,91:91)+100</f>
        <v>100</v>
      </c>
      <c r="K27" s="531"/>
      <c r="L27" s="1740"/>
      <c r="M27" s="1637"/>
      <c r="N27" s="1637"/>
      <c r="O27" s="1741"/>
      <c r="P27" s="3677"/>
      <c r="Q27" s="815" t="str">
        <f t="shared" si="8"/>
        <v>人流量</v>
      </c>
      <c r="R27" s="1300" t="s">
        <v>5</v>
      </c>
      <c r="S27" s="1301">
        <f>F27</f>
        <v>100</v>
      </c>
      <c r="T27" s="1300" t="s">
        <v>5</v>
      </c>
      <c r="U27" s="1301">
        <f>H27</f>
        <v>100</v>
      </c>
      <c r="V27" s="1300" t="s">
        <v>5</v>
      </c>
      <c r="W27" s="1301">
        <f>J27</f>
        <v>100</v>
      </c>
      <c r="X27" s="1302"/>
      <c r="Y27" s="3677"/>
      <c r="Z27" s="994" t="str">
        <f>Q27</f>
        <v>人流量</v>
      </c>
      <c r="AA27" s="1306">
        <f>D27/F27</f>
        <v>1</v>
      </c>
      <c r="AB27" s="1306">
        <f>D27/H27</f>
        <v>1</v>
      </c>
      <c r="AC27" s="1306">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6"/>
      <c r="M28" s="1739"/>
      <c r="N28" s="1739"/>
      <c r="O28" s="1745"/>
      <c r="P28" s="3677"/>
      <c r="Q28" s="1303" t="str">
        <f t="shared" si="8"/>
        <v>楼层</v>
      </c>
      <c r="R28" s="1304" t="s">
        <v>5</v>
      </c>
      <c r="S28" s="1305">
        <f t="shared" ref="S28:S46" si="9">F28</f>
        <v>100</v>
      </c>
      <c r="T28" s="1304" t="s">
        <v>5</v>
      </c>
      <c r="U28" s="1305">
        <f t="shared" ref="U28:U46" si="10">H28</f>
        <v>100</v>
      </c>
      <c r="V28" s="1304" t="s">
        <v>5</v>
      </c>
      <c r="W28" s="1305">
        <f t="shared" ref="W28:W46" si="11">J28</f>
        <v>100</v>
      </c>
      <c r="X28" s="1299"/>
      <c r="Y28" s="3677"/>
      <c r="Z28" s="1306" t="str">
        <f t="shared" ref="Z28:Z46" si="12">Q28</f>
        <v>楼层</v>
      </c>
      <c r="AA28" s="1306">
        <f t="shared" si="3"/>
        <v>1</v>
      </c>
      <c r="AB28" s="1306">
        <f t="shared" si="4"/>
        <v>1</v>
      </c>
      <c r="AC28" s="1306">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6"/>
      <c r="M29" s="1739"/>
      <c r="N29" s="1739"/>
      <c r="O29" s="1745"/>
      <c r="P29" s="3677"/>
      <c r="Q29" s="1303">
        <f t="shared" si="8"/>
        <v>111</v>
      </c>
      <c r="R29" s="1304" t="s">
        <v>5</v>
      </c>
      <c r="S29" s="1305">
        <f t="shared" si="9"/>
        <v>100</v>
      </c>
      <c r="T29" s="1304" t="s">
        <v>5</v>
      </c>
      <c r="U29" s="1305">
        <f t="shared" si="10"/>
        <v>100</v>
      </c>
      <c r="V29" s="1304" t="s">
        <v>5</v>
      </c>
      <c r="W29" s="1305">
        <f t="shared" si="11"/>
        <v>100</v>
      </c>
      <c r="X29" s="1299"/>
      <c r="Y29" s="3677"/>
      <c r="Z29" s="1306">
        <f t="shared" si="12"/>
        <v>111</v>
      </c>
      <c r="AA29" s="1306">
        <f t="shared" si="3"/>
        <v>1</v>
      </c>
      <c r="AB29" s="1306">
        <f t="shared" si="4"/>
        <v>1</v>
      </c>
      <c r="AC29" s="1306">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6"/>
      <c r="M30" s="1739"/>
      <c r="N30" s="1739"/>
      <c r="O30" s="1745"/>
      <c r="P30" s="3677"/>
      <c r="Q30" s="1303">
        <f t="shared" si="8"/>
        <v>111</v>
      </c>
      <c r="R30" s="1304" t="s">
        <v>5</v>
      </c>
      <c r="S30" s="1305">
        <f t="shared" si="9"/>
        <v>100</v>
      </c>
      <c r="T30" s="1304" t="s">
        <v>5</v>
      </c>
      <c r="U30" s="1305">
        <f t="shared" si="10"/>
        <v>100</v>
      </c>
      <c r="V30" s="1304" t="s">
        <v>5</v>
      </c>
      <c r="W30" s="1305">
        <f t="shared" si="11"/>
        <v>100</v>
      </c>
      <c r="X30" s="1299"/>
      <c r="Y30" s="3677"/>
      <c r="Z30" s="1306">
        <f t="shared" si="12"/>
        <v>111</v>
      </c>
      <c r="AA30" s="1306">
        <f t="shared" si="3"/>
        <v>1</v>
      </c>
      <c r="AB30" s="1306">
        <f t="shared" si="4"/>
        <v>1</v>
      </c>
      <c r="AC30" s="1306">
        <f t="shared" si="5"/>
        <v>1</v>
      </c>
    </row>
    <row r="31" spans="1:29" ht="15.75" thickBot="1">
      <c r="A31" s="491"/>
      <c r="B31" s="91">
        <v>111</v>
      </c>
      <c r="C31" s="493"/>
      <c r="D31" s="494">
        <v>100</v>
      </c>
      <c r="E31" s="487"/>
      <c r="F31" s="794">
        <f>SUMIF(98:98,E31,99:99)-SUMIF(98:98,C31,99:99)+100</f>
        <v>100</v>
      </c>
      <c r="G31" s="487"/>
      <c r="H31" s="494">
        <f>SUMIF(98:98,G31,99:99)-SUMIF(98:98,C31,99:99)+100</f>
        <v>100</v>
      </c>
      <c r="I31" s="487"/>
      <c r="J31" s="494">
        <f>SUMIF(98:98,I31,99:99)-SUMIF(98:98,C31,99:99)+100</f>
        <v>100</v>
      </c>
      <c r="K31" s="529"/>
      <c r="L31" s="1746"/>
      <c r="M31" s="1739"/>
      <c r="N31" s="1739"/>
      <c r="O31" s="1745"/>
      <c r="P31" s="3677"/>
      <c r="Q31" s="1303">
        <f t="shared" si="8"/>
        <v>111</v>
      </c>
      <c r="R31" s="1304" t="s">
        <v>5</v>
      </c>
      <c r="S31" s="1305">
        <f t="shared" si="9"/>
        <v>100</v>
      </c>
      <c r="T31" s="1304" t="s">
        <v>5</v>
      </c>
      <c r="U31" s="1305">
        <f t="shared" si="10"/>
        <v>100</v>
      </c>
      <c r="V31" s="1304" t="s">
        <v>5</v>
      </c>
      <c r="W31" s="1305">
        <f t="shared" si="11"/>
        <v>100</v>
      </c>
      <c r="X31" s="1299"/>
      <c r="Y31" s="3677"/>
      <c r="Z31" s="1306">
        <f t="shared" si="12"/>
        <v>111</v>
      </c>
      <c r="AA31" s="1306">
        <f t="shared" si="3"/>
        <v>1</v>
      </c>
      <c r="AB31" s="1306">
        <f t="shared" si="4"/>
        <v>1</v>
      </c>
      <c r="AC31" s="1306">
        <f t="shared" si="5"/>
        <v>1</v>
      </c>
    </row>
    <row r="32" spans="1:29" ht="15">
      <c r="A32" s="2201" t="s">
        <v>2035</v>
      </c>
      <c r="B32" s="156"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6"/>
      <c r="M32" s="1739"/>
      <c r="N32" s="1739"/>
      <c r="O32" s="1745"/>
      <c r="P32" s="3678" t="s">
        <v>499</v>
      </c>
      <c r="Q32" s="1303" t="str">
        <f t="shared" si="8"/>
        <v>商业类型</v>
      </c>
      <c r="R32" s="1304" t="s">
        <v>5</v>
      </c>
      <c r="S32" s="1305">
        <f t="shared" si="9"/>
        <v>100</v>
      </c>
      <c r="T32" s="1304" t="s">
        <v>5</v>
      </c>
      <c r="U32" s="1305">
        <f t="shared" si="10"/>
        <v>100</v>
      </c>
      <c r="V32" s="1304" t="s">
        <v>5</v>
      </c>
      <c r="W32" s="1305">
        <f t="shared" si="11"/>
        <v>100</v>
      </c>
      <c r="X32" s="1299"/>
      <c r="Y32" s="3679" t="s">
        <v>499</v>
      </c>
      <c r="Z32" s="1306" t="str">
        <f t="shared" si="12"/>
        <v>商业类型</v>
      </c>
      <c r="AA32" s="1306">
        <f t="shared" si="3"/>
        <v>1</v>
      </c>
      <c r="AB32" s="1306">
        <f t="shared" si="4"/>
        <v>1</v>
      </c>
      <c r="AC32" s="1306">
        <f t="shared" si="5"/>
        <v>1</v>
      </c>
    </row>
    <row r="33" spans="1:29" s="1131" customFormat="1" ht="15">
      <c r="A33" s="550"/>
      <c r="B33" s="475" t="s">
        <v>673</v>
      </c>
      <c r="C33" s="803"/>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4"/>
      <c r="M33" s="1768"/>
      <c r="N33" s="1768"/>
      <c r="O33" s="1747"/>
      <c r="P33" s="3679"/>
      <c r="Q33" s="816" t="str">
        <f t="shared" si="8"/>
        <v>项目建筑规模</v>
      </c>
      <c r="R33" s="1307" t="s">
        <v>5</v>
      </c>
      <c r="S33" s="1308" t="e">
        <f t="shared" si="9"/>
        <v>#N/A</v>
      </c>
      <c r="T33" s="1307" t="s">
        <v>5</v>
      </c>
      <c r="U33" s="1308" t="e">
        <f t="shared" si="10"/>
        <v>#N/A</v>
      </c>
      <c r="V33" s="1307" t="s">
        <v>5</v>
      </c>
      <c r="W33" s="1308" t="e">
        <f t="shared" si="11"/>
        <v>#N/A</v>
      </c>
      <c r="X33" s="1309"/>
      <c r="Y33" s="3679"/>
      <c r="Z33" s="1310" t="str">
        <f t="shared" si="12"/>
        <v>项目建筑规模</v>
      </c>
      <c r="AA33" s="1306" t="e">
        <f t="shared" si="3"/>
        <v>#N/A</v>
      </c>
      <c r="AB33" s="1306" t="e">
        <f t="shared" si="4"/>
        <v>#N/A</v>
      </c>
      <c r="AC33" s="1306" t="e">
        <f t="shared" si="5"/>
        <v>#N/A</v>
      </c>
    </row>
    <row r="34" spans="1:29" ht="15">
      <c r="A34" s="541"/>
      <c r="B34" s="475" t="s">
        <v>674</v>
      </c>
      <c r="C34" s="522"/>
      <c r="D34" s="488">
        <v>100</v>
      </c>
      <c r="E34" s="804"/>
      <c r="F34" s="523">
        <f>SUMIF(105:105,E34,106:106)-SUMIF(105:105,C34,106:106)+100</f>
        <v>100</v>
      </c>
      <c r="G34" s="522"/>
      <c r="H34" s="488">
        <f>SUMIF(105:105,G34,106:106)-SUMIF(105:105,C34,106:106)+100</f>
        <v>100</v>
      </c>
      <c r="I34" s="522"/>
      <c r="J34" s="488">
        <f>SUMIF(105:105,I34,106:106)-SUMIF(105:105,C34,106:106)+100</f>
        <v>100</v>
      </c>
      <c r="K34" s="531"/>
      <c r="L34" s="1746"/>
      <c r="M34" s="1739"/>
      <c r="N34" s="1739"/>
      <c r="O34" s="1745"/>
      <c r="P34" s="3679"/>
      <c r="Q34" s="1303" t="str">
        <f t="shared" si="8"/>
        <v>建筑结构</v>
      </c>
      <c r="R34" s="1304" t="s">
        <v>5</v>
      </c>
      <c r="S34" s="1305">
        <f t="shared" si="9"/>
        <v>100</v>
      </c>
      <c r="T34" s="1304" t="s">
        <v>5</v>
      </c>
      <c r="U34" s="1305">
        <f t="shared" si="10"/>
        <v>100</v>
      </c>
      <c r="V34" s="1304" t="s">
        <v>5</v>
      </c>
      <c r="W34" s="1305">
        <f t="shared" si="11"/>
        <v>100</v>
      </c>
      <c r="X34" s="1299"/>
      <c r="Y34" s="3679"/>
      <c r="Z34" s="1306" t="str">
        <f t="shared" si="12"/>
        <v>建筑结构</v>
      </c>
      <c r="AA34" s="1306">
        <f t="shared" si="3"/>
        <v>1</v>
      </c>
      <c r="AB34" s="1306">
        <f t="shared" si="4"/>
        <v>1</v>
      </c>
      <c r="AC34" s="1306">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6"/>
      <c r="M35" s="1739"/>
      <c r="N35" s="1739"/>
      <c r="O35" s="1745"/>
      <c r="P35" s="3679"/>
      <c r="Q35" s="1303" t="str">
        <f t="shared" si="8"/>
        <v>公共部分装修</v>
      </c>
      <c r="R35" s="1304" t="s">
        <v>5</v>
      </c>
      <c r="S35" s="1305">
        <f t="shared" si="9"/>
        <v>100</v>
      </c>
      <c r="T35" s="1304" t="s">
        <v>5</v>
      </c>
      <c r="U35" s="1305">
        <f t="shared" si="10"/>
        <v>100</v>
      </c>
      <c r="V35" s="1304" t="s">
        <v>5</v>
      </c>
      <c r="W35" s="1305">
        <f t="shared" si="11"/>
        <v>100</v>
      </c>
      <c r="X35" s="1299"/>
      <c r="Y35" s="3679"/>
      <c r="Z35" s="1306" t="str">
        <f t="shared" si="12"/>
        <v>公共部分装修</v>
      </c>
      <c r="AA35" s="1306">
        <f t="shared" si="3"/>
        <v>1</v>
      </c>
      <c r="AB35" s="1306">
        <f t="shared" si="4"/>
        <v>1</v>
      </c>
      <c r="AC35" s="1306">
        <f t="shared" si="5"/>
        <v>1</v>
      </c>
    </row>
    <row r="36" spans="1:29" ht="15">
      <c r="A36" s="541"/>
      <c r="B36" s="475" t="s">
        <v>704</v>
      </c>
      <c r="C36" s="805"/>
      <c r="D36" s="488">
        <v>100</v>
      </c>
      <c r="E36" s="805"/>
      <c r="F36" s="523" t="e">
        <f>LOOKUP(E36,110:110,111:111)-LOOKUP(C36,110:110,111:111)+100</f>
        <v>#N/A</v>
      </c>
      <c r="G36" s="805"/>
      <c r="H36" s="523" t="e">
        <f>LOOKUP(G36,110:110,111:111)-LOOKUP(C36,110:110,111:111)+100</f>
        <v>#N/A</v>
      </c>
      <c r="I36" s="805"/>
      <c r="J36" s="488" t="e">
        <f>LOOKUP(I36,110:110,111:111)-LOOKUP(C36,110:110,111:111)+100</f>
        <v>#N/A</v>
      </c>
      <c r="K36" s="531"/>
      <c r="L36" s="1746"/>
      <c r="M36" s="1739"/>
      <c r="N36" s="1739"/>
      <c r="O36" s="1745"/>
      <c r="P36" s="3679"/>
      <c r="Q36" s="1303" t="str">
        <f t="shared" si="8"/>
        <v>成新度</v>
      </c>
      <c r="R36" s="1304" t="s">
        <v>5</v>
      </c>
      <c r="S36" s="1305" t="e">
        <f t="shared" si="9"/>
        <v>#N/A</v>
      </c>
      <c r="T36" s="1304" t="s">
        <v>5</v>
      </c>
      <c r="U36" s="1305" t="e">
        <f t="shared" si="10"/>
        <v>#N/A</v>
      </c>
      <c r="V36" s="1304" t="s">
        <v>5</v>
      </c>
      <c r="W36" s="1305" t="e">
        <f t="shared" si="11"/>
        <v>#N/A</v>
      </c>
      <c r="X36" s="1299"/>
      <c r="Y36" s="3679"/>
      <c r="Z36" s="1306" t="str">
        <f t="shared" si="12"/>
        <v>成新度</v>
      </c>
      <c r="AA36" s="1306" t="e">
        <f t="shared" si="3"/>
        <v>#N/A</v>
      </c>
      <c r="AB36" s="1306" t="e">
        <f t="shared" si="4"/>
        <v>#N/A</v>
      </c>
      <c r="AC36" s="1306" t="e">
        <f t="shared" si="5"/>
        <v>#N/A</v>
      </c>
    </row>
    <row r="37" spans="1:29" s="1057" customFormat="1" ht="15">
      <c r="A37" s="547"/>
      <c r="B37" s="1551" t="s">
        <v>1846</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40"/>
      <c r="M37" s="1637"/>
      <c r="N37" s="1637"/>
      <c r="O37" s="1741"/>
      <c r="P37" s="3679"/>
      <c r="Q37" s="815" t="str">
        <f t="shared" si="8"/>
        <v>市政基础设施</v>
      </c>
      <c r="R37" s="1300" t="s">
        <v>5</v>
      </c>
      <c r="S37" s="1301">
        <f t="shared" si="9"/>
        <v>100</v>
      </c>
      <c r="T37" s="1300" t="s">
        <v>5</v>
      </c>
      <c r="U37" s="1301">
        <f t="shared" si="10"/>
        <v>100</v>
      </c>
      <c r="V37" s="1300" t="s">
        <v>5</v>
      </c>
      <c r="W37" s="1301">
        <f t="shared" si="11"/>
        <v>100</v>
      </c>
      <c r="X37" s="1302"/>
      <c r="Y37" s="3679"/>
      <c r="Z37" s="994" t="str">
        <f t="shared" si="12"/>
        <v>市政基础设施</v>
      </c>
      <c r="AA37" s="994">
        <f t="shared" si="3"/>
        <v>1</v>
      </c>
      <c r="AB37" s="994">
        <f t="shared" si="4"/>
        <v>1</v>
      </c>
      <c r="AC37" s="994">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6"/>
      <c r="M38" s="1739"/>
      <c r="N38" s="1739"/>
      <c r="O38" s="1745"/>
      <c r="P38" s="3679" t="s">
        <v>706</v>
      </c>
      <c r="Q38" s="1303" t="str">
        <f t="shared" si="8"/>
        <v>业态</v>
      </c>
      <c r="R38" s="1304" t="s">
        <v>5</v>
      </c>
      <c r="S38" s="1305">
        <f t="shared" si="9"/>
        <v>100</v>
      </c>
      <c r="T38" s="1304" t="s">
        <v>5</v>
      </c>
      <c r="U38" s="1305">
        <f t="shared" si="10"/>
        <v>100</v>
      </c>
      <c r="V38" s="1304" t="s">
        <v>5</v>
      </c>
      <c r="W38" s="1305">
        <f t="shared" si="11"/>
        <v>100</v>
      </c>
      <c r="X38" s="1299"/>
      <c r="Y38" s="3679" t="s">
        <v>706</v>
      </c>
      <c r="Z38" s="1306" t="str">
        <f t="shared" si="12"/>
        <v>业态</v>
      </c>
      <c r="AA38" s="1306">
        <f t="shared" si="3"/>
        <v>1</v>
      </c>
      <c r="AB38" s="1306">
        <f t="shared" si="4"/>
        <v>1</v>
      </c>
      <c r="AC38" s="1306">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6"/>
      <c r="M39" s="1739"/>
      <c r="N39" s="1739"/>
      <c r="O39" s="1745"/>
      <c r="P39" s="3679"/>
      <c r="Q39" s="1303" t="str">
        <f t="shared" si="8"/>
        <v>层高</v>
      </c>
      <c r="R39" s="1304" t="s">
        <v>5</v>
      </c>
      <c r="S39" s="1305">
        <f t="shared" si="9"/>
        <v>100</v>
      </c>
      <c r="T39" s="1304" t="s">
        <v>5</v>
      </c>
      <c r="U39" s="1305">
        <f t="shared" si="10"/>
        <v>100</v>
      </c>
      <c r="V39" s="1304" t="s">
        <v>5</v>
      </c>
      <c r="W39" s="1305">
        <f t="shared" si="11"/>
        <v>100</v>
      </c>
      <c r="X39" s="1299"/>
      <c r="Y39" s="3679"/>
      <c r="Z39" s="1306" t="str">
        <f t="shared" si="12"/>
        <v>层高</v>
      </c>
      <c r="AA39" s="1306">
        <f t="shared" si="3"/>
        <v>1</v>
      </c>
      <c r="AB39" s="1306">
        <f t="shared" si="4"/>
        <v>1</v>
      </c>
      <c r="AC39" s="1306">
        <f t="shared" si="5"/>
        <v>1</v>
      </c>
    </row>
    <row r="40" spans="1:29" ht="15">
      <c r="A40" s="541"/>
      <c r="B40" s="475" t="s">
        <v>708</v>
      </c>
      <c r="C40" s="823"/>
      <c r="D40" s="488">
        <v>100</v>
      </c>
      <c r="E40" s="824"/>
      <c r="F40" s="523">
        <f>SUMIF(118:118,E40,119:119)-SUMIF(118:118,C40,119:119)+100</f>
        <v>100</v>
      </c>
      <c r="G40" s="824"/>
      <c r="H40" s="488">
        <f>SUMIF(118:118,G40,119:119)-SUMIF(118:118,C40,119:119)+100</f>
        <v>100</v>
      </c>
      <c r="I40" s="824"/>
      <c r="J40" s="488">
        <f>SUMIF(118:118,I40,119:119)-SUMIF(118:118,C40,119:119)+100</f>
        <v>100</v>
      </c>
      <c r="K40" s="529"/>
      <c r="L40" s="1746"/>
      <c r="M40" s="1739"/>
      <c r="N40" s="1739"/>
      <c r="O40" s="1745"/>
      <c r="P40" s="3679"/>
      <c r="Q40" s="1303" t="str">
        <f t="shared" si="8"/>
        <v>单套建筑面积</v>
      </c>
      <c r="R40" s="1304" t="s">
        <v>5</v>
      </c>
      <c r="S40" s="1305">
        <f t="shared" si="9"/>
        <v>100</v>
      </c>
      <c r="T40" s="1304" t="s">
        <v>5</v>
      </c>
      <c r="U40" s="1305">
        <f t="shared" si="10"/>
        <v>100</v>
      </c>
      <c r="V40" s="1304" t="s">
        <v>5</v>
      </c>
      <c r="W40" s="1305">
        <f t="shared" si="11"/>
        <v>100</v>
      </c>
      <c r="X40" s="1299"/>
      <c r="Y40" s="3679"/>
      <c r="Z40" s="1306" t="str">
        <f t="shared" si="12"/>
        <v>单套建筑面积</v>
      </c>
      <c r="AA40" s="1306">
        <f t="shared" si="3"/>
        <v>1</v>
      </c>
      <c r="AB40" s="1306">
        <f t="shared" si="4"/>
        <v>1</v>
      </c>
      <c r="AC40" s="1306">
        <f t="shared" si="5"/>
        <v>1</v>
      </c>
    </row>
    <row r="41" spans="1:29" s="1131"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4"/>
      <c r="M41" s="1768"/>
      <c r="N41" s="1768"/>
      <c r="O41" s="1747"/>
      <c r="P41" s="3679"/>
      <c r="Q41" s="816" t="str">
        <f t="shared" si="8"/>
        <v>进深比</v>
      </c>
      <c r="R41" s="1307" t="s">
        <v>5</v>
      </c>
      <c r="S41" s="1308">
        <f t="shared" si="9"/>
        <v>100</v>
      </c>
      <c r="T41" s="1307" t="s">
        <v>5</v>
      </c>
      <c r="U41" s="1308">
        <f t="shared" si="10"/>
        <v>100</v>
      </c>
      <c r="V41" s="1307" t="s">
        <v>5</v>
      </c>
      <c r="W41" s="1308">
        <f t="shared" si="11"/>
        <v>100</v>
      </c>
      <c r="X41" s="1309"/>
      <c r="Y41" s="3679"/>
      <c r="Z41" s="1310" t="str">
        <f t="shared" si="12"/>
        <v>进深比</v>
      </c>
      <c r="AA41" s="1306">
        <f t="shared" si="3"/>
        <v>1</v>
      </c>
      <c r="AB41" s="1306">
        <f t="shared" si="4"/>
        <v>1</v>
      </c>
      <c r="AC41" s="1306">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6"/>
      <c r="M42" s="1739"/>
      <c r="N42" s="1739"/>
      <c r="O42" s="1745"/>
      <c r="P42" s="3679"/>
      <c r="Q42" s="1303" t="str">
        <f t="shared" si="8"/>
        <v>内部装修</v>
      </c>
      <c r="R42" s="1304" t="s">
        <v>5</v>
      </c>
      <c r="S42" s="1305">
        <f t="shared" si="9"/>
        <v>100</v>
      </c>
      <c r="T42" s="1304" t="s">
        <v>5</v>
      </c>
      <c r="U42" s="1305">
        <f t="shared" si="10"/>
        <v>100</v>
      </c>
      <c r="V42" s="1304" t="s">
        <v>5</v>
      </c>
      <c r="W42" s="1305">
        <f t="shared" si="11"/>
        <v>100</v>
      </c>
      <c r="X42" s="1299"/>
      <c r="Y42" s="3679"/>
      <c r="Z42" s="1306" t="str">
        <f t="shared" si="12"/>
        <v>内部装修</v>
      </c>
      <c r="AA42" s="1306">
        <f t="shared" si="3"/>
        <v>1</v>
      </c>
      <c r="AB42" s="1306">
        <f t="shared" si="4"/>
        <v>1</v>
      </c>
      <c r="AC42" s="1306">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6"/>
      <c r="M43" s="1739"/>
      <c r="N43" s="1739"/>
      <c r="O43" s="1745"/>
      <c r="P43" s="3679"/>
      <c r="Q43" s="1303" t="str">
        <f t="shared" si="8"/>
        <v>内部装修维护情况</v>
      </c>
      <c r="R43" s="1304" t="s">
        <v>5</v>
      </c>
      <c r="S43" s="1305">
        <f t="shared" si="9"/>
        <v>100</v>
      </c>
      <c r="T43" s="1304" t="s">
        <v>5</v>
      </c>
      <c r="U43" s="1305">
        <f t="shared" si="10"/>
        <v>100</v>
      </c>
      <c r="V43" s="1304" t="s">
        <v>5</v>
      </c>
      <c r="W43" s="1305">
        <f t="shared" si="11"/>
        <v>100</v>
      </c>
      <c r="X43" s="1299"/>
      <c r="Y43" s="3679"/>
      <c r="Z43" s="1306" t="str">
        <f t="shared" si="12"/>
        <v>内部装修维护情况</v>
      </c>
      <c r="AA43" s="1306">
        <f t="shared" si="3"/>
        <v>1</v>
      </c>
      <c r="AB43" s="1306">
        <f t="shared" si="4"/>
        <v>1</v>
      </c>
      <c r="AC43" s="1306">
        <f t="shared" si="5"/>
        <v>1</v>
      </c>
    </row>
    <row r="44" spans="1:29" s="1057" customFormat="1" ht="15">
      <c r="A44" s="547"/>
      <c r="B44" s="91">
        <v>111</v>
      </c>
      <c r="C44" s="803"/>
      <c r="D44" s="233">
        <v>100</v>
      </c>
      <c r="E44" s="487"/>
      <c r="F44" s="475">
        <f>SUMIF(126:126,E44,127:127)-SUMIF(126:126,C44,127:127)+100</f>
        <v>100</v>
      </c>
      <c r="G44" s="487"/>
      <c r="H44" s="233">
        <f>SUMIF(126:126,G44,127:127)-SUMIF(126:126,C44,127:127)+100</f>
        <v>100</v>
      </c>
      <c r="I44" s="487"/>
      <c r="J44" s="233">
        <f>SUMIF(126:126,I44,127:127)-SUMIF(126:126,C44,127:127)+100</f>
        <v>100</v>
      </c>
      <c r="K44" s="529"/>
      <c r="L44" s="1740"/>
      <c r="M44" s="1637"/>
      <c r="N44" s="1637"/>
      <c r="O44" s="1741"/>
      <c r="P44" s="3679"/>
      <c r="Q44" s="815">
        <f t="shared" si="8"/>
        <v>111</v>
      </c>
      <c r="R44" s="1300" t="s">
        <v>5</v>
      </c>
      <c r="S44" s="1301">
        <f t="shared" si="9"/>
        <v>100</v>
      </c>
      <c r="T44" s="1300" t="s">
        <v>5</v>
      </c>
      <c r="U44" s="1301">
        <f t="shared" si="10"/>
        <v>100</v>
      </c>
      <c r="V44" s="1300" t="s">
        <v>5</v>
      </c>
      <c r="W44" s="1301">
        <f t="shared" si="11"/>
        <v>100</v>
      </c>
      <c r="X44" s="1302"/>
      <c r="Y44" s="3679"/>
      <c r="Z44" s="994">
        <f t="shared" si="12"/>
        <v>111</v>
      </c>
      <c r="AA44" s="994">
        <f t="shared" si="3"/>
        <v>1</v>
      </c>
      <c r="AB44" s="994">
        <f t="shared" si="4"/>
        <v>1</v>
      </c>
      <c r="AC44" s="994">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6"/>
      <c r="M45" s="1739"/>
      <c r="N45" s="1739"/>
      <c r="O45" s="1745"/>
      <c r="P45" s="3679"/>
      <c r="Q45" s="1303">
        <f t="shared" si="8"/>
        <v>111</v>
      </c>
      <c r="R45" s="1304" t="s">
        <v>5</v>
      </c>
      <c r="S45" s="1305">
        <f t="shared" si="9"/>
        <v>100</v>
      </c>
      <c r="T45" s="1304" t="s">
        <v>5</v>
      </c>
      <c r="U45" s="1305">
        <f t="shared" si="10"/>
        <v>100</v>
      </c>
      <c r="V45" s="1304" t="s">
        <v>5</v>
      </c>
      <c r="W45" s="1305">
        <f t="shared" si="11"/>
        <v>100</v>
      </c>
      <c r="X45" s="1299"/>
      <c r="Y45" s="3679"/>
      <c r="Z45" s="1306">
        <f t="shared" si="12"/>
        <v>111</v>
      </c>
      <c r="AA45" s="1306">
        <f t="shared" si="3"/>
        <v>1</v>
      </c>
      <c r="AB45" s="1306">
        <f t="shared" si="4"/>
        <v>1</v>
      </c>
      <c r="AC45" s="1306">
        <f t="shared" si="5"/>
        <v>1</v>
      </c>
    </row>
    <row r="46" spans="1:29" ht="15.75" thickBot="1">
      <c r="A46" s="808"/>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6"/>
      <c r="M46" s="1739"/>
      <c r="N46" s="1739"/>
      <c r="O46" s="1745"/>
      <c r="P46" s="3698"/>
      <c r="Q46" s="1303">
        <f t="shared" si="8"/>
        <v>111</v>
      </c>
      <c r="R46" s="1304" t="s">
        <v>5</v>
      </c>
      <c r="S46" s="1305">
        <f t="shared" si="9"/>
        <v>100</v>
      </c>
      <c r="T46" s="1304" t="s">
        <v>5</v>
      </c>
      <c r="U46" s="1305">
        <f t="shared" si="10"/>
        <v>100</v>
      </c>
      <c r="V46" s="1304" t="s">
        <v>5</v>
      </c>
      <c r="W46" s="1305">
        <f t="shared" si="11"/>
        <v>100</v>
      </c>
      <c r="X46" s="1299"/>
      <c r="Y46" s="3698"/>
      <c r="Z46" s="1306">
        <f t="shared" si="12"/>
        <v>111</v>
      </c>
      <c r="AA46" s="1306">
        <f t="shared" si="3"/>
        <v>1</v>
      </c>
      <c r="AB46" s="1306">
        <f t="shared" si="4"/>
        <v>1</v>
      </c>
      <c r="AC46" s="1306">
        <f t="shared" si="5"/>
        <v>1</v>
      </c>
    </row>
    <row r="47" spans="1:29" ht="15">
      <c r="A47" s="554" t="s">
        <v>683</v>
      </c>
      <c r="B47" s="809"/>
      <c r="C47" s="2078" t="s">
        <v>0</v>
      </c>
      <c r="D47" s="557"/>
      <c r="E47" s="558"/>
      <c r="F47" s="559"/>
      <c r="G47" s="560"/>
      <c r="H47" s="561"/>
      <c r="I47" s="558"/>
      <c r="J47" s="561"/>
      <c r="K47" s="1332"/>
      <c r="L47" s="1748"/>
      <c r="M47" s="1739"/>
      <c r="N47" s="1739"/>
      <c r="O47" s="1739"/>
      <c r="P47" s="3642" t="str">
        <f>A47</f>
        <v>成交单价（元/平方米）</v>
      </c>
      <c r="Q47" s="3642"/>
      <c r="R47" s="3643">
        <f>E47</f>
        <v>0</v>
      </c>
      <c r="S47" s="3643"/>
      <c r="T47" s="3643">
        <f>G47</f>
        <v>0</v>
      </c>
      <c r="U47" s="3643"/>
      <c r="V47" s="3643">
        <f>I47</f>
        <v>0</v>
      </c>
      <c r="W47" s="3643"/>
      <c r="X47" s="797"/>
      <c r="Y47" s="1311"/>
      <c r="Z47" s="797"/>
      <c r="AA47" s="797"/>
      <c r="AB47" s="797"/>
      <c r="AC47" s="797"/>
    </row>
    <row r="48" spans="1:29" ht="15.75" thickBot="1">
      <c r="A48" s="562" t="s">
        <v>2040</v>
      </c>
      <c r="B48" s="810"/>
      <c r="C48" s="2079" t="e">
        <f>R49</f>
        <v>#DIV/0!</v>
      </c>
      <c r="D48" s="2546" t="s">
        <v>2254</v>
      </c>
      <c r="E48" s="2080" t="e">
        <f>R48</f>
        <v>#DIV/0!</v>
      </c>
      <c r="F48" s="2547"/>
      <c r="G48" s="2079" t="e">
        <f>T48</f>
        <v>#DIV/0!</v>
      </c>
      <c r="H48" s="2547"/>
      <c r="I48" s="2080" t="e">
        <f>V48</f>
        <v>#DIV/0!</v>
      </c>
      <c r="J48" s="2547"/>
      <c r="K48" s="2554">
        <f>F48+H48+J48</f>
        <v>0</v>
      </c>
      <c r="L48" s="1748"/>
      <c r="M48" s="1739"/>
      <c r="N48" s="1739"/>
      <c r="O48" s="1739"/>
      <c r="P48" s="3642" t="str">
        <f>A48</f>
        <v>比较价格（元/平方米）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797"/>
      <c r="Y48" s="797"/>
      <c r="Z48" s="797"/>
      <c r="AA48" s="797"/>
      <c r="AB48" s="797"/>
      <c r="AC48" s="797"/>
    </row>
    <row r="49" spans="1:29" ht="15.75" thickBot="1">
      <c r="A49" s="566" t="s">
        <v>2191</v>
      </c>
      <c r="B49" s="567"/>
      <c r="C49" s="467" t="e">
        <f>R49</f>
        <v>#DIV/0!</v>
      </c>
      <c r="D49" s="467"/>
      <c r="E49" s="467"/>
      <c r="F49" s="467"/>
      <c r="G49" s="467"/>
      <c r="H49" s="467"/>
      <c r="I49" s="467"/>
      <c r="J49" s="467"/>
      <c r="K49" s="1333"/>
      <c r="L49" s="1748"/>
      <c r="M49" s="1739"/>
      <c r="N49" s="1739"/>
      <c r="O49" s="1739"/>
      <c r="P49" s="3680" t="str">
        <f>A49</f>
        <v>估价对象XX用房的比较价格（楼面单价，元/平方米）</v>
      </c>
      <c r="Q49" s="3681"/>
      <c r="R49" s="3697" t="e">
        <f>IF(F1="售价",ROUND(IF(D48="简单平均",AVERAGE(R48:V48),R48*F48+T48*H48+V48*J48),0),ROUND(IF(D48="简单平均",AVERAGE(R48:V48),R48*F48+T48*H48+V48*J48),1))</f>
        <v>#DIV/0!</v>
      </c>
      <c r="S49" s="3697"/>
      <c r="T49" s="3697"/>
      <c r="U49" s="3697"/>
      <c r="V49" s="3697"/>
      <c r="W49" s="3697"/>
      <c r="X49" s="797"/>
      <c r="Y49" s="797"/>
      <c r="Z49" s="797"/>
      <c r="AA49" s="797"/>
      <c r="AB49" s="797"/>
      <c r="AC49" s="797"/>
    </row>
    <row r="50" spans="1:29">
      <c r="A50" s="2715"/>
      <c r="B50" s="2715"/>
      <c r="C50" s="2715"/>
      <c r="D50" s="2715"/>
      <c r="E50" s="2715"/>
      <c r="F50" s="2715"/>
      <c r="G50" s="2717"/>
      <c r="H50" s="2715"/>
      <c r="I50" s="2715"/>
      <c r="J50" s="2715"/>
      <c r="K50" s="2718"/>
      <c r="L50" s="1752"/>
      <c r="M50" s="1739"/>
      <c r="N50" s="1739"/>
      <c r="O50" s="1739"/>
      <c r="P50" s="1739"/>
      <c r="Q50" s="1739"/>
      <c r="R50" s="1739"/>
      <c r="S50" s="1739"/>
      <c r="T50" s="1739"/>
      <c r="U50" s="1739"/>
      <c r="V50" s="1739"/>
      <c r="W50" s="1739"/>
      <c r="X50" s="1739"/>
      <c r="Y50" s="1739"/>
      <c r="Z50" s="1739"/>
      <c r="AA50" s="1739"/>
      <c r="AB50" s="1739"/>
      <c r="AC50" s="1739"/>
    </row>
    <row r="51" spans="1:29">
      <c r="A51" s="2715"/>
      <c r="B51" s="2715"/>
      <c r="C51" s="2715"/>
      <c r="D51" s="2715"/>
      <c r="E51" s="2715"/>
      <c r="F51" s="2715"/>
      <c r="G51" s="2715"/>
      <c r="H51" s="2715"/>
      <c r="I51" s="2715"/>
      <c r="J51" s="2715"/>
      <c r="K51" s="2718"/>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5"/>
      <c r="B52" s="2715"/>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8"/>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5"/>
      <c r="B53" s="2715"/>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8"/>
      <c r="L53" s="1752"/>
      <c r="M53" s="1739"/>
      <c r="N53" s="1739"/>
      <c r="O53" s="1739"/>
      <c r="P53" s="1739"/>
      <c r="Q53" s="1739"/>
      <c r="R53" s="1739"/>
      <c r="S53" s="1739"/>
      <c r="T53" s="1739"/>
      <c r="U53" s="1739"/>
      <c r="V53" s="1739"/>
      <c r="W53" s="1739"/>
      <c r="X53" s="1739"/>
      <c r="Y53" s="1739"/>
      <c r="Z53" s="1739"/>
      <c r="AA53" s="1739"/>
      <c r="AB53" s="1739"/>
      <c r="AC53" s="1739"/>
    </row>
    <row r="54" spans="1:29" s="1136" customFormat="1" ht="13.5" customHeight="1">
      <c r="A54" s="2716"/>
      <c r="B54" s="2716"/>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9"/>
      <c r="L54" s="1755"/>
      <c r="M54" s="1749"/>
      <c r="N54" s="1749"/>
      <c r="O54" s="1749"/>
      <c r="P54" s="1749"/>
      <c r="Q54" s="1749"/>
      <c r="R54" s="1749"/>
      <c r="S54" s="1749"/>
      <c r="T54" s="1749"/>
      <c r="U54" s="1749"/>
      <c r="V54" s="1749"/>
      <c r="W54" s="1749"/>
      <c r="X54" s="1749"/>
      <c r="Y54" s="1749"/>
      <c r="Z54" s="1749"/>
      <c r="AA54" s="1749"/>
      <c r="AB54" s="1749"/>
      <c r="AC54" s="1749"/>
    </row>
    <row r="55" spans="1:29" s="1136"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1.75" thickBot="1">
      <c r="A57" s="1314" t="s">
        <v>522</v>
      </c>
      <c r="B57" s="797"/>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8" customFormat="1" ht="15">
      <c r="A58" s="590" t="s">
        <v>478</v>
      </c>
      <c r="B58" s="591"/>
      <c r="C58" s="2110" t="str">
        <f>YEAR(C7)&amp;"-"&amp;MONTH(C7)</f>
        <v>2024-11</v>
      </c>
      <c r="D58" s="2112">
        <f>EDATE(C58,-1)</f>
        <v>45566</v>
      </c>
      <c r="E58" s="2112">
        <f t="shared" ref="E58:O58" si="13">EDATE(D58,-1)</f>
        <v>45536</v>
      </c>
      <c r="F58" s="2112">
        <f t="shared" si="13"/>
        <v>45505</v>
      </c>
      <c r="G58" s="2112">
        <f t="shared" si="13"/>
        <v>45474</v>
      </c>
      <c r="H58" s="2112">
        <f t="shared" si="13"/>
        <v>45444</v>
      </c>
      <c r="I58" s="2112">
        <f t="shared" si="13"/>
        <v>45413</v>
      </c>
      <c r="J58" s="2112">
        <f t="shared" si="13"/>
        <v>45383</v>
      </c>
      <c r="K58" s="2112">
        <f t="shared" si="13"/>
        <v>45352</v>
      </c>
      <c r="L58" s="2112">
        <f t="shared" si="13"/>
        <v>45323</v>
      </c>
      <c r="M58" s="2112">
        <f t="shared" si="13"/>
        <v>45292</v>
      </c>
      <c r="N58" s="2112">
        <f t="shared" si="13"/>
        <v>45261</v>
      </c>
      <c r="O58" s="2112">
        <f t="shared" si="13"/>
        <v>45231</v>
      </c>
      <c r="P58" s="1762"/>
      <c r="Q58" s="1762"/>
      <c r="R58" s="1762"/>
      <c r="S58" s="1762"/>
      <c r="T58" s="1762"/>
      <c r="U58" s="1762"/>
      <c r="V58" s="1762"/>
      <c r="W58" s="1762"/>
      <c r="X58" s="1762"/>
      <c r="Y58" s="1762"/>
      <c r="Z58" s="1762"/>
      <c r="AA58" s="1762"/>
      <c r="AB58" s="1762"/>
      <c r="AC58" s="1762"/>
    </row>
    <row r="59" spans="1:29" s="1057" customFormat="1" ht="15">
      <c r="A59" s="525"/>
      <c r="B59" s="592"/>
      <c r="C59" s="593">
        <v>100</v>
      </c>
      <c r="D59" s="594"/>
      <c r="E59" s="594"/>
      <c r="F59" s="594"/>
      <c r="G59" s="594"/>
      <c r="H59" s="594"/>
      <c r="I59" s="594"/>
      <c r="J59" s="594"/>
      <c r="K59" s="594"/>
      <c r="L59" s="594"/>
      <c r="M59" s="485"/>
      <c r="N59" s="594"/>
      <c r="O59" s="595"/>
      <c r="P59" s="1760"/>
      <c r="Q59" s="1637"/>
      <c r="R59" s="1637"/>
      <c r="S59" s="1637"/>
      <c r="T59" s="1637"/>
      <c r="U59" s="1637"/>
      <c r="V59" s="1637"/>
      <c r="W59" s="1637"/>
      <c r="X59" s="1637"/>
      <c r="Y59" s="1637"/>
      <c r="Z59" s="1637"/>
      <c r="AA59" s="1637"/>
      <c r="AB59" s="1637"/>
      <c r="AC59" s="1637"/>
    </row>
    <row r="60" spans="1:29" s="1057" customFormat="1" ht="15.75" thickBot="1">
      <c r="A60" s="260"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7" customFormat="1" ht="15">
      <c r="A61" s="601" t="s">
        <v>480</v>
      </c>
      <c r="B61" s="592"/>
      <c r="C61" s="602" t="s">
        <v>524</v>
      </c>
      <c r="D61" s="80"/>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7" customFormat="1" ht="15.75" thickBot="1">
      <c r="A62" s="601"/>
      <c r="B62" s="592"/>
      <c r="C62" s="811">
        <v>100</v>
      </c>
      <c r="D62" s="594"/>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043"/>
    </row>
    <row r="63" spans="1:29">
      <c r="A63" s="605" t="s">
        <v>525</v>
      </c>
      <c r="B63" s="606" t="s">
        <v>483</v>
      </c>
      <c r="C63" s="643">
        <f>C9</f>
        <v>0</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5.75" thickBot="1">
      <c r="A64" s="480"/>
      <c r="B64" s="610"/>
      <c r="C64" s="611"/>
      <c r="D64" s="611"/>
      <c r="E64" s="611"/>
      <c r="F64" s="611"/>
      <c r="G64" s="611"/>
      <c r="H64" s="611"/>
      <c r="I64" s="611"/>
      <c r="J64" s="611"/>
      <c r="K64" s="611"/>
      <c r="L64" s="611"/>
      <c r="M64" s="612"/>
      <c r="N64" s="1765"/>
      <c r="O64" s="1765"/>
      <c r="P64" s="1763"/>
      <c r="Q64" s="1760"/>
      <c r="R64" s="1739"/>
      <c r="S64" s="1739"/>
      <c r="T64" s="1739"/>
      <c r="U64" s="1739"/>
      <c r="V64" s="1739"/>
      <c r="W64" s="1739"/>
      <c r="X64" s="1739"/>
      <c r="Y64" s="1739"/>
      <c r="Z64" s="1739"/>
      <c r="AA64" s="1739"/>
      <c r="AB64" s="1739"/>
      <c r="AC64" s="1739"/>
    </row>
    <row r="65" spans="1:29" ht="27.75" thickTop="1">
      <c r="A65" s="480"/>
      <c r="B65" s="613" t="s">
        <v>486</v>
      </c>
      <c r="C65" s="656"/>
      <c r="D65" s="656"/>
      <c r="E65" s="656"/>
      <c r="F65" s="656"/>
      <c r="G65" s="656"/>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1"/>
      <c r="D66" s="611"/>
      <c r="E66" s="611"/>
      <c r="F66" s="611"/>
      <c r="G66" s="611"/>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0"/>
      <c r="B68" s="623"/>
      <c r="C68" s="489"/>
      <c r="D68" s="489"/>
      <c r="E68" s="489"/>
      <c r="F68" s="489"/>
      <c r="G68" s="489"/>
      <c r="H68" s="489"/>
      <c r="I68" s="489"/>
      <c r="J68" s="489"/>
      <c r="K68" s="624"/>
      <c r="L68" s="625"/>
      <c r="M68" s="626"/>
      <c r="N68" s="1764"/>
      <c r="O68" s="1764"/>
      <c r="P68" s="1763"/>
      <c r="Q68" s="1760"/>
      <c r="R68" s="1739"/>
      <c r="S68" s="1739"/>
      <c r="T68" s="1739"/>
      <c r="U68" s="1739"/>
      <c r="V68" s="1739"/>
      <c r="W68" s="1739"/>
      <c r="X68" s="1739"/>
      <c r="Y68" s="1739"/>
      <c r="Z68" s="1739"/>
      <c r="AA68" s="1739"/>
      <c r="AB68" s="1739"/>
      <c r="AC68" s="1739"/>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5"/>
      <c r="O69" s="1765"/>
      <c r="P69" s="1763"/>
      <c r="Q69" s="1760"/>
      <c r="R69" s="1739"/>
      <c r="S69" s="1739"/>
      <c r="T69" s="1739"/>
      <c r="U69" s="1739"/>
      <c r="V69" s="1739"/>
      <c r="W69" s="1739"/>
      <c r="X69" s="1739"/>
      <c r="Y69" s="1739"/>
      <c r="Z69" s="1739"/>
      <c r="AA69" s="1739"/>
      <c r="AB69" s="1739"/>
      <c r="AC69" s="1739"/>
    </row>
    <row r="70" spans="1:29" s="1131" customFormat="1" ht="15.75" thickTop="1">
      <c r="A70" s="627"/>
      <c r="B70" s="613">
        <f>B12</f>
        <v>111</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1" customFormat="1" ht="15.7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1" customFormat="1" ht="15.7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1" customFormat="1" ht="15.75" thickBot="1">
      <c r="A73" s="627"/>
      <c r="B73" s="618"/>
      <c r="C73" s="632"/>
      <c r="D73" s="611"/>
      <c r="E73" s="611"/>
      <c r="F73" s="611"/>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1" customFormat="1" ht="15.7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1" customFormat="1" ht="15.7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1552" t="s">
        <v>1838</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5.75" thickTop="1">
      <c r="A82" s="480"/>
      <c r="B82" s="2053" t="s">
        <v>1839</v>
      </c>
      <c r="C82" s="2054" t="s">
        <v>1840</v>
      </c>
      <c r="D82" s="2054" t="s">
        <v>1841</v>
      </c>
      <c r="E82" s="2054" t="s">
        <v>1842</v>
      </c>
      <c r="F82" s="2054" t="s">
        <v>1843</v>
      </c>
      <c r="G82" s="2054" t="s">
        <v>1844</v>
      </c>
      <c r="H82" s="614"/>
      <c r="I82" s="614"/>
      <c r="J82" s="614"/>
      <c r="K82" s="614"/>
      <c r="L82" s="614"/>
      <c r="M82" s="2057"/>
      <c r="N82" s="1765"/>
      <c r="O82" s="1765"/>
      <c r="P82" s="1763"/>
      <c r="Q82" s="1760"/>
      <c r="R82" s="1739"/>
      <c r="S82" s="1739"/>
      <c r="T82" s="1739"/>
      <c r="U82" s="1739"/>
      <c r="V82" s="1739"/>
      <c r="W82" s="1739"/>
      <c r="X82" s="1739"/>
      <c r="Y82" s="1739"/>
      <c r="Z82" s="1739"/>
      <c r="AA82" s="1739"/>
      <c r="AB82" s="1739"/>
      <c r="AC82" s="1739"/>
    </row>
    <row r="83" spans="1:29" ht="15.75" thickBot="1">
      <c r="A83" s="480"/>
      <c r="B83" s="621"/>
      <c r="C83" s="619">
        <v>100</v>
      </c>
      <c r="D83" s="619">
        <f>C83-$K21</f>
        <v>100</v>
      </c>
      <c r="E83" s="619">
        <f>D83-$K21</f>
        <v>100</v>
      </c>
      <c r="F83" s="619">
        <f>E83-$K21</f>
        <v>100</v>
      </c>
      <c r="G83" s="619">
        <f>F83-$K21</f>
        <v>100</v>
      </c>
      <c r="H83" s="853"/>
      <c r="I83" s="853"/>
      <c r="J83" s="853"/>
      <c r="K83" s="853"/>
      <c r="L83" s="853"/>
      <c r="M83" s="507"/>
      <c r="N83" s="1765"/>
      <c r="O83" s="1765"/>
      <c r="P83" s="1763"/>
      <c r="Q83" s="1760"/>
      <c r="R83" s="1739"/>
      <c r="S83" s="1739"/>
      <c r="T83" s="1739"/>
      <c r="U83" s="1739"/>
      <c r="V83" s="1739"/>
      <c r="W83" s="1739"/>
      <c r="X83" s="1739"/>
      <c r="Y83" s="1739"/>
      <c r="Z83" s="1739"/>
      <c r="AA83" s="1739"/>
      <c r="AB83" s="1739"/>
      <c r="AC83" s="1739"/>
    </row>
    <row r="84" spans="1:29" ht="15.7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7" customFormat="1" ht="15.75" thickTop="1">
      <c r="A86" s="484"/>
      <c r="B86" s="613" t="s">
        <v>711</v>
      </c>
      <c r="C86" s="628"/>
      <c r="D86" s="628"/>
      <c r="E86" s="628"/>
      <c r="F86" s="628"/>
      <c r="G86" s="628"/>
      <c r="H86" s="628"/>
      <c r="I86" s="628"/>
      <c r="J86" s="628"/>
      <c r="K86" s="628"/>
      <c r="L86" s="812"/>
      <c r="M86" s="813"/>
      <c r="N86" s="1763"/>
      <c r="O86" s="1763"/>
      <c r="P86" s="1763"/>
      <c r="Q86" s="1760"/>
      <c r="R86" s="1637"/>
      <c r="S86" s="1637"/>
      <c r="T86" s="1637"/>
      <c r="U86" s="1637"/>
      <c r="V86" s="1637"/>
      <c r="W86" s="1637"/>
      <c r="X86" s="1637"/>
      <c r="Y86" s="1637"/>
      <c r="Z86" s="1637"/>
      <c r="AA86" s="1637"/>
      <c r="AB86" s="1637"/>
      <c r="AC86" s="1637"/>
    </row>
    <row r="87" spans="1:29" s="1057"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637"/>
      <c r="S87" s="1637"/>
      <c r="T87" s="1637"/>
      <c r="U87" s="1637"/>
      <c r="V87" s="1637"/>
      <c r="W87" s="1637"/>
      <c r="X87" s="1637"/>
      <c r="Y87" s="1637"/>
      <c r="Z87" s="1637"/>
      <c r="AA87" s="1637"/>
      <c r="AB87" s="1637"/>
      <c r="AC87" s="1637"/>
    </row>
    <row r="88" spans="1:29" s="1057" customFormat="1" ht="15.75" thickTop="1">
      <c r="A88" s="484"/>
      <c r="B88" s="613" t="str">
        <f>B26</f>
        <v>平面位置/可视性</v>
      </c>
      <c r="C88" s="628"/>
      <c r="D88" s="628"/>
      <c r="E88" s="628"/>
      <c r="F88" s="814"/>
      <c r="G88" s="628"/>
      <c r="H88" s="628"/>
      <c r="I88" s="628"/>
      <c r="J88" s="628"/>
      <c r="K88" s="628"/>
      <c r="L88" s="628"/>
      <c r="M88" s="813"/>
      <c r="N88" s="1763"/>
      <c r="O88" s="1763"/>
      <c r="P88" s="1763"/>
      <c r="Q88" s="1760"/>
      <c r="R88" s="1637"/>
      <c r="S88" s="1637"/>
      <c r="T88" s="1637"/>
      <c r="U88" s="1637"/>
      <c r="V88" s="1637"/>
      <c r="W88" s="1637"/>
      <c r="X88" s="1637"/>
      <c r="Y88" s="1637"/>
      <c r="Z88" s="1637"/>
      <c r="AA88" s="1637"/>
      <c r="AB88" s="1637"/>
      <c r="AC88" s="1637"/>
    </row>
    <row r="89" spans="1:29" s="1057" customFormat="1" ht="15.75" thickBot="1">
      <c r="A89" s="484"/>
      <c r="B89" s="618"/>
      <c r="C89" s="632"/>
      <c r="D89" s="611"/>
      <c r="E89" s="611"/>
      <c r="F89" s="611"/>
      <c r="G89" s="611"/>
      <c r="H89" s="611"/>
      <c r="I89" s="611"/>
      <c r="J89" s="611"/>
      <c r="K89" s="611"/>
      <c r="L89" s="611"/>
      <c r="M89" s="611"/>
      <c r="N89" s="1765"/>
      <c r="O89" s="1765"/>
      <c r="P89" s="1763"/>
      <c r="Q89" s="1760"/>
      <c r="R89" s="1637"/>
      <c r="S89" s="1637"/>
      <c r="T89" s="1637"/>
      <c r="U89" s="1637"/>
      <c r="V89" s="1637"/>
      <c r="W89" s="1637"/>
      <c r="X89" s="1637"/>
      <c r="Y89" s="1637"/>
      <c r="Z89" s="1637"/>
      <c r="AA89" s="1637"/>
      <c r="AB89" s="1637"/>
      <c r="AC89" s="1637"/>
    </row>
    <row r="90" spans="1:29" s="1131" customFormat="1" ht="15.75" thickTop="1">
      <c r="A90" s="627"/>
      <c r="B90" s="613" t="str">
        <f>B27</f>
        <v>人流量</v>
      </c>
      <c r="C90" s="628"/>
      <c r="D90" s="628"/>
      <c r="E90" s="628"/>
      <c r="F90" s="628"/>
      <c r="G90" s="628"/>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1"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6"/>
      <c r="O91" s="1766"/>
      <c r="P91" s="1766"/>
      <c r="Q91" s="1767"/>
      <c r="R91" s="1768"/>
      <c r="S91" s="1768"/>
      <c r="T91" s="1768"/>
      <c r="U91" s="1768"/>
      <c r="V91" s="1768"/>
      <c r="W91" s="1768"/>
      <c r="X91" s="1768"/>
      <c r="Y91" s="1768"/>
      <c r="Z91" s="1768"/>
      <c r="AA91" s="1768"/>
      <c r="AB91" s="1768"/>
      <c r="AC91" s="1768"/>
    </row>
    <row r="92" spans="1:29" ht="15.75" thickTop="1">
      <c r="A92" s="480"/>
      <c r="B92" s="613" t="str">
        <f>B28</f>
        <v>楼层</v>
      </c>
      <c r="C92" s="628"/>
      <c r="D92" s="628"/>
      <c r="E92" s="628"/>
      <c r="F92" s="628"/>
      <c r="G92" s="628"/>
      <c r="H92" s="628"/>
      <c r="I92" s="628"/>
      <c r="J92" s="628"/>
      <c r="K92" s="628"/>
      <c r="L92" s="812"/>
      <c r="M92" s="813"/>
      <c r="N92" s="1764"/>
      <c r="O92" s="1764"/>
      <c r="P92" s="1763"/>
      <c r="Q92" s="1760"/>
      <c r="R92" s="1739"/>
      <c r="S92" s="1739"/>
      <c r="T92" s="1739"/>
      <c r="U92" s="1739"/>
      <c r="V92" s="1739"/>
      <c r="W92" s="1739"/>
      <c r="X92" s="1739"/>
      <c r="Y92" s="1739"/>
      <c r="Z92" s="1739"/>
      <c r="AA92" s="1739"/>
      <c r="AB92" s="1739"/>
      <c r="AC92" s="1739"/>
    </row>
    <row r="93" spans="1:29" ht="15.75" thickBot="1">
      <c r="A93" s="480"/>
      <c r="B93" s="618"/>
      <c r="C93" s="611"/>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5.7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5.75" thickBot="1">
      <c r="A95" s="480"/>
      <c r="B95" s="618"/>
      <c r="C95" s="632"/>
      <c r="D95" s="611"/>
      <c r="E95" s="611"/>
      <c r="F95" s="611"/>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5.7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5.75" thickBot="1">
      <c r="A97" s="480"/>
      <c r="B97" s="618"/>
      <c r="C97" s="632"/>
      <c r="D97" s="611"/>
      <c r="E97" s="611"/>
      <c r="F97" s="611"/>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5.75" thickTop="1">
      <c r="A98" s="480"/>
      <c r="B98" s="621">
        <f>B31</f>
        <v>111</v>
      </c>
      <c r="C98" s="628"/>
      <c r="D98" s="628"/>
      <c r="E98" s="628"/>
      <c r="F98" s="628"/>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5.75" thickBot="1">
      <c r="A99" s="491"/>
      <c r="B99" s="639"/>
      <c r="C99" s="640"/>
      <c r="D99" s="640"/>
      <c r="E99" s="640"/>
      <c r="F99" s="640"/>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712</v>
      </c>
      <c r="C100" s="545"/>
      <c r="D100" s="545"/>
      <c r="E100" s="545"/>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5"/>
      <c r="O101" s="1765"/>
      <c r="P101" s="1763"/>
      <c r="Q101" s="1760"/>
      <c r="R101" s="1739"/>
      <c r="S101" s="1739"/>
      <c r="T101" s="1739"/>
      <c r="U101" s="1739"/>
      <c r="V101" s="1739"/>
      <c r="W101" s="1739"/>
      <c r="X101" s="1739"/>
      <c r="Y101" s="1739"/>
      <c r="Z101" s="1739"/>
      <c r="AA101" s="1739"/>
      <c r="AB101" s="1739"/>
      <c r="AC101" s="1739"/>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1" customFormat="1">
      <c r="A103" s="550"/>
      <c r="B103" s="666"/>
      <c r="C103" s="79"/>
      <c r="D103" s="79"/>
      <c r="E103" s="79"/>
      <c r="F103" s="79"/>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1" customFormat="1" ht="15.75" thickBot="1">
      <c r="A104" s="627"/>
      <c r="B104" s="618"/>
      <c r="C104" s="632"/>
      <c r="D104" s="611"/>
      <c r="E104" s="611"/>
      <c r="F104" s="611"/>
      <c r="G104" s="611"/>
      <c r="H104" s="611"/>
      <c r="I104" s="611"/>
      <c r="J104" s="611"/>
      <c r="K104" s="611"/>
      <c r="L104" s="611"/>
      <c r="M104" s="612"/>
      <c r="N104" s="1765"/>
      <c r="O104" s="1765"/>
      <c r="P104" s="1766"/>
      <c r="Q104" s="1767"/>
      <c r="R104" s="1768"/>
      <c r="S104" s="1768"/>
      <c r="T104" s="1768"/>
      <c r="U104" s="1768"/>
      <c r="V104" s="1768"/>
      <c r="W104" s="1768"/>
      <c r="X104" s="1768"/>
      <c r="Y104" s="1768"/>
      <c r="Z104" s="1768"/>
      <c r="AA104" s="1768"/>
      <c r="AB104" s="1768"/>
      <c r="AC104" s="1768"/>
    </row>
    <row r="105" spans="1:29" ht="15" thickTop="1">
      <c r="A105" s="541"/>
      <c r="B105" s="613" t="s">
        <v>689</v>
      </c>
      <c r="C105" s="628"/>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1"/>
      <c r="B107" s="613" t="s">
        <v>691</v>
      </c>
      <c r="C107" s="628"/>
      <c r="D107" s="628"/>
      <c r="E107" s="628"/>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c r="A110" s="541"/>
      <c r="B110" s="621"/>
      <c r="C110" s="815">
        <v>0.5</v>
      </c>
      <c r="D110" s="815">
        <v>0.6</v>
      </c>
      <c r="E110" s="815">
        <v>0.7</v>
      </c>
      <c r="F110" s="815">
        <v>0.8</v>
      </c>
      <c r="G110" s="815">
        <v>0.9</v>
      </c>
      <c r="H110" s="815">
        <v>1.0001</v>
      </c>
      <c r="I110" s="825"/>
      <c r="J110" s="825"/>
      <c r="K110" s="826"/>
      <c r="L110" s="827"/>
      <c r="M110" s="828"/>
      <c r="N110" s="1764"/>
      <c r="O110" s="1764"/>
      <c r="P110" s="1763"/>
      <c r="Q110" s="1760"/>
      <c r="R110" s="1739"/>
      <c r="S110" s="1739"/>
      <c r="T110" s="1739"/>
      <c r="U110" s="1739"/>
      <c r="V110" s="1739"/>
      <c r="W110" s="1739"/>
      <c r="X110" s="1739"/>
      <c r="Y110" s="1739"/>
      <c r="Z110" s="1739"/>
      <c r="AA110" s="1739"/>
      <c r="AB110" s="1739"/>
      <c r="AC110" s="1739"/>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5"/>
      <c r="O111" s="1765"/>
      <c r="P111" s="1763"/>
      <c r="Q111" s="1760"/>
      <c r="R111" s="1739"/>
      <c r="S111" s="1739"/>
      <c r="T111" s="1739"/>
      <c r="U111" s="1739"/>
      <c r="V111" s="1739"/>
      <c r="W111" s="1739"/>
      <c r="X111" s="1739"/>
      <c r="Y111" s="1739"/>
      <c r="Z111" s="1739"/>
      <c r="AA111" s="1739"/>
      <c r="AB111" s="1739"/>
      <c r="AC111" s="1739"/>
    </row>
    <row r="112" spans="1:29" s="1131" customFormat="1" ht="15" thickTop="1">
      <c r="A112" s="550"/>
      <c r="B112" s="1552" t="s">
        <v>1837</v>
      </c>
      <c r="C112" s="628"/>
      <c r="D112" s="628"/>
      <c r="E112" s="628"/>
      <c r="F112" s="628"/>
      <c r="G112" s="628"/>
      <c r="H112" s="656"/>
      <c r="I112" s="656"/>
      <c r="J112" s="656"/>
      <c r="K112" s="657"/>
      <c r="L112" s="658"/>
      <c r="M112" s="659"/>
      <c r="N112" s="1766"/>
      <c r="O112" s="1766"/>
      <c r="P112" s="1766"/>
      <c r="Q112" s="1767"/>
      <c r="R112" s="1768"/>
      <c r="S112" s="1768"/>
      <c r="T112" s="1768"/>
      <c r="U112" s="1768"/>
      <c r="V112" s="1768"/>
      <c r="W112" s="1768"/>
      <c r="X112" s="1768"/>
      <c r="Y112" s="1768"/>
      <c r="Z112" s="1768"/>
      <c r="AA112" s="1768"/>
      <c r="AB112" s="1768"/>
      <c r="AC112" s="1768"/>
    </row>
    <row r="113" spans="1:29" s="1131"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1"/>
      <c r="B114" s="613" t="s">
        <v>713</v>
      </c>
      <c r="C114" s="628"/>
      <c r="D114" s="628"/>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1"/>
      <c r="B116" s="613" t="s">
        <v>714</v>
      </c>
      <c r="C116" s="628"/>
      <c r="D116" s="628"/>
      <c r="E116" s="628"/>
      <c r="F116" s="628"/>
      <c r="G116" s="628"/>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5" thickTop="1">
      <c r="A118" s="541"/>
      <c r="B118" s="613" t="s">
        <v>715</v>
      </c>
      <c r="C118" s="829"/>
      <c r="D118" s="829"/>
      <c r="E118" s="829"/>
      <c r="F118" s="829"/>
      <c r="G118" s="829"/>
      <c r="H118" s="629"/>
      <c r="I118" s="629"/>
      <c r="J118" s="629"/>
      <c r="K118" s="629"/>
      <c r="L118" s="630"/>
      <c r="M118" s="631"/>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632"/>
      <c r="D119" s="611"/>
      <c r="E119" s="611"/>
      <c r="F119" s="611"/>
      <c r="G119" s="611"/>
      <c r="H119" s="611"/>
      <c r="I119" s="611"/>
      <c r="J119" s="611"/>
      <c r="K119" s="611"/>
      <c r="L119" s="611"/>
      <c r="M119" s="612"/>
      <c r="N119" s="1765"/>
      <c r="O119" s="1765"/>
      <c r="P119" s="1763"/>
      <c r="Q119" s="1760"/>
      <c r="R119" s="1739"/>
      <c r="S119" s="1739"/>
      <c r="T119" s="1739"/>
      <c r="U119" s="1739"/>
      <c r="V119" s="1739"/>
      <c r="W119" s="1739"/>
      <c r="X119" s="1739"/>
      <c r="Y119" s="1739"/>
      <c r="Z119" s="1739"/>
      <c r="AA119" s="1739"/>
      <c r="AB119" s="1739"/>
      <c r="AC119" s="1739"/>
    </row>
    <row r="120" spans="1:29" s="1131" customFormat="1" ht="15" thickTop="1">
      <c r="A120" s="550"/>
      <c r="B120" s="613" t="s">
        <v>716</v>
      </c>
      <c r="C120" s="656"/>
      <c r="D120" s="656"/>
      <c r="E120" s="656"/>
      <c r="F120" s="656"/>
      <c r="G120" s="629"/>
      <c r="H120" s="629"/>
      <c r="I120" s="629"/>
      <c r="J120" s="629"/>
      <c r="K120" s="629"/>
      <c r="L120" s="630"/>
      <c r="M120" s="631"/>
      <c r="N120" s="1766"/>
      <c r="O120" s="1766"/>
      <c r="P120" s="1766"/>
      <c r="Q120" s="1767"/>
      <c r="R120" s="1768"/>
      <c r="S120" s="1768"/>
      <c r="T120" s="1768"/>
      <c r="U120" s="1768"/>
      <c r="V120" s="1768"/>
      <c r="W120" s="1768"/>
      <c r="X120" s="1768"/>
      <c r="Y120" s="1768"/>
      <c r="Z120" s="1768"/>
      <c r="AA120" s="1768"/>
      <c r="AB120" s="1768"/>
      <c r="AC120" s="1768"/>
    </row>
    <row r="121" spans="1:29" s="1131"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1"/>
      <c r="B122" s="613" t="s">
        <v>695</v>
      </c>
      <c r="C122" s="628"/>
      <c r="D122" s="628"/>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1" customFormat="1" ht="15" thickTop="1">
      <c r="A126" s="550"/>
      <c r="B126" s="613">
        <f>B44</f>
        <v>111</v>
      </c>
      <c r="C126" s="628"/>
      <c r="D126" s="628"/>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1" customFormat="1" ht="15.75" thickBot="1">
      <c r="A127" s="627"/>
      <c r="B127" s="618"/>
      <c r="C127" s="632"/>
      <c r="D127" s="611"/>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11"/>
      <c r="E129" s="611"/>
      <c r="F129" s="611"/>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5.7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4"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452" t="s">
        <v>717</v>
      </c>
      <c r="C1" s="453" t="s">
        <v>667</v>
      </c>
      <c r="D1" s="781"/>
      <c r="E1" s="455"/>
      <c r="F1" s="2115"/>
      <c r="G1" s="1325" t="s">
        <v>668</v>
      </c>
      <c r="H1" s="455"/>
      <c r="I1" s="455"/>
      <c r="J1" s="455"/>
      <c r="K1" s="456"/>
      <c r="L1" s="2712"/>
      <c r="M1" s="2713"/>
      <c r="N1" s="2713"/>
      <c r="O1" s="2713"/>
      <c r="P1" s="2768"/>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671"/>
      <c r="F2" s="1734"/>
      <c r="G2" s="1733"/>
      <c r="H2" s="1733"/>
      <c r="I2" s="1733"/>
      <c r="J2" s="1733"/>
      <c r="K2" s="1733"/>
      <c r="L2" s="1736"/>
      <c r="M2" s="1737"/>
      <c r="N2" s="1737"/>
      <c r="O2" s="1737"/>
      <c r="P2" s="2768"/>
      <c r="Q2" s="1737"/>
      <c r="R2" s="1737"/>
      <c r="S2" s="1737"/>
      <c r="T2" s="1737"/>
      <c r="U2" s="1737"/>
      <c r="V2" s="1737"/>
      <c r="W2" s="1737"/>
      <c r="X2" s="1737"/>
      <c r="Y2" s="1737"/>
      <c r="Z2" s="1737"/>
      <c r="AA2" s="1737"/>
      <c r="AB2" s="1737"/>
      <c r="AC2" s="1671"/>
    </row>
    <row r="3" spans="1:29" s="1128" customFormat="1" ht="28.5" customHeight="1" thickBot="1">
      <c r="A3" s="458" t="s">
        <v>468</v>
      </c>
      <c r="B3" s="459" t="e">
        <f>C50</f>
        <v>#DIV/0!</v>
      </c>
      <c r="C3" s="784" t="s">
        <v>669</v>
      </c>
      <c r="D3" s="783">
        <f>SUMIF('数据-汇总表'!$C19:$C33,D1,'数据-汇总表'!$E19:$E33)</f>
        <v>0</v>
      </c>
      <c r="E3" s="1671"/>
      <c r="F3" s="1734"/>
      <c r="G3" s="1733"/>
      <c r="H3" s="1733"/>
      <c r="I3" s="1733"/>
      <c r="J3" s="1733"/>
      <c r="K3" s="1735"/>
      <c r="L3" s="1736"/>
      <c r="M3" s="1737"/>
      <c r="N3" s="1737"/>
      <c r="O3" s="1737"/>
      <c r="P3" s="2768"/>
      <c r="Q3" s="1737"/>
      <c r="R3" s="1737"/>
      <c r="S3" s="1737"/>
      <c r="T3" s="1737"/>
      <c r="U3" s="1737"/>
      <c r="V3" s="1737"/>
      <c r="W3" s="1737"/>
      <c r="X3" s="1737"/>
      <c r="Y3" s="1737"/>
      <c r="Z3" s="1737"/>
      <c r="AA3" s="1737"/>
      <c r="AB3" s="1737"/>
      <c r="AC3" s="1671"/>
    </row>
    <row r="4" spans="1:29" ht="15">
      <c r="A4" s="461" t="s">
        <v>470</v>
      </c>
      <c r="B4" s="462"/>
      <c r="C4" s="3648" t="s">
        <v>471</v>
      </c>
      <c r="D4" s="3649"/>
      <c r="E4" s="3688" t="s">
        <v>472</v>
      </c>
      <c r="F4" s="3689"/>
      <c r="G4" s="3648" t="s">
        <v>473</v>
      </c>
      <c r="H4" s="3649"/>
      <c r="I4" s="3648" t="s">
        <v>474</v>
      </c>
      <c r="J4" s="3649"/>
      <c r="K4" s="463" t="s">
        <v>475</v>
      </c>
      <c r="L4" s="1738"/>
      <c r="M4" s="1739"/>
      <c r="N4" s="1739"/>
      <c r="O4" s="1739"/>
      <c r="P4" s="3777" t="s">
        <v>476</v>
      </c>
      <c r="Q4" s="3651"/>
      <c r="R4" s="3656" t="s">
        <v>472</v>
      </c>
      <c r="S4" s="3657"/>
      <c r="T4" s="3656" t="s">
        <v>473</v>
      </c>
      <c r="U4" s="3657"/>
      <c r="V4" s="3643" t="s">
        <v>474</v>
      </c>
      <c r="W4" s="3643"/>
      <c r="X4" s="1299"/>
      <c r="Y4" s="3656" t="s">
        <v>476</v>
      </c>
      <c r="Z4" s="3657"/>
      <c r="AA4" s="3645" t="s">
        <v>472</v>
      </c>
      <c r="AB4" s="3645" t="s">
        <v>473</v>
      </c>
      <c r="AC4" s="3645" t="s">
        <v>474</v>
      </c>
    </row>
    <row r="5" spans="1:29" ht="15">
      <c r="A5" s="464"/>
      <c r="B5" s="465"/>
      <c r="C5" s="3664" t="s">
        <v>2185</v>
      </c>
      <c r="D5" s="3665"/>
      <c r="E5" s="3690" t="s">
        <v>2186</v>
      </c>
      <c r="F5" s="3691"/>
      <c r="G5" s="3664" t="s">
        <v>2187</v>
      </c>
      <c r="H5" s="3665"/>
      <c r="I5" s="3664" t="s">
        <v>2188</v>
      </c>
      <c r="J5" s="3665"/>
      <c r="K5" s="463"/>
      <c r="L5" s="1738"/>
      <c r="M5" s="1739"/>
      <c r="N5" s="1739"/>
      <c r="O5" s="1739"/>
      <c r="P5" s="3778"/>
      <c r="Q5" s="3653"/>
      <c r="R5" s="3658"/>
      <c r="S5" s="3659"/>
      <c r="T5" s="3658"/>
      <c r="U5" s="3659"/>
      <c r="V5" s="3643"/>
      <c r="W5" s="3643"/>
      <c r="X5" s="1299"/>
      <c r="Y5" s="3658"/>
      <c r="Z5" s="3659"/>
      <c r="AA5" s="3646"/>
      <c r="AB5" s="3646"/>
      <c r="AC5" s="3646"/>
    </row>
    <row r="6" spans="1:29" ht="15.75" thickBot="1">
      <c r="A6" s="466"/>
      <c r="B6" s="467"/>
      <c r="C6" s="3662" t="s">
        <v>2189</v>
      </c>
      <c r="D6" s="3663"/>
      <c r="E6" s="3686" t="s">
        <v>2189</v>
      </c>
      <c r="F6" s="3687"/>
      <c r="G6" s="3662" t="s">
        <v>2189</v>
      </c>
      <c r="H6" s="3663"/>
      <c r="I6" s="3662" t="s">
        <v>2189</v>
      </c>
      <c r="J6" s="3663"/>
      <c r="K6" s="463" t="s">
        <v>477</v>
      </c>
      <c r="L6" s="1738"/>
      <c r="M6" s="1739"/>
      <c r="N6" s="1739"/>
      <c r="O6" s="1739"/>
      <c r="P6" s="3779"/>
      <c r="Q6" s="3655"/>
      <c r="R6" s="3658"/>
      <c r="S6" s="3659"/>
      <c r="T6" s="3660"/>
      <c r="U6" s="3661"/>
      <c r="V6" s="3643"/>
      <c r="W6" s="3643"/>
      <c r="X6" s="1299"/>
      <c r="Y6" s="3660"/>
      <c r="Z6" s="3661"/>
      <c r="AA6" s="3647"/>
      <c r="AB6" s="3647"/>
      <c r="AC6" s="3647"/>
    </row>
    <row r="7" spans="1:29" s="1057" customFormat="1" ht="15.75" thickBot="1">
      <c r="A7" s="2205"/>
      <c r="B7" s="2212" t="s">
        <v>478</v>
      </c>
      <c r="C7" s="468">
        <f>'数据-取费表'!B2</f>
        <v>45617</v>
      </c>
      <c r="D7" s="469">
        <v>100</v>
      </c>
      <c r="E7" s="470"/>
      <c r="F7" s="471">
        <f>SUMIF(59:59,YEAR(E7)&amp;"-"&amp;MONTH(E7),60:60)</f>
        <v>0</v>
      </c>
      <c r="G7" s="470"/>
      <c r="H7" s="469">
        <f>SUMIF(59:59,YEAR(G7)&amp;"-"&amp;MONTH(G7),60:60)</f>
        <v>0</v>
      </c>
      <c r="I7" s="470"/>
      <c r="J7" s="469">
        <f>SUMIF(59:59,YEAR(I7)&amp;"-"&amp;MONTH(I7),60:60)</f>
        <v>0</v>
      </c>
      <c r="K7" s="88"/>
      <c r="L7" s="1740"/>
      <c r="M7" s="1637"/>
      <c r="N7" s="1637"/>
      <c r="O7" s="1637"/>
      <c r="P7" s="3675" t="s">
        <v>479</v>
      </c>
      <c r="Q7" s="3675"/>
      <c r="R7" s="1300" t="s">
        <v>5</v>
      </c>
      <c r="S7" s="1301">
        <f t="shared" ref="S7:S15" si="0">F7</f>
        <v>0</v>
      </c>
      <c r="T7" s="1300" t="s">
        <v>5</v>
      </c>
      <c r="U7" s="1301">
        <f t="shared" ref="U7:U15" si="1">H7</f>
        <v>0</v>
      </c>
      <c r="V7" s="1300" t="s">
        <v>5</v>
      </c>
      <c r="W7" s="1301">
        <f t="shared" ref="W7:W15" si="2">J7</f>
        <v>0</v>
      </c>
      <c r="X7" s="1302"/>
      <c r="Y7" s="3673" t="s">
        <v>479</v>
      </c>
      <c r="Z7" s="3674"/>
      <c r="AA7" s="994" t="e">
        <f>D7/F7</f>
        <v>#DIV/0!</v>
      </c>
      <c r="AB7" s="994" t="e">
        <f>D7/H7</f>
        <v>#DIV/0!</v>
      </c>
      <c r="AC7" s="994" t="e">
        <f>D7/J7</f>
        <v>#DIV/0!</v>
      </c>
    </row>
    <row r="8" spans="1:29" s="1057" customFormat="1" ht="15.75" thickBot="1">
      <c r="A8" s="2206"/>
      <c r="B8" s="2213" t="s">
        <v>480</v>
      </c>
      <c r="C8" s="473" t="s">
        <v>524</v>
      </c>
      <c r="D8" s="469">
        <v>100</v>
      </c>
      <c r="E8" s="473"/>
      <c r="F8" s="471">
        <f>SUMIF(62:62,E8,63:63)-SUMIF(62:62,C8,63:63)+100</f>
        <v>0</v>
      </c>
      <c r="G8" s="473"/>
      <c r="H8" s="469">
        <f>SUMIF(62:62,G8,63:63)-SUMIF(62:62,C8,63:63)+100</f>
        <v>0</v>
      </c>
      <c r="I8" s="473"/>
      <c r="J8" s="469">
        <f>SUMIF(62:62,I8,63:63)-SUMIF(62:62,C8,63:63)+100</f>
        <v>0</v>
      </c>
      <c r="K8" s="88"/>
      <c r="L8" s="1740"/>
      <c r="M8" s="1637"/>
      <c r="N8" s="1637"/>
      <c r="O8" s="1637"/>
      <c r="P8" s="3675" t="s">
        <v>482</v>
      </c>
      <c r="Q8" s="3674"/>
      <c r="R8" s="1300" t="s">
        <v>5</v>
      </c>
      <c r="S8" s="1301">
        <f t="shared" si="0"/>
        <v>0</v>
      </c>
      <c r="T8" s="1300" t="s">
        <v>5</v>
      </c>
      <c r="U8" s="1301">
        <f t="shared" si="1"/>
        <v>0</v>
      </c>
      <c r="V8" s="1300" t="s">
        <v>5</v>
      </c>
      <c r="W8" s="1301">
        <f t="shared" si="2"/>
        <v>0</v>
      </c>
      <c r="X8" s="1302"/>
      <c r="Y8" s="3673" t="s">
        <v>482</v>
      </c>
      <c r="Z8" s="3674"/>
      <c r="AA8" s="994" t="e">
        <f t="shared" ref="AA8:AA47" si="3">D8/F8</f>
        <v>#DIV/0!</v>
      </c>
      <c r="AB8" s="994" t="e">
        <f t="shared" ref="AB8:AB47" si="4">D8/H8</f>
        <v>#DIV/0!</v>
      </c>
      <c r="AC8" s="994" t="e">
        <f t="shared" ref="AC8:AC47" si="5">D8/J8</f>
        <v>#DIV/0!</v>
      </c>
    </row>
    <row r="9" spans="1:29" s="1057" customFormat="1" ht="15">
      <c r="A9" s="2207"/>
      <c r="B9" s="2214" t="s">
        <v>2036</v>
      </c>
      <c r="C9" s="789"/>
      <c r="D9" s="154">
        <v>100</v>
      </c>
      <c r="E9" s="791"/>
      <c r="F9" s="154">
        <f>SUMIF(64:64,E9,65:65)-SUMIF(64:64,C9,65:65)+100</f>
        <v>100</v>
      </c>
      <c r="G9" s="790"/>
      <c r="H9" s="154">
        <f>SUMIF(64:64,G9,65:65)-SUMIF(64:64,C9,65:65)+100</f>
        <v>100</v>
      </c>
      <c r="I9" s="790"/>
      <c r="J9" s="154">
        <f>SUMIF(64:64,I9,65:65)-SUMIF(64:64,C9,65:65)+100</f>
        <v>100</v>
      </c>
      <c r="K9" s="88"/>
      <c r="L9" s="1740"/>
      <c r="M9" s="1637"/>
      <c r="N9" s="1637"/>
      <c r="O9" s="1637"/>
      <c r="P9" s="3642" t="s">
        <v>484</v>
      </c>
      <c r="Q9" s="815" t="str">
        <f t="shared" ref="Q9:Q15" si="6">B9</f>
        <v>用途</v>
      </c>
      <c r="R9" s="1300" t="s">
        <v>5</v>
      </c>
      <c r="S9" s="1301">
        <f t="shared" si="0"/>
        <v>100</v>
      </c>
      <c r="T9" s="1300" t="s">
        <v>5</v>
      </c>
      <c r="U9" s="1301">
        <f t="shared" si="1"/>
        <v>100</v>
      </c>
      <c r="V9" s="1300" t="s">
        <v>5</v>
      </c>
      <c r="W9" s="1301">
        <f t="shared" si="2"/>
        <v>100</v>
      </c>
      <c r="X9" s="1302"/>
      <c r="Y9" s="3590" t="s">
        <v>485</v>
      </c>
      <c r="Z9" s="994" t="str">
        <f t="shared" ref="Z9:Z15" si="7">Q9</f>
        <v>用途</v>
      </c>
      <c r="AA9" s="994">
        <f t="shared" si="3"/>
        <v>1</v>
      </c>
      <c r="AB9" s="994">
        <f t="shared" si="4"/>
        <v>1</v>
      </c>
      <c r="AC9" s="994">
        <f t="shared" si="5"/>
        <v>1</v>
      </c>
    </row>
    <row r="10" spans="1:29" s="1130" customFormat="1" ht="27">
      <c r="A10" s="2208"/>
      <c r="B10" s="2213" t="s">
        <v>2037</v>
      </c>
      <c r="C10" s="3380"/>
      <c r="D10" s="233">
        <v>100</v>
      </c>
      <c r="E10" s="3380"/>
      <c r="F10" s="233">
        <f>SUMIF(66:66,E10,67:67)-SUMIF(66:66,C10,67:67)+100</f>
        <v>100</v>
      </c>
      <c r="G10" s="3381"/>
      <c r="H10" s="233">
        <f>SUMIF(66:66,G10,67:67)-SUMIF(66:66,C10,67:67)+100</f>
        <v>100</v>
      </c>
      <c r="I10" s="3380"/>
      <c r="J10" s="233">
        <f>SUMIF(66:66,I10,67:67)-SUMIF(66:66,C10,67:67)+100</f>
        <v>100</v>
      </c>
      <c r="K10" s="88"/>
      <c r="L10" s="1742"/>
      <c r="M10" s="1775"/>
      <c r="N10" s="1775"/>
      <c r="O10" s="1775"/>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
      <c r="A11" s="2209"/>
      <c r="B11" s="2213" t="s">
        <v>2038</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4"/>
      <c r="M11" s="1739"/>
      <c r="N11" s="1739"/>
      <c r="O11" s="1739"/>
      <c r="P11" s="3642"/>
      <c r="Q11" s="815" t="str">
        <f t="shared" si="6"/>
        <v>容积率</v>
      </c>
      <c r="R11" s="1300" t="s">
        <v>5</v>
      </c>
      <c r="S11" s="1301" t="e">
        <f t="shared" si="0"/>
        <v>#N/A</v>
      </c>
      <c r="T11" s="1300" t="s">
        <v>5</v>
      </c>
      <c r="U11" s="1301" t="e">
        <f t="shared" si="1"/>
        <v>#N/A</v>
      </c>
      <c r="V11" s="1300" t="s">
        <v>5</v>
      </c>
      <c r="W11" s="1301" t="e">
        <f t="shared" si="2"/>
        <v>#N/A</v>
      </c>
      <c r="X11" s="1302"/>
      <c r="Y11" s="3590"/>
      <c r="Z11" s="994" t="str">
        <f t="shared" si="7"/>
        <v>容积率</v>
      </c>
      <c r="AA11" s="994" t="e">
        <f t="shared" si="3"/>
        <v>#N/A</v>
      </c>
      <c r="AB11" s="994" t="e">
        <f t="shared" si="4"/>
        <v>#N/A</v>
      </c>
      <c r="AC11" s="994" t="e">
        <f t="shared" si="5"/>
        <v>#N/A</v>
      </c>
    </row>
    <row r="12" spans="1:29" s="1057" customFormat="1" ht="15">
      <c r="A12" s="2210"/>
      <c r="B12" s="2216">
        <v>111</v>
      </c>
      <c r="C12" s="476"/>
      <c r="D12" s="486">
        <v>100</v>
      </c>
      <c r="E12" s="476"/>
      <c r="F12" s="233">
        <f>SUMIF(71:71,E12,72:72)-SUMIF(71:71,C12,72:72)+100</f>
        <v>100</v>
      </c>
      <c r="G12" s="830"/>
      <c r="H12" s="233">
        <f>SUMIF(71:71,G12,72:72)-SUMIF(71:71,C12,72:72)+100</f>
        <v>100</v>
      </c>
      <c r="I12" s="476"/>
      <c r="J12" s="233">
        <f>SUMIF(71:71,I12,72:72)-SUMIF(71:71,C12,72:72)+100</f>
        <v>100</v>
      </c>
      <c r="K12" s="529"/>
      <c r="L12" s="1740"/>
      <c r="M12" s="1637"/>
      <c r="N12" s="1637"/>
      <c r="O12" s="1637"/>
      <c r="P12" s="3642"/>
      <c r="Q12" s="815">
        <f t="shared" si="6"/>
        <v>111</v>
      </c>
      <c r="R12" s="1300" t="s">
        <v>5</v>
      </c>
      <c r="S12" s="1301">
        <f t="shared" si="0"/>
        <v>100</v>
      </c>
      <c r="T12" s="1300" t="s">
        <v>5</v>
      </c>
      <c r="U12" s="1301">
        <f t="shared" si="1"/>
        <v>100</v>
      </c>
      <c r="V12" s="1300" t="s">
        <v>5</v>
      </c>
      <c r="W12" s="1301">
        <f t="shared" si="2"/>
        <v>100</v>
      </c>
      <c r="X12" s="1302"/>
      <c r="Y12" s="3590"/>
      <c r="Z12" s="994">
        <f t="shared" si="7"/>
        <v>111</v>
      </c>
      <c r="AA12" s="994">
        <f>D12/F12</f>
        <v>1</v>
      </c>
      <c r="AB12" s="994">
        <f>D12/H12</f>
        <v>1</v>
      </c>
      <c r="AC12" s="994">
        <f>D12/J12</f>
        <v>1</v>
      </c>
    </row>
    <row r="13" spans="1:29" ht="15">
      <c r="A13" s="2210"/>
      <c r="B13" s="2216">
        <v>111</v>
      </c>
      <c r="C13" s="487"/>
      <c r="D13" s="488">
        <v>100</v>
      </c>
      <c r="E13" s="476"/>
      <c r="F13" s="233">
        <f>SUMIF(73:73,E13,74:74)-SUMIF(73:73,C13,74:74)+100</f>
        <v>100</v>
      </c>
      <c r="G13" s="830"/>
      <c r="H13" s="488">
        <f>SUMIF(73:73,G13,74:74)-SUMIF(73:73,C13,74:74)+100</f>
        <v>100</v>
      </c>
      <c r="I13" s="476"/>
      <c r="J13" s="488">
        <f>SUMIF(73:73,I13,74:74)-SUMIF(73:73,C13,74:74)+100</f>
        <v>100</v>
      </c>
      <c r="K13" s="529"/>
      <c r="L13" s="1746"/>
      <c r="M13" s="1739"/>
      <c r="N13" s="1739"/>
      <c r="O13" s="1739"/>
      <c r="P13" s="3642"/>
      <c r="Q13" s="815">
        <f t="shared" si="6"/>
        <v>111</v>
      </c>
      <c r="R13" s="1300" t="s">
        <v>5</v>
      </c>
      <c r="S13" s="1301">
        <f t="shared" si="0"/>
        <v>100</v>
      </c>
      <c r="T13" s="1300" t="s">
        <v>5</v>
      </c>
      <c r="U13" s="1301">
        <f t="shared" si="1"/>
        <v>100</v>
      </c>
      <c r="V13" s="1300" t="s">
        <v>5</v>
      </c>
      <c r="W13" s="1301">
        <f t="shared" si="2"/>
        <v>100</v>
      </c>
      <c r="X13" s="1302"/>
      <c r="Y13" s="3590"/>
      <c r="Z13" s="994">
        <f t="shared" si="7"/>
        <v>111</v>
      </c>
      <c r="AA13" s="994">
        <f t="shared" si="3"/>
        <v>1</v>
      </c>
      <c r="AB13" s="994">
        <f t="shared" si="4"/>
        <v>1</v>
      </c>
      <c r="AC13" s="994">
        <f t="shared" si="5"/>
        <v>1</v>
      </c>
    </row>
    <row r="14" spans="1:29" ht="15.75" thickBot="1">
      <c r="A14" s="2211"/>
      <c r="B14" s="2217">
        <v>111</v>
      </c>
      <c r="C14" s="493"/>
      <c r="D14" s="494">
        <v>100</v>
      </c>
      <c r="E14" s="831"/>
      <c r="F14" s="494">
        <f>SUMIF(75:75,E14,76:76)-SUMIF(75:75,C14,76:76)+100</f>
        <v>100</v>
      </c>
      <c r="G14" s="830"/>
      <c r="H14" s="494">
        <f>SUMIF(75:75,G14,76:76)-SUMIF(75:75,C14,76:76)+100</f>
        <v>100</v>
      </c>
      <c r="I14" s="476"/>
      <c r="J14" s="494">
        <f>SUMIF(75:75,I14,76:76)-SUMIF(75:75,C14,76:76)+100</f>
        <v>100</v>
      </c>
      <c r="K14" s="529"/>
      <c r="L14" s="1746"/>
      <c r="M14" s="1739"/>
      <c r="N14" s="1739"/>
      <c r="O14" s="1739"/>
      <c r="P14" s="3642"/>
      <c r="Q14" s="815">
        <f t="shared" si="6"/>
        <v>111</v>
      </c>
      <c r="R14" s="1300" t="s">
        <v>5</v>
      </c>
      <c r="S14" s="1301">
        <f t="shared" si="0"/>
        <v>100</v>
      </c>
      <c r="T14" s="1300" t="s">
        <v>5</v>
      </c>
      <c r="U14" s="1301">
        <f t="shared" si="1"/>
        <v>100</v>
      </c>
      <c r="V14" s="1300" t="s">
        <v>5</v>
      </c>
      <c r="W14" s="1301">
        <f t="shared" si="2"/>
        <v>100</v>
      </c>
      <c r="X14" s="1302"/>
      <c r="Y14" s="3590"/>
      <c r="Z14" s="994">
        <f t="shared" si="7"/>
        <v>111</v>
      </c>
      <c r="AA14" s="994">
        <f t="shared" si="3"/>
        <v>1</v>
      </c>
      <c r="AB14" s="994">
        <f t="shared" si="4"/>
        <v>1</v>
      </c>
      <c r="AC14" s="994">
        <f t="shared" si="5"/>
        <v>1</v>
      </c>
    </row>
    <row r="15" spans="1:29" ht="15">
      <c r="A15" s="2203" t="s">
        <v>2034</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19"/>
      <c r="L15" s="1746"/>
      <c r="M15" s="1739"/>
      <c r="N15" s="1739"/>
      <c r="O15" s="1739"/>
      <c r="P15" s="3676" t="s">
        <v>489</v>
      </c>
      <c r="Q15" s="1303" t="str">
        <f t="shared" si="6"/>
        <v>办公集聚程度</v>
      </c>
      <c r="R15" s="1304" t="s">
        <v>5</v>
      </c>
      <c r="S15" s="1305">
        <f t="shared" si="0"/>
        <v>100</v>
      </c>
      <c r="T15" s="1304" t="s">
        <v>5</v>
      </c>
      <c r="U15" s="1305">
        <f t="shared" si="1"/>
        <v>100</v>
      </c>
      <c r="V15" s="1304" t="s">
        <v>5</v>
      </c>
      <c r="W15" s="1305">
        <f t="shared" si="2"/>
        <v>100</v>
      </c>
      <c r="X15" s="1299"/>
      <c r="Y15" s="3676" t="s">
        <v>489</v>
      </c>
      <c r="Z15" s="1306" t="str">
        <f t="shared" si="7"/>
        <v>办公集聚程度</v>
      </c>
      <c r="AA15" s="1306">
        <f t="shared" si="3"/>
        <v>1</v>
      </c>
      <c r="AB15" s="1306">
        <f t="shared" si="4"/>
        <v>1</v>
      </c>
      <c r="AC15" s="1306">
        <f t="shared" si="5"/>
        <v>1</v>
      </c>
    </row>
    <row r="16" spans="1:29" ht="15">
      <c r="A16" s="480"/>
      <c r="B16" s="501"/>
      <c r="C16" s="502"/>
      <c r="D16" s="503"/>
      <c r="E16" s="524"/>
      <c r="F16" s="503"/>
      <c r="G16" s="502"/>
      <c r="H16" s="507"/>
      <c r="I16" s="524"/>
      <c r="J16" s="503"/>
      <c r="K16" s="820"/>
      <c r="L16" s="1746"/>
      <c r="M16" s="1739"/>
      <c r="N16" s="1739"/>
      <c r="O16" s="1739"/>
      <c r="P16" s="3677"/>
      <c r="Q16" s="1303"/>
      <c r="R16" s="1304"/>
      <c r="S16" s="1305"/>
      <c r="T16" s="1304"/>
      <c r="U16" s="1305"/>
      <c r="V16" s="1304"/>
      <c r="W16" s="1305"/>
      <c r="X16" s="1299"/>
      <c r="Y16" s="3677"/>
      <c r="Z16" s="1306"/>
      <c r="AA16" s="1306">
        <v>1</v>
      </c>
      <c r="AB16" s="1306">
        <v>1</v>
      </c>
      <c r="AC16" s="1306">
        <v>1</v>
      </c>
    </row>
    <row r="17" spans="1:29" ht="15">
      <c r="A17" s="480"/>
      <c r="B17" s="508" t="s">
        <v>262</v>
      </c>
      <c r="C17" s="521">
        <f>估价对象房地状况!C6</f>
        <v>0</v>
      </c>
      <c r="D17" s="507">
        <v>100</v>
      </c>
      <c r="E17" s="512"/>
      <c r="F17" s="507">
        <f>SUMIF(79:79,E18,80:80)-SUMIF(79:79,C18,80:80)+100</f>
        <v>100</v>
      </c>
      <c r="G17" s="510"/>
      <c r="H17" s="513">
        <f>SUMIF(79:79,G18,80:80)-SUMIF(79:79,C18,80:80)+100</f>
        <v>100</v>
      </c>
      <c r="I17" s="510"/>
      <c r="J17" s="513">
        <f>SUMIF(79:79,I18,80:80)-SUMIF(79:79,C18,80:80)+100</f>
        <v>100</v>
      </c>
      <c r="K17" s="819"/>
      <c r="L17" s="1746"/>
      <c r="M17" s="1739"/>
      <c r="N17" s="1739"/>
      <c r="O17" s="1739"/>
      <c r="P17" s="3677"/>
      <c r="Q17" s="1303" t="str">
        <f>B17</f>
        <v>交通便捷度</v>
      </c>
      <c r="R17" s="1304" t="s">
        <v>5</v>
      </c>
      <c r="S17" s="1305">
        <f>F17</f>
        <v>100</v>
      </c>
      <c r="T17" s="1304" t="s">
        <v>5</v>
      </c>
      <c r="U17" s="1305">
        <f>H17</f>
        <v>100</v>
      </c>
      <c r="V17" s="1304" t="s">
        <v>5</v>
      </c>
      <c r="W17" s="1305">
        <f>J17</f>
        <v>100</v>
      </c>
      <c r="X17" s="1299"/>
      <c r="Y17" s="3677"/>
      <c r="Z17" s="1306" t="str">
        <f>Q17</f>
        <v>交通便捷度</v>
      </c>
      <c r="AA17" s="1306">
        <f t="shared" si="3"/>
        <v>1</v>
      </c>
      <c r="AB17" s="1306">
        <f t="shared" si="4"/>
        <v>1</v>
      </c>
      <c r="AC17" s="1306">
        <f t="shared" si="5"/>
        <v>1</v>
      </c>
    </row>
    <row r="18" spans="1:29" ht="15">
      <c r="A18" s="480"/>
      <c r="B18" s="514"/>
      <c r="C18" s="515"/>
      <c r="D18" s="507"/>
      <c r="E18" s="517"/>
      <c r="F18" s="507"/>
      <c r="G18" s="516"/>
      <c r="H18" s="503"/>
      <c r="I18" s="516"/>
      <c r="J18" s="503"/>
      <c r="K18" s="820"/>
      <c r="L18" s="1746"/>
      <c r="M18" s="1739"/>
      <c r="N18" s="1739"/>
      <c r="O18" s="1739"/>
      <c r="P18" s="3677"/>
      <c r="Q18" s="1303"/>
      <c r="R18" s="1304"/>
      <c r="S18" s="1305"/>
      <c r="T18" s="1304"/>
      <c r="U18" s="1305"/>
      <c r="V18" s="1304"/>
      <c r="W18" s="1305"/>
      <c r="X18" s="1299"/>
      <c r="Y18" s="3677"/>
      <c r="Z18" s="1306"/>
      <c r="AA18" s="1306">
        <v>1</v>
      </c>
      <c r="AB18" s="1306">
        <v>1</v>
      </c>
      <c r="AC18" s="1306">
        <v>1</v>
      </c>
    </row>
    <row r="19" spans="1:29" ht="15">
      <c r="A19" s="480"/>
      <c r="B19" s="2059" t="s">
        <v>1827</v>
      </c>
      <c r="C19" s="521">
        <f>估价对象房地状况!C7</f>
        <v>0</v>
      </c>
      <c r="D19" s="513">
        <v>100</v>
      </c>
      <c r="E19" s="520"/>
      <c r="F19" s="513">
        <f>SUMIF(81:81,E20,82:82)-SUMIF(81:81,C20,82:82)+100</f>
        <v>100</v>
      </c>
      <c r="G19" s="518"/>
      <c r="H19" s="507">
        <f>SUMIF(81:81,G20,82:82)-SUMIF(81:81,C20,82:82)+100</f>
        <v>100</v>
      </c>
      <c r="I19" s="518"/>
      <c r="J19" s="507">
        <f>SUMIF(81:81,I20,82:82)-SUMIF(81:81,C20,82:82)+100</f>
        <v>100</v>
      </c>
      <c r="K19" s="819"/>
      <c r="L19" s="1746"/>
      <c r="M19" s="1739"/>
      <c r="N19" s="1739"/>
      <c r="O19" s="1739"/>
      <c r="P19" s="3677"/>
      <c r="Q19" s="1303" t="str">
        <f>B19</f>
        <v>公共配套设施</v>
      </c>
      <c r="R19" s="1304" t="s">
        <v>5</v>
      </c>
      <c r="S19" s="1305">
        <f>F19</f>
        <v>100</v>
      </c>
      <c r="T19" s="1304" t="s">
        <v>5</v>
      </c>
      <c r="U19" s="1305">
        <f>H19</f>
        <v>100</v>
      </c>
      <c r="V19" s="1304" t="s">
        <v>5</v>
      </c>
      <c r="W19" s="1305">
        <f>J19</f>
        <v>100</v>
      </c>
      <c r="X19" s="1299"/>
      <c r="Y19" s="3677"/>
      <c r="Z19" s="1306" t="str">
        <f>Q19</f>
        <v>公共配套设施</v>
      </c>
      <c r="AA19" s="1306">
        <f t="shared" si="3"/>
        <v>1</v>
      </c>
      <c r="AB19" s="1306">
        <f t="shared" si="4"/>
        <v>1</v>
      </c>
      <c r="AC19" s="1306">
        <f t="shared" si="5"/>
        <v>1</v>
      </c>
    </row>
    <row r="20" spans="1:29" ht="15">
      <c r="A20" s="480"/>
      <c r="B20" s="514"/>
      <c r="C20" s="502"/>
      <c r="D20" s="503"/>
      <c r="E20" s="506"/>
      <c r="F20" s="503"/>
      <c r="G20" s="504"/>
      <c r="H20" s="503"/>
      <c r="I20" s="504"/>
      <c r="J20" s="503"/>
      <c r="K20" s="820"/>
      <c r="L20" s="1746"/>
      <c r="M20" s="1739"/>
      <c r="N20" s="1739"/>
      <c r="O20" s="1739"/>
      <c r="P20" s="3677"/>
      <c r="Q20" s="1303"/>
      <c r="R20" s="1304"/>
      <c r="S20" s="1305"/>
      <c r="T20" s="1304"/>
      <c r="U20" s="1305"/>
      <c r="V20" s="1304"/>
      <c r="W20" s="1305"/>
      <c r="X20" s="1299"/>
      <c r="Y20" s="3677"/>
      <c r="Z20" s="1306"/>
      <c r="AA20" s="1306">
        <v>1</v>
      </c>
      <c r="AB20" s="1306">
        <v>1</v>
      </c>
      <c r="AC20" s="1306">
        <v>1</v>
      </c>
    </row>
    <row r="21" spans="1:29" ht="15">
      <c r="A21" s="480"/>
      <c r="B21" s="2047" t="s">
        <v>1839</v>
      </c>
      <c r="C21" s="521" t="str">
        <f>估价对象房地状况!C8</f>
        <v>七通</v>
      </c>
      <c r="D21" s="513">
        <v>100</v>
      </c>
      <c r="E21" s="520"/>
      <c r="F21" s="513">
        <f>SUMIF(83:83,E22,84:84)-SUMIF(83:83,C22,84:84)+100</f>
        <v>100</v>
      </c>
      <c r="G21" s="518"/>
      <c r="H21" s="513">
        <f>SUMIF(83:83,G22,84:84)-SUMIF(83:83,C22,84:84)+100</f>
        <v>100</v>
      </c>
      <c r="I21" s="518"/>
      <c r="J21" s="513">
        <f>SUMIF(83:83,I22,84:84)-SUMIF(83:83,C22,84:84)+100</f>
        <v>100</v>
      </c>
      <c r="K21" s="819"/>
      <c r="L21" s="1746"/>
      <c r="M21" s="1739"/>
      <c r="N21" s="1739"/>
      <c r="O21" s="1739"/>
      <c r="P21" s="3677"/>
      <c r="Q21" s="1303" t="str">
        <f>B21</f>
        <v>基础设施水平</v>
      </c>
      <c r="R21" s="1304" t="s">
        <v>5</v>
      </c>
      <c r="S21" s="1305">
        <f>F21</f>
        <v>100</v>
      </c>
      <c r="T21" s="1304" t="s">
        <v>5</v>
      </c>
      <c r="U21" s="1305">
        <f>H21</f>
        <v>100</v>
      </c>
      <c r="V21" s="1304" t="s">
        <v>5</v>
      </c>
      <c r="W21" s="1305">
        <f>J21</f>
        <v>100</v>
      </c>
      <c r="X21" s="1299"/>
      <c r="Y21" s="3677"/>
      <c r="Z21" s="1306" t="str">
        <f>Q21</f>
        <v>基础设施水平</v>
      </c>
      <c r="AA21" s="1306">
        <f>D21/F21</f>
        <v>1</v>
      </c>
      <c r="AB21" s="1306">
        <f>D21/H21</f>
        <v>1</v>
      </c>
      <c r="AC21" s="1306">
        <f>D21/J21</f>
        <v>1</v>
      </c>
    </row>
    <row r="22" spans="1:29" ht="15">
      <c r="A22" s="480"/>
      <c r="B22" s="526"/>
      <c r="C22" s="515"/>
      <c r="D22" s="503"/>
      <c r="E22" s="524"/>
      <c r="F22" s="503"/>
      <c r="G22" s="502"/>
      <c r="H22" s="503"/>
      <c r="I22" s="502"/>
      <c r="J22" s="503"/>
      <c r="K22" s="2058"/>
      <c r="L22" s="1746"/>
      <c r="M22" s="1739"/>
      <c r="N22" s="1739"/>
      <c r="O22" s="1739"/>
      <c r="P22" s="3677"/>
      <c r="Q22" s="1303"/>
      <c r="R22" s="1304"/>
      <c r="S22" s="1305"/>
      <c r="T22" s="1304"/>
      <c r="U22" s="1305"/>
      <c r="V22" s="1304"/>
      <c r="W22" s="1305"/>
      <c r="X22" s="1299"/>
      <c r="Y22" s="3677"/>
      <c r="Z22" s="1306"/>
      <c r="AA22" s="1306">
        <v>1</v>
      </c>
      <c r="AB22" s="1306">
        <v>1</v>
      </c>
      <c r="AC22" s="1306">
        <v>1</v>
      </c>
    </row>
    <row r="23" spans="1:29" ht="15">
      <c r="A23" s="480"/>
      <c r="B23" s="508" t="s">
        <v>718</v>
      </c>
      <c r="C23" s="521">
        <f>估价对象房地状况!C9</f>
        <v>0</v>
      </c>
      <c r="D23" s="507">
        <v>100</v>
      </c>
      <c r="E23" s="512"/>
      <c r="F23" s="507">
        <f>SUMIF(85:85,E24,86:86)-SUMIF(85:85,C24,86:86)+100</f>
        <v>100</v>
      </c>
      <c r="G23" s="510"/>
      <c r="H23" s="507">
        <f>SUMIF(85:85,G24,86:86)-SUMIF(85:85,C24,86:86)+100</f>
        <v>100</v>
      </c>
      <c r="I23" s="510"/>
      <c r="J23" s="507">
        <f>SUMIF(85:85,I24,86:86)-SUMIF(85:85,C24,86:86)+100</f>
        <v>100</v>
      </c>
      <c r="K23" s="819"/>
      <c r="L23" s="1746"/>
      <c r="M23" s="1739"/>
      <c r="N23" s="1739"/>
      <c r="O23" s="1739"/>
      <c r="P23" s="3677"/>
      <c r="Q23" s="1303" t="str">
        <f>B23</f>
        <v>环境质量</v>
      </c>
      <c r="R23" s="1304" t="s">
        <v>5</v>
      </c>
      <c r="S23" s="1305">
        <f>F23</f>
        <v>100</v>
      </c>
      <c r="T23" s="1304" t="s">
        <v>5</v>
      </c>
      <c r="U23" s="1305">
        <f>H23</f>
        <v>100</v>
      </c>
      <c r="V23" s="1304" t="s">
        <v>5</v>
      </c>
      <c r="W23" s="1305">
        <f>J23</f>
        <v>100</v>
      </c>
      <c r="X23" s="1299"/>
      <c r="Y23" s="3677"/>
      <c r="Z23" s="1306" t="str">
        <f>Q23</f>
        <v>环境质量</v>
      </c>
      <c r="AA23" s="1306">
        <f t="shared" si="3"/>
        <v>1</v>
      </c>
      <c r="AB23" s="1306">
        <f t="shared" si="4"/>
        <v>1</v>
      </c>
      <c r="AC23" s="1306">
        <f t="shared" si="5"/>
        <v>1</v>
      </c>
    </row>
    <row r="24" spans="1:29" ht="15">
      <c r="A24" s="480"/>
      <c r="B24" s="526"/>
      <c r="C24" s="502"/>
      <c r="D24" s="503"/>
      <c r="E24" s="506"/>
      <c r="F24" s="503"/>
      <c r="G24" s="504"/>
      <c r="H24" s="503"/>
      <c r="I24" s="504"/>
      <c r="J24" s="503"/>
      <c r="K24" s="820"/>
      <c r="L24" s="1746"/>
      <c r="M24" s="1739"/>
      <c r="N24" s="1739"/>
      <c r="O24" s="1739"/>
      <c r="P24" s="3677"/>
      <c r="Q24" s="1303"/>
      <c r="R24" s="1304"/>
      <c r="S24" s="1305"/>
      <c r="T24" s="1304"/>
      <c r="U24" s="1305"/>
      <c r="V24" s="1304"/>
      <c r="W24" s="1305"/>
      <c r="X24" s="1299"/>
      <c r="Y24" s="3677"/>
      <c r="Z24" s="1306"/>
      <c r="AA24" s="1306">
        <v>1</v>
      </c>
      <c r="AB24" s="1306">
        <v>1</v>
      </c>
      <c r="AC24" s="1306">
        <v>1</v>
      </c>
    </row>
    <row r="25" spans="1:29" ht="27">
      <c r="A25" s="464"/>
      <c r="B25" s="508" t="s">
        <v>497</v>
      </c>
      <c r="C25" s="832"/>
      <c r="D25" s="488">
        <v>100</v>
      </c>
      <c r="E25" s="487"/>
      <c r="F25" s="488">
        <f>SUMIF(87:87,E26,88:88)-SUMIF(87:87,C26,88:88)+100</f>
        <v>100</v>
      </c>
      <c r="G25" s="832"/>
      <c r="H25" s="488">
        <f>SUMIF(87:87,G26,88:88)-SUMIF(87:87,C26,88:88)+100</f>
        <v>100</v>
      </c>
      <c r="I25" s="487"/>
      <c r="J25" s="488">
        <f>SUMIF(87:87,I26,88:88)-SUMIF(87:87,C26,88:88)+100</f>
        <v>100</v>
      </c>
      <c r="K25" s="819"/>
      <c r="L25" s="1746"/>
      <c r="M25" s="1739"/>
      <c r="N25" s="1739"/>
      <c r="O25" s="1739"/>
      <c r="P25" s="3677"/>
      <c r="Q25" s="1303" t="str">
        <f>B25</f>
        <v>毗邻道路的类型与等级</v>
      </c>
      <c r="R25" s="1304" t="s">
        <v>5</v>
      </c>
      <c r="S25" s="1305">
        <f>F25</f>
        <v>100</v>
      </c>
      <c r="T25" s="1304" t="s">
        <v>5</v>
      </c>
      <c r="U25" s="1305">
        <f>H25</f>
        <v>100</v>
      </c>
      <c r="V25" s="1304" t="s">
        <v>5</v>
      </c>
      <c r="W25" s="1305">
        <f>J25</f>
        <v>100</v>
      </c>
      <c r="X25" s="1299"/>
      <c r="Y25" s="3677"/>
      <c r="Z25" s="1306" t="str">
        <f>Q25</f>
        <v>毗邻道路的类型与等级</v>
      </c>
      <c r="AA25" s="1306">
        <f t="shared" si="3"/>
        <v>1</v>
      </c>
      <c r="AB25" s="1306">
        <f t="shared" si="4"/>
        <v>1</v>
      </c>
      <c r="AC25" s="1306">
        <f t="shared" si="5"/>
        <v>1</v>
      </c>
    </row>
    <row r="26" spans="1:29" ht="15">
      <c r="A26" s="464"/>
      <c r="B26" s="514"/>
      <c r="C26" s="528"/>
      <c r="D26" s="488"/>
      <c r="E26" s="530"/>
      <c r="F26" s="488"/>
      <c r="G26" s="528"/>
      <c r="H26" s="488"/>
      <c r="I26" s="530"/>
      <c r="J26" s="488"/>
      <c r="K26" s="820"/>
      <c r="L26" s="1746"/>
      <c r="M26" s="1739"/>
      <c r="N26" s="1739"/>
      <c r="O26" s="1739"/>
      <c r="P26" s="3677"/>
      <c r="Q26" s="1303"/>
      <c r="R26" s="1304"/>
      <c r="S26" s="1305"/>
      <c r="T26" s="1304"/>
      <c r="U26" s="1305"/>
      <c r="V26" s="1304"/>
      <c r="W26" s="1305"/>
      <c r="X26" s="1299"/>
      <c r="Y26" s="3677"/>
      <c r="Z26" s="1306"/>
      <c r="AA26" s="1306">
        <v>1</v>
      </c>
      <c r="AB26" s="1306">
        <v>1</v>
      </c>
      <c r="AC26" s="1306">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6"/>
      <c r="M27" s="1739"/>
      <c r="N27" s="1739"/>
      <c r="O27" s="1739"/>
      <c r="P27" s="3677"/>
      <c r="Q27" s="1303" t="str">
        <f t="shared" ref="Q27:Q47" si="8">B27</f>
        <v>楼层</v>
      </c>
      <c r="R27" s="1304" t="s">
        <v>5</v>
      </c>
      <c r="S27" s="1305">
        <f>F27</f>
        <v>100</v>
      </c>
      <c r="T27" s="1304" t="s">
        <v>5</v>
      </c>
      <c r="U27" s="1305">
        <f>H27</f>
        <v>100</v>
      </c>
      <c r="V27" s="1304" t="s">
        <v>5</v>
      </c>
      <c r="W27" s="1305">
        <f>J27</f>
        <v>100</v>
      </c>
      <c r="X27" s="1299"/>
      <c r="Y27" s="3677"/>
      <c r="Z27" s="1306" t="str">
        <f>Q27</f>
        <v>楼层</v>
      </c>
      <c r="AA27" s="1306">
        <f t="shared" si="3"/>
        <v>1</v>
      </c>
      <c r="AB27" s="1306">
        <f t="shared" si="4"/>
        <v>1</v>
      </c>
      <c r="AC27" s="1306">
        <f t="shared" si="5"/>
        <v>1</v>
      </c>
    </row>
    <row r="28" spans="1:29" s="1057" customFormat="1" ht="15">
      <c r="A28" s="484"/>
      <c r="B28" s="508" t="s">
        <v>719</v>
      </c>
      <c r="C28" s="833"/>
      <c r="D28" s="514">
        <v>100</v>
      </c>
      <c r="E28" s="822"/>
      <c r="F28" s="514">
        <f>SUMIF(91:91,E28,92:92)-SUMIF(91:91,C28,92:92)+100</f>
        <v>100</v>
      </c>
      <c r="G28" s="833"/>
      <c r="H28" s="514">
        <f>SUMIF(91:91,G28,92:92)-SUMIF(91:91,C28,92:92)+100</f>
        <v>100</v>
      </c>
      <c r="I28" s="822"/>
      <c r="J28" s="514">
        <f>SUMIF(91:91,I28,92:92)-SUMIF(91:91,C28,92:92)+100</f>
        <v>100</v>
      </c>
      <c r="K28" s="531"/>
      <c r="L28" s="1740"/>
      <c r="M28" s="1637"/>
      <c r="N28" s="1637"/>
      <c r="O28" s="1637"/>
      <c r="P28" s="3677"/>
      <c r="Q28" s="815" t="str">
        <f t="shared" si="8"/>
        <v>朝向</v>
      </c>
      <c r="R28" s="1300" t="s">
        <v>5</v>
      </c>
      <c r="S28" s="1301">
        <f>F28</f>
        <v>100</v>
      </c>
      <c r="T28" s="1300" t="s">
        <v>5</v>
      </c>
      <c r="U28" s="1301">
        <f>H28</f>
        <v>100</v>
      </c>
      <c r="V28" s="1300" t="s">
        <v>5</v>
      </c>
      <c r="W28" s="1301">
        <f>J28</f>
        <v>100</v>
      </c>
      <c r="X28" s="1302"/>
      <c r="Y28" s="3677"/>
      <c r="Z28" s="994" t="str">
        <f>Q28</f>
        <v>朝向</v>
      </c>
      <c r="AA28" s="1306">
        <f>D28/F28</f>
        <v>1</v>
      </c>
      <c r="AB28" s="1306">
        <f>D28/H28</f>
        <v>1</v>
      </c>
      <c r="AC28" s="1306">
        <f>D28/J28</f>
        <v>1</v>
      </c>
    </row>
    <row r="29" spans="1:29" ht="15">
      <c r="A29" s="480"/>
      <c r="B29" s="532">
        <v>111</v>
      </c>
      <c r="C29" s="832"/>
      <c r="D29" s="488">
        <v>100</v>
      </c>
      <c r="E29" s="476"/>
      <c r="F29" s="488">
        <f>SUMIF(93:93,E29,94:94)-SUMIF(93:93,C29,94:94)+100</f>
        <v>100</v>
      </c>
      <c r="G29" s="830"/>
      <c r="H29" s="488">
        <f>SUMIF(93:93,G29,94:94)-SUMIF(93:93,C29,94:94)+100</f>
        <v>100</v>
      </c>
      <c r="I29" s="476"/>
      <c r="J29" s="488">
        <f>SUMIF(93:93,I29,94:94)-SUMIF(93:93,C29,94:94)+100</f>
        <v>100</v>
      </c>
      <c r="K29" s="529"/>
      <c r="L29" s="1746"/>
      <c r="M29" s="1739"/>
      <c r="N29" s="1739"/>
      <c r="O29" s="1739"/>
      <c r="P29" s="3677"/>
      <c r="Q29" s="1303">
        <f t="shared" si="8"/>
        <v>111</v>
      </c>
      <c r="R29" s="1304" t="s">
        <v>5</v>
      </c>
      <c r="S29" s="1305">
        <f t="shared" ref="S29:S47" si="9">F29</f>
        <v>100</v>
      </c>
      <c r="T29" s="1304" t="s">
        <v>5</v>
      </c>
      <c r="U29" s="1305">
        <f t="shared" ref="U29:U47" si="10">H29</f>
        <v>100</v>
      </c>
      <c r="V29" s="1304" t="s">
        <v>5</v>
      </c>
      <c r="W29" s="1305">
        <f t="shared" ref="W29:W47" si="11">J29</f>
        <v>100</v>
      </c>
      <c r="X29" s="1299"/>
      <c r="Y29" s="3677"/>
      <c r="Z29" s="1306">
        <f t="shared" ref="Z29:Z47" si="12">Q29</f>
        <v>111</v>
      </c>
      <c r="AA29" s="1306">
        <f t="shared" si="3"/>
        <v>1</v>
      </c>
      <c r="AB29" s="1306">
        <f t="shared" si="4"/>
        <v>1</v>
      </c>
      <c r="AC29" s="1306">
        <f t="shared" si="5"/>
        <v>1</v>
      </c>
    </row>
    <row r="30" spans="1:29" ht="15">
      <c r="A30" s="480"/>
      <c r="B30" s="532">
        <v>111</v>
      </c>
      <c r="C30" s="832"/>
      <c r="D30" s="488">
        <v>100</v>
      </c>
      <c r="E30" s="476"/>
      <c r="F30" s="488">
        <f>SUMIF(95:95,E30,96:96)-SUMIF(95:95,C30,96:96)+100</f>
        <v>100</v>
      </c>
      <c r="G30" s="830"/>
      <c r="H30" s="488">
        <f>SUMIF(95:95,G30,96:96)-SUMIF(95:95,C30,96:96)+100</f>
        <v>100</v>
      </c>
      <c r="I30" s="476"/>
      <c r="J30" s="488">
        <f>SUMIF(95:95,I30,96:96)-SUMIF(95:95,C30,96:96)+100</f>
        <v>100</v>
      </c>
      <c r="K30" s="529"/>
      <c r="L30" s="1746"/>
      <c r="M30" s="1739"/>
      <c r="N30" s="1739"/>
      <c r="O30" s="1739"/>
      <c r="P30" s="3677"/>
      <c r="Q30" s="1303">
        <f t="shared" si="8"/>
        <v>111</v>
      </c>
      <c r="R30" s="1304" t="s">
        <v>5</v>
      </c>
      <c r="S30" s="1305">
        <f t="shared" si="9"/>
        <v>100</v>
      </c>
      <c r="T30" s="1304" t="s">
        <v>5</v>
      </c>
      <c r="U30" s="1305">
        <f t="shared" si="10"/>
        <v>100</v>
      </c>
      <c r="V30" s="1304" t="s">
        <v>5</v>
      </c>
      <c r="W30" s="1305">
        <f t="shared" si="11"/>
        <v>100</v>
      </c>
      <c r="X30" s="1299"/>
      <c r="Y30" s="3677"/>
      <c r="Z30" s="1306">
        <f t="shared" si="12"/>
        <v>111</v>
      </c>
      <c r="AA30" s="1306">
        <f t="shared" si="3"/>
        <v>1</v>
      </c>
      <c r="AB30" s="1306">
        <f t="shared" si="4"/>
        <v>1</v>
      </c>
      <c r="AC30" s="1306">
        <f t="shared" si="5"/>
        <v>1</v>
      </c>
    </row>
    <row r="31" spans="1:29" ht="15">
      <c r="A31" s="480"/>
      <c r="B31" s="532">
        <v>111</v>
      </c>
      <c r="C31" s="832"/>
      <c r="D31" s="488">
        <v>100</v>
      </c>
      <c r="E31" s="476"/>
      <c r="F31" s="488">
        <f>SUMIF(97:97,E31,98:98)-SUMIF(97:97,C31,98:98)+100</f>
        <v>100</v>
      </c>
      <c r="G31" s="830"/>
      <c r="H31" s="488">
        <f>SUMIF(97:97,G31,98:98)-SUMIF(97:97,C31,98:98)+100</f>
        <v>100</v>
      </c>
      <c r="I31" s="476"/>
      <c r="J31" s="488">
        <f>SUMIF(97:97,I31,98:98)-SUMIF(97:97,C31,98:98)+100</f>
        <v>100</v>
      </c>
      <c r="K31" s="529"/>
      <c r="L31" s="1746"/>
      <c r="M31" s="1739"/>
      <c r="N31" s="1739"/>
      <c r="O31" s="1739"/>
      <c r="P31" s="3677"/>
      <c r="Q31" s="1303">
        <f t="shared" si="8"/>
        <v>111</v>
      </c>
      <c r="R31" s="1304" t="s">
        <v>5</v>
      </c>
      <c r="S31" s="1305">
        <f t="shared" si="9"/>
        <v>100</v>
      </c>
      <c r="T31" s="1304" t="s">
        <v>5</v>
      </c>
      <c r="U31" s="1305">
        <f t="shared" si="10"/>
        <v>100</v>
      </c>
      <c r="V31" s="1304" t="s">
        <v>5</v>
      </c>
      <c r="W31" s="1305">
        <f t="shared" si="11"/>
        <v>100</v>
      </c>
      <c r="X31" s="1299"/>
      <c r="Y31" s="3677"/>
      <c r="Z31" s="1306">
        <f t="shared" si="12"/>
        <v>111</v>
      </c>
      <c r="AA31" s="1306">
        <f t="shared" si="3"/>
        <v>1</v>
      </c>
      <c r="AB31" s="1306">
        <f t="shared" si="4"/>
        <v>1</v>
      </c>
      <c r="AC31" s="1306">
        <f t="shared" si="5"/>
        <v>1</v>
      </c>
    </row>
    <row r="32" spans="1:29" ht="15.75" thickBot="1">
      <c r="A32" s="491"/>
      <c r="B32" s="834">
        <v>111</v>
      </c>
      <c r="C32" s="835"/>
      <c r="D32" s="494">
        <v>100</v>
      </c>
      <c r="E32" s="831"/>
      <c r="F32" s="494">
        <f>SUMIF(99:99,E32,100:100)-SUMIF(99:99,C32,100:100)+100</f>
        <v>100</v>
      </c>
      <c r="G32" s="830"/>
      <c r="H32" s="494">
        <f>SUMIF(99:99,G32,100:100)-SUMIF(99:99,C32,100:100)+100</f>
        <v>100</v>
      </c>
      <c r="I32" s="476"/>
      <c r="J32" s="494">
        <f>SUMIF(99:99,I32,100:100)-SUMIF(99:99,C32,100:100)+100</f>
        <v>100</v>
      </c>
      <c r="K32" s="529"/>
      <c r="L32" s="1746"/>
      <c r="M32" s="1739"/>
      <c r="N32" s="1739"/>
      <c r="O32" s="1739"/>
      <c r="P32" s="3677"/>
      <c r="Q32" s="1303">
        <f t="shared" si="8"/>
        <v>111</v>
      </c>
      <c r="R32" s="1304" t="s">
        <v>5</v>
      </c>
      <c r="S32" s="1305">
        <f t="shared" si="9"/>
        <v>100</v>
      </c>
      <c r="T32" s="1304" t="s">
        <v>5</v>
      </c>
      <c r="U32" s="1305">
        <f t="shared" si="10"/>
        <v>100</v>
      </c>
      <c r="V32" s="1304" t="s">
        <v>5</v>
      </c>
      <c r="W32" s="1305">
        <f t="shared" si="11"/>
        <v>100</v>
      </c>
      <c r="X32" s="1299"/>
      <c r="Y32" s="3677"/>
      <c r="Z32" s="1306">
        <f t="shared" si="12"/>
        <v>111</v>
      </c>
      <c r="AA32" s="1306">
        <f t="shared" si="3"/>
        <v>1</v>
      </c>
      <c r="AB32" s="1306">
        <f t="shared" si="4"/>
        <v>1</v>
      </c>
      <c r="AC32" s="1306">
        <f t="shared" si="5"/>
        <v>1</v>
      </c>
    </row>
    <row r="33" spans="1:29" ht="15">
      <c r="A33" s="2201" t="s">
        <v>2035</v>
      </c>
      <c r="B33" s="156"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6"/>
      <c r="M33" s="1739"/>
      <c r="N33" s="1739"/>
      <c r="O33" s="1739"/>
      <c r="P33" s="3678" t="s">
        <v>499</v>
      </c>
      <c r="Q33" s="1303" t="str">
        <f t="shared" si="8"/>
        <v>建筑类型</v>
      </c>
      <c r="R33" s="1304" t="s">
        <v>5</v>
      </c>
      <c r="S33" s="1305">
        <f t="shared" si="9"/>
        <v>100</v>
      </c>
      <c r="T33" s="1304" t="s">
        <v>5</v>
      </c>
      <c r="U33" s="1305">
        <f t="shared" si="10"/>
        <v>100</v>
      </c>
      <c r="V33" s="1304" t="s">
        <v>5</v>
      </c>
      <c r="W33" s="1305">
        <f t="shared" si="11"/>
        <v>100</v>
      </c>
      <c r="X33" s="1299"/>
      <c r="Y33" s="3679" t="s">
        <v>499</v>
      </c>
      <c r="Z33" s="1306" t="str">
        <f t="shared" si="12"/>
        <v>建筑类型</v>
      </c>
      <c r="AA33" s="1306">
        <f t="shared" si="3"/>
        <v>1</v>
      </c>
      <c r="AB33" s="1306">
        <f t="shared" si="4"/>
        <v>1</v>
      </c>
      <c r="AC33" s="1306">
        <f t="shared" si="5"/>
        <v>1</v>
      </c>
    </row>
    <row r="34" spans="1:29" s="1131" customFormat="1" ht="15">
      <c r="A34" s="550"/>
      <c r="B34" s="475" t="s">
        <v>673</v>
      </c>
      <c r="C34" s="803"/>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4"/>
      <c r="M34" s="1768"/>
      <c r="N34" s="1768"/>
      <c r="O34" s="1768"/>
      <c r="P34" s="3679"/>
      <c r="Q34" s="816" t="str">
        <f t="shared" si="8"/>
        <v>项目建筑规模</v>
      </c>
      <c r="R34" s="1307" t="s">
        <v>5</v>
      </c>
      <c r="S34" s="1308" t="e">
        <f t="shared" si="9"/>
        <v>#N/A</v>
      </c>
      <c r="T34" s="1307" t="s">
        <v>5</v>
      </c>
      <c r="U34" s="1308" t="e">
        <f t="shared" si="10"/>
        <v>#N/A</v>
      </c>
      <c r="V34" s="1307" t="s">
        <v>5</v>
      </c>
      <c r="W34" s="1308" t="e">
        <f t="shared" si="11"/>
        <v>#N/A</v>
      </c>
      <c r="X34" s="1309"/>
      <c r="Y34" s="3679"/>
      <c r="Z34" s="1310" t="str">
        <f t="shared" si="12"/>
        <v>项目建筑规模</v>
      </c>
      <c r="AA34" s="1306" t="e">
        <f t="shared" si="3"/>
        <v>#N/A</v>
      </c>
      <c r="AB34" s="1306" t="e">
        <f t="shared" si="4"/>
        <v>#N/A</v>
      </c>
      <c r="AC34" s="1306"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6"/>
      <c r="M35" s="1739"/>
      <c r="N35" s="1739"/>
      <c r="O35" s="1739"/>
      <c r="P35" s="3679"/>
      <c r="Q35" s="1303" t="str">
        <f t="shared" si="8"/>
        <v>建筑结构</v>
      </c>
      <c r="R35" s="1304" t="s">
        <v>5</v>
      </c>
      <c r="S35" s="1305">
        <f t="shared" si="9"/>
        <v>100</v>
      </c>
      <c r="T35" s="1304" t="s">
        <v>5</v>
      </c>
      <c r="U35" s="1305">
        <f t="shared" si="10"/>
        <v>100</v>
      </c>
      <c r="V35" s="1304" t="s">
        <v>5</v>
      </c>
      <c r="W35" s="1305">
        <f t="shared" si="11"/>
        <v>100</v>
      </c>
      <c r="X35" s="1299"/>
      <c r="Y35" s="3679"/>
      <c r="Z35" s="1306" t="str">
        <f t="shared" si="12"/>
        <v>建筑结构</v>
      </c>
      <c r="AA35" s="1306">
        <f t="shared" si="3"/>
        <v>1</v>
      </c>
      <c r="AB35" s="1306">
        <f t="shared" si="4"/>
        <v>1</v>
      </c>
      <c r="AC35" s="1306">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6"/>
      <c r="M36" s="1739"/>
      <c r="N36" s="1739"/>
      <c r="O36" s="1739"/>
      <c r="P36" s="3679"/>
      <c r="Q36" s="1303" t="str">
        <f t="shared" si="8"/>
        <v>公共部分装修</v>
      </c>
      <c r="R36" s="1304" t="s">
        <v>5</v>
      </c>
      <c r="S36" s="1305">
        <f t="shared" si="9"/>
        <v>100</v>
      </c>
      <c r="T36" s="1304" t="s">
        <v>5</v>
      </c>
      <c r="U36" s="1305">
        <f t="shared" si="10"/>
        <v>100</v>
      </c>
      <c r="V36" s="1304" t="s">
        <v>5</v>
      </c>
      <c r="W36" s="1305">
        <f t="shared" si="11"/>
        <v>100</v>
      </c>
      <c r="X36" s="1299"/>
      <c r="Y36" s="3679"/>
      <c r="Z36" s="1306" t="str">
        <f t="shared" si="12"/>
        <v>公共部分装修</v>
      </c>
      <c r="AA36" s="1306">
        <f t="shared" si="3"/>
        <v>1</v>
      </c>
      <c r="AB36" s="1306">
        <f t="shared" si="4"/>
        <v>1</v>
      </c>
      <c r="AC36" s="1306">
        <f t="shared" si="5"/>
        <v>1</v>
      </c>
    </row>
    <row r="37" spans="1:29" ht="15">
      <c r="A37" s="541"/>
      <c r="B37" s="475" t="s">
        <v>704</v>
      </c>
      <c r="C37" s="805"/>
      <c r="D37" s="488">
        <v>100</v>
      </c>
      <c r="E37" s="805"/>
      <c r="F37" s="523" t="e">
        <f>LOOKUP(E37,111:111,112:112)-LOOKUP(C37,111:111,112:112)+100</f>
        <v>#N/A</v>
      </c>
      <c r="G37" s="805"/>
      <c r="H37" s="523" t="e">
        <f>LOOKUP(G37,111:111,112:112)-LOOKUP(C37,111:111,112:112)+100</f>
        <v>#N/A</v>
      </c>
      <c r="I37" s="805"/>
      <c r="J37" s="488" t="e">
        <f>LOOKUP(I37,111:111,112:112)-LOOKUP(C37,111:111,112:112)+100</f>
        <v>#N/A</v>
      </c>
      <c r="K37" s="531"/>
      <c r="L37" s="1746"/>
      <c r="M37" s="1739"/>
      <c r="N37" s="1739"/>
      <c r="O37" s="1739"/>
      <c r="P37" s="3679"/>
      <c r="Q37" s="1303" t="str">
        <f t="shared" si="8"/>
        <v>成新度</v>
      </c>
      <c r="R37" s="1304" t="s">
        <v>5</v>
      </c>
      <c r="S37" s="1305" t="e">
        <f t="shared" si="9"/>
        <v>#N/A</v>
      </c>
      <c r="T37" s="1304" t="s">
        <v>5</v>
      </c>
      <c r="U37" s="1305" t="e">
        <f t="shared" si="10"/>
        <v>#N/A</v>
      </c>
      <c r="V37" s="1304" t="s">
        <v>5</v>
      </c>
      <c r="W37" s="1305" t="e">
        <f t="shared" si="11"/>
        <v>#N/A</v>
      </c>
      <c r="X37" s="1299"/>
      <c r="Y37" s="3679"/>
      <c r="Z37" s="1306" t="str">
        <f t="shared" si="12"/>
        <v>成新度</v>
      </c>
      <c r="AA37" s="1306" t="e">
        <f t="shared" si="3"/>
        <v>#N/A</v>
      </c>
      <c r="AB37" s="1306" t="e">
        <f t="shared" si="4"/>
        <v>#N/A</v>
      </c>
      <c r="AC37" s="1306" t="e">
        <f t="shared" si="5"/>
        <v>#N/A</v>
      </c>
    </row>
    <row r="38" spans="1:29" s="1057"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40"/>
      <c r="M38" s="1637"/>
      <c r="N38" s="1637"/>
      <c r="O38" s="1637"/>
      <c r="P38" s="3679"/>
      <c r="Q38" s="815" t="str">
        <f t="shared" si="8"/>
        <v>写字楼等级</v>
      </c>
      <c r="R38" s="1300" t="s">
        <v>5</v>
      </c>
      <c r="S38" s="1301">
        <f t="shared" si="9"/>
        <v>100</v>
      </c>
      <c r="T38" s="1300" t="s">
        <v>5</v>
      </c>
      <c r="U38" s="1301">
        <f t="shared" si="10"/>
        <v>100</v>
      </c>
      <c r="V38" s="1300" t="s">
        <v>5</v>
      </c>
      <c r="W38" s="1301">
        <f t="shared" si="11"/>
        <v>100</v>
      </c>
      <c r="X38" s="1302"/>
      <c r="Y38" s="3679"/>
      <c r="Z38" s="994" t="str">
        <f t="shared" si="12"/>
        <v>写字楼等级</v>
      </c>
      <c r="AA38" s="994">
        <f t="shared" si="3"/>
        <v>1</v>
      </c>
      <c r="AB38" s="994">
        <f t="shared" si="4"/>
        <v>1</v>
      </c>
      <c r="AC38" s="994">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6"/>
      <c r="M39" s="1739"/>
      <c r="N39" s="1739"/>
      <c r="O39" s="1739"/>
      <c r="P39" s="3679" t="s">
        <v>499</v>
      </c>
      <c r="Q39" s="1303" t="str">
        <f t="shared" si="8"/>
        <v>物业管理</v>
      </c>
      <c r="R39" s="1304" t="s">
        <v>5</v>
      </c>
      <c r="S39" s="1305">
        <f t="shared" si="9"/>
        <v>100</v>
      </c>
      <c r="T39" s="1304" t="s">
        <v>5</v>
      </c>
      <c r="U39" s="1305">
        <f t="shared" si="10"/>
        <v>100</v>
      </c>
      <c r="V39" s="1304" t="s">
        <v>5</v>
      </c>
      <c r="W39" s="1305">
        <f t="shared" si="11"/>
        <v>100</v>
      </c>
      <c r="X39" s="1299"/>
      <c r="Y39" s="3679" t="s">
        <v>499</v>
      </c>
      <c r="Z39" s="1306" t="str">
        <f t="shared" si="12"/>
        <v>物业管理</v>
      </c>
      <c r="AA39" s="1306">
        <f t="shared" si="3"/>
        <v>1</v>
      </c>
      <c r="AB39" s="1306">
        <f t="shared" si="4"/>
        <v>1</v>
      </c>
      <c r="AC39" s="1306">
        <f t="shared" si="5"/>
        <v>1</v>
      </c>
    </row>
    <row r="40" spans="1:29" ht="15">
      <c r="A40" s="541"/>
      <c r="B40" s="1551" t="s">
        <v>1846</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6"/>
      <c r="M40" s="1739"/>
      <c r="N40" s="1739"/>
      <c r="O40" s="1739"/>
      <c r="P40" s="3679"/>
      <c r="Q40" s="1303" t="str">
        <f t="shared" si="8"/>
        <v>市政基础设施</v>
      </c>
      <c r="R40" s="1304" t="s">
        <v>5</v>
      </c>
      <c r="S40" s="1305">
        <f t="shared" si="9"/>
        <v>100</v>
      </c>
      <c r="T40" s="1304" t="s">
        <v>5</v>
      </c>
      <c r="U40" s="1305">
        <f t="shared" si="10"/>
        <v>100</v>
      </c>
      <c r="V40" s="1304" t="s">
        <v>5</v>
      </c>
      <c r="W40" s="1305">
        <f t="shared" si="11"/>
        <v>100</v>
      </c>
      <c r="X40" s="1299"/>
      <c r="Y40" s="3679"/>
      <c r="Z40" s="1306" t="str">
        <f t="shared" si="12"/>
        <v>市政基础设施</v>
      </c>
      <c r="AA40" s="1306">
        <f t="shared" si="3"/>
        <v>1</v>
      </c>
      <c r="AB40" s="1306">
        <f t="shared" si="4"/>
        <v>1</v>
      </c>
      <c r="AC40" s="1306">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6"/>
      <c r="M41" s="1739"/>
      <c r="N41" s="1739"/>
      <c r="O41" s="1739"/>
      <c r="P41" s="3679"/>
      <c r="Q41" s="1303" t="str">
        <f t="shared" si="8"/>
        <v>层高</v>
      </c>
      <c r="R41" s="1304" t="s">
        <v>5</v>
      </c>
      <c r="S41" s="1305">
        <f t="shared" si="9"/>
        <v>100</v>
      </c>
      <c r="T41" s="1304" t="s">
        <v>5</v>
      </c>
      <c r="U41" s="1305">
        <f t="shared" si="10"/>
        <v>100</v>
      </c>
      <c r="V41" s="1304" t="s">
        <v>5</v>
      </c>
      <c r="W41" s="1305">
        <f t="shared" si="11"/>
        <v>100</v>
      </c>
      <c r="X41" s="1299"/>
      <c r="Y41" s="3679"/>
      <c r="Z41" s="1306" t="str">
        <f t="shared" si="12"/>
        <v>层高</v>
      </c>
      <c r="AA41" s="1306">
        <f t="shared" si="3"/>
        <v>1</v>
      </c>
      <c r="AB41" s="1306">
        <f t="shared" si="4"/>
        <v>1</v>
      </c>
      <c r="AC41" s="1306">
        <f t="shared" si="5"/>
        <v>1</v>
      </c>
    </row>
    <row r="42" spans="1:29" s="1131"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4"/>
      <c r="M42" s="1768"/>
      <c r="N42" s="1768"/>
      <c r="O42" s="1768"/>
      <c r="P42" s="3679"/>
      <c r="Q42" s="816" t="str">
        <f t="shared" si="8"/>
        <v>单套建筑面积</v>
      </c>
      <c r="R42" s="1307" t="s">
        <v>5</v>
      </c>
      <c r="S42" s="1308">
        <f t="shared" si="9"/>
        <v>100</v>
      </c>
      <c r="T42" s="1307" t="s">
        <v>5</v>
      </c>
      <c r="U42" s="1308">
        <f t="shared" si="10"/>
        <v>100</v>
      </c>
      <c r="V42" s="1307" t="s">
        <v>5</v>
      </c>
      <c r="W42" s="1308">
        <f t="shared" si="11"/>
        <v>100</v>
      </c>
      <c r="X42" s="1309"/>
      <c r="Y42" s="3679"/>
      <c r="Z42" s="1310" t="str">
        <f t="shared" si="12"/>
        <v>单套建筑面积</v>
      </c>
      <c r="AA42" s="1306">
        <f t="shared" si="3"/>
        <v>1</v>
      </c>
      <c r="AB42" s="1306">
        <f t="shared" si="4"/>
        <v>1</v>
      </c>
      <c r="AC42" s="1306">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6"/>
      <c r="M43" s="1739"/>
      <c r="N43" s="1739"/>
      <c r="O43" s="1739"/>
      <c r="P43" s="3679"/>
      <c r="Q43" s="1303" t="str">
        <f t="shared" si="8"/>
        <v>内部装修</v>
      </c>
      <c r="R43" s="1304" t="s">
        <v>5</v>
      </c>
      <c r="S43" s="1305">
        <f t="shared" si="9"/>
        <v>100</v>
      </c>
      <c r="T43" s="1304" t="s">
        <v>5</v>
      </c>
      <c r="U43" s="1305">
        <f t="shared" si="10"/>
        <v>100</v>
      </c>
      <c r="V43" s="1304" t="s">
        <v>5</v>
      </c>
      <c r="W43" s="1305">
        <f t="shared" si="11"/>
        <v>100</v>
      </c>
      <c r="X43" s="1299"/>
      <c r="Y43" s="3679"/>
      <c r="Z43" s="1306" t="str">
        <f t="shared" si="12"/>
        <v>内部装修</v>
      </c>
      <c r="AA43" s="1306">
        <f t="shared" si="3"/>
        <v>1</v>
      </c>
      <c r="AB43" s="1306">
        <f t="shared" si="4"/>
        <v>1</v>
      </c>
      <c r="AC43" s="1306">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6"/>
      <c r="M44" s="1739"/>
      <c r="N44" s="1739"/>
      <c r="O44" s="1739"/>
      <c r="P44" s="3679"/>
      <c r="Q44" s="1303" t="str">
        <f t="shared" si="8"/>
        <v>内部装修维护情况</v>
      </c>
      <c r="R44" s="1304" t="s">
        <v>5</v>
      </c>
      <c r="S44" s="1305">
        <f t="shared" si="9"/>
        <v>100</v>
      </c>
      <c r="T44" s="1304" t="s">
        <v>5</v>
      </c>
      <c r="U44" s="1305">
        <f t="shared" si="10"/>
        <v>100</v>
      </c>
      <c r="V44" s="1304" t="s">
        <v>5</v>
      </c>
      <c r="W44" s="1305">
        <f t="shared" si="11"/>
        <v>100</v>
      </c>
      <c r="X44" s="1299"/>
      <c r="Y44" s="3679"/>
      <c r="Z44" s="1306" t="str">
        <f t="shared" si="12"/>
        <v>内部装修维护情况</v>
      </c>
      <c r="AA44" s="1306">
        <f t="shared" si="3"/>
        <v>1</v>
      </c>
      <c r="AB44" s="1306">
        <f t="shared" si="4"/>
        <v>1</v>
      </c>
      <c r="AC44" s="1306">
        <f t="shared" si="5"/>
        <v>1</v>
      </c>
    </row>
    <row r="45" spans="1:29" s="1057" customFormat="1" ht="15">
      <c r="A45" s="547"/>
      <c r="B45" s="91">
        <v>111</v>
      </c>
      <c r="C45" s="803"/>
      <c r="D45" s="233">
        <v>100</v>
      </c>
      <c r="E45" s="476"/>
      <c r="F45" s="475">
        <f>SUMIF(127:127,E45,128:128)-SUMIF(127:127,C45,128:128)+100</f>
        <v>100</v>
      </c>
      <c r="G45" s="476"/>
      <c r="H45" s="233">
        <f>SUMIF(127:127,G45,128:128)-SUMIF(127:127,C45,128:128)+100</f>
        <v>100</v>
      </c>
      <c r="I45" s="476"/>
      <c r="J45" s="233">
        <f>SUMIF(127:127,I45,128:128)-SUMIF(127:127,C45,128:128)+100</f>
        <v>100</v>
      </c>
      <c r="K45" s="529"/>
      <c r="L45" s="1740"/>
      <c r="M45" s="1637"/>
      <c r="N45" s="1637"/>
      <c r="O45" s="1637"/>
      <c r="P45" s="3679"/>
      <c r="Q45" s="815">
        <f t="shared" si="8"/>
        <v>111</v>
      </c>
      <c r="R45" s="1300" t="s">
        <v>5</v>
      </c>
      <c r="S45" s="1301">
        <f t="shared" si="9"/>
        <v>100</v>
      </c>
      <c r="T45" s="1300" t="s">
        <v>5</v>
      </c>
      <c r="U45" s="1301">
        <f t="shared" si="10"/>
        <v>100</v>
      </c>
      <c r="V45" s="1300" t="s">
        <v>5</v>
      </c>
      <c r="W45" s="1301">
        <f t="shared" si="11"/>
        <v>100</v>
      </c>
      <c r="X45" s="1302"/>
      <c r="Y45" s="3679"/>
      <c r="Z45" s="994">
        <f t="shared" si="12"/>
        <v>111</v>
      </c>
      <c r="AA45" s="994">
        <f t="shared" si="3"/>
        <v>1</v>
      </c>
      <c r="AB45" s="994">
        <f t="shared" si="4"/>
        <v>1</v>
      </c>
      <c r="AC45" s="994">
        <f t="shared" si="5"/>
        <v>1</v>
      </c>
    </row>
    <row r="46" spans="1:29" ht="1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6"/>
      <c r="M46" s="1739"/>
      <c r="N46" s="1739"/>
      <c r="O46" s="1739"/>
      <c r="P46" s="3679"/>
      <c r="Q46" s="1303">
        <f t="shared" si="8"/>
        <v>111</v>
      </c>
      <c r="R46" s="1304" t="s">
        <v>5</v>
      </c>
      <c r="S46" s="1305">
        <f t="shared" si="9"/>
        <v>100</v>
      </c>
      <c r="T46" s="1304" t="s">
        <v>5</v>
      </c>
      <c r="U46" s="1305">
        <f t="shared" si="10"/>
        <v>100</v>
      </c>
      <c r="V46" s="1304" t="s">
        <v>5</v>
      </c>
      <c r="W46" s="1305">
        <f t="shared" si="11"/>
        <v>100</v>
      </c>
      <c r="X46" s="1299"/>
      <c r="Y46" s="3679"/>
      <c r="Z46" s="1306">
        <f t="shared" si="12"/>
        <v>111</v>
      </c>
      <c r="AA46" s="1306">
        <f t="shared" si="3"/>
        <v>1</v>
      </c>
      <c r="AB46" s="1306">
        <f t="shared" si="4"/>
        <v>1</v>
      </c>
      <c r="AC46" s="1306">
        <f t="shared" si="5"/>
        <v>1</v>
      </c>
    </row>
    <row r="47" spans="1:29" ht="15.75" thickBot="1">
      <c r="A47" s="808"/>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6"/>
      <c r="M47" s="1739"/>
      <c r="N47" s="1739"/>
      <c r="O47" s="1739"/>
      <c r="P47" s="3698"/>
      <c r="Q47" s="1303">
        <f t="shared" si="8"/>
        <v>111</v>
      </c>
      <c r="R47" s="1304" t="s">
        <v>5</v>
      </c>
      <c r="S47" s="1305">
        <f t="shared" si="9"/>
        <v>100</v>
      </c>
      <c r="T47" s="1304" t="s">
        <v>5</v>
      </c>
      <c r="U47" s="1305">
        <f t="shared" si="10"/>
        <v>100</v>
      </c>
      <c r="V47" s="1304" t="s">
        <v>5</v>
      </c>
      <c r="W47" s="1305">
        <f t="shared" si="11"/>
        <v>100</v>
      </c>
      <c r="X47" s="1299"/>
      <c r="Y47" s="3698"/>
      <c r="Z47" s="1306">
        <f t="shared" si="12"/>
        <v>111</v>
      </c>
      <c r="AA47" s="1306">
        <f t="shared" si="3"/>
        <v>1</v>
      </c>
      <c r="AB47" s="1306">
        <f t="shared" si="4"/>
        <v>1</v>
      </c>
      <c r="AC47" s="1306">
        <f t="shared" si="5"/>
        <v>1</v>
      </c>
    </row>
    <row r="48" spans="1:29" ht="15">
      <c r="A48" s="554" t="s">
        <v>683</v>
      </c>
      <c r="B48" s="809"/>
      <c r="C48" s="2078" t="s">
        <v>0</v>
      </c>
      <c r="D48" s="557"/>
      <c r="E48" s="558"/>
      <c r="F48" s="559"/>
      <c r="G48" s="560"/>
      <c r="H48" s="561"/>
      <c r="I48" s="558"/>
      <c r="J48" s="561"/>
      <c r="K48" s="1332"/>
      <c r="L48" s="1748"/>
      <c r="M48" s="1739"/>
      <c r="N48" s="1739"/>
      <c r="O48" s="1739"/>
      <c r="P48" s="3681" t="str">
        <f>A48</f>
        <v>成交单价（元/平方米）</v>
      </c>
      <c r="Q48" s="3642"/>
      <c r="R48" s="3643">
        <f>E48</f>
        <v>0</v>
      </c>
      <c r="S48" s="3643"/>
      <c r="T48" s="3643">
        <f>G48</f>
        <v>0</v>
      </c>
      <c r="U48" s="3643"/>
      <c r="V48" s="3643">
        <f>I48</f>
        <v>0</v>
      </c>
      <c r="W48" s="3643"/>
      <c r="X48" s="797"/>
      <c r="Y48" s="1311"/>
      <c r="Z48" s="797"/>
      <c r="AA48" s="797"/>
      <c r="AB48" s="797"/>
      <c r="AC48" s="797"/>
    </row>
    <row r="49" spans="1:29" ht="15.75" thickBot="1">
      <c r="A49" s="562" t="s">
        <v>2040</v>
      </c>
      <c r="B49" s="810"/>
      <c r="C49" s="2079" t="e">
        <f>R50</f>
        <v>#DIV/0!</v>
      </c>
      <c r="D49" s="2546" t="s">
        <v>2254</v>
      </c>
      <c r="E49" s="2080" t="e">
        <f>R49</f>
        <v>#DIV/0!</v>
      </c>
      <c r="F49" s="2547"/>
      <c r="G49" s="2079" t="e">
        <f>T49</f>
        <v>#DIV/0!</v>
      </c>
      <c r="H49" s="2547"/>
      <c r="I49" s="2080" t="e">
        <f>V49</f>
        <v>#DIV/0!</v>
      </c>
      <c r="J49" s="2547"/>
      <c r="K49" s="2554">
        <f>F49+H49+J49</f>
        <v>0</v>
      </c>
      <c r="L49" s="1748"/>
      <c r="M49" s="1739"/>
      <c r="N49" s="1739"/>
      <c r="O49" s="1739"/>
      <c r="P49" s="3681" t="str">
        <f>A49</f>
        <v>比较价格（元/平方米）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797"/>
      <c r="Y49" s="797"/>
      <c r="Z49" s="797"/>
      <c r="AA49" s="797"/>
      <c r="AB49" s="797"/>
      <c r="AC49" s="797"/>
    </row>
    <row r="50" spans="1:29" ht="15.75" thickBot="1">
      <c r="A50" s="566" t="s">
        <v>2191</v>
      </c>
      <c r="B50" s="567"/>
      <c r="C50" s="467" t="e">
        <f>R50</f>
        <v>#DIV/0!</v>
      </c>
      <c r="D50" s="467"/>
      <c r="E50" s="467"/>
      <c r="F50" s="467"/>
      <c r="G50" s="467"/>
      <c r="H50" s="467"/>
      <c r="I50" s="467"/>
      <c r="J50" s="467"/>
      <c r="K50" s="1333"/>
      <c r="L50" s="1748"/>
      <c r="M50" s="1739"/>
      <c r="N50" s="1739"/>
      <c r="O50" s="1739"/>
      <c r="P50" s="3776" t="str">
        <f>A50</f>
        <v>估价对象XX用房的比较价格（楼面单价，元/平方米）</v>
      </c>
      <c r="Q50" s="3681"/>
      <c r="R50" s="3697" t="e">
        <f>IF(F1="售价",ROUND(IF(D49="简单平均",AVERAGE(R49:V49),R49*F49+T49*H49+V49*J49),0),ROUND(IF(D49="简单平均",AVERAGE(R49:V49),R49*F49+T49*H49+V49*J49),1))</f>
        <v>#DIV/0!</v>
      </c>
      <c r="S50" s="3697"/>
      <c r="T50" s="3697"/>
      <c r="U50" s="3697"/>
      <c r="V50" s="3697"/>
      <c r="W50" s="3697"/>
      <c r="X50" s="797"/>
      <c r="Y50" s="797"/>
      <c r="Z50" s="797"/>
      <c r="AA50" s="797"/>
      <c r="AB50" s="797"/>
      <c r="AC50" s="797"/>
    </row>
    <row r="51" spans="1:29">
      <c r="A51" s="2715"/>
      <c r="B51" s="2715"/>
      <c r="C51" s="2715"/>
      <c r="D51" s="2715"/>
      <c r="E51" s="2715"/>
      <c r="F51" s="2715"/>
      <c r="G51" s="2717"/>
      <c r="H51" s="2715"/>
      <c r="I51" s="2715"/>
      <c r="J51" s="2715"/>
      <c r="K51" s="2718"/>
      <c r="L51" s="1752"/>
      <c r="M51" s="1739"/>
      <c r="N51" s="1739"/>
      <c r="O51" s="1739"/>
      <c r="P51" s="1801"/>
      <c r="Q51" s="1739"/>
      <c r="R51" s="1739"/>
      <c r="S51" s="1739"/>
      <c r="T51" s="1739"/>
      <c r="U51" s="1739"/>
      <c r="V51" s="1739"/>
      <c r="W51" s="1739"/>
      <c r="X51" s="1739"/>
      <c r="Y51" s="1739"/>
      <c r="Z51" s="1739"/>
      <c r="AA51" s="1739"/>
      <c r="AB51" s="1739"/>
      <c r="AC51" s="1739"/>
    </row>
    <row r="52" spans="1:29">
      <c r="A52" s="2715"/>
      <c r="B52" s="2715"/>
      <c r="C52" s="2715"/>
      <c r="D52" s="2715"/>
      <c r="E52" s="2715"/>
      <c r="F52" s="2715"/>
      <c r="G52" s="2715"/>
      <c r="H52" s="2715"/>
      <c r="I52" s="2715"/>
      <c r="J52" s="2715"/>
      <c r="K52" s="2718"/>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5"/>
      <c r="B53" s="2715"/>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8"/>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5"/>
      <c r="B54" s="2715"/>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8"/>
      <c r="L54" s="1752"/>
      <c r="M54" s="1739"/>
      <c r="N54" s="1739"/>
      <c r="O54" s="1739"/>
      <c r="P54" s="1801"/>
      <c r="Q54" s="1739"/>
      <c r="R54" s="1739"/>
      <c r="S54" s="1739"/>
      <c r="T54" s="1739"/>
      <c r="U54" s="1739"/>
      <c r="V54" s="1739"/>
      <c r="W54" s="1739"/>
      <c r="X54" s="1739"/>
      <c r="Y54" s="1739"/>
      <c r="Z54" s="1739"/>
      <c r="AA54" s="1739"/>
      <c r="AB54" s="1739"/>
      <c r="AC54" s="1739"/>
    </row>
    <row r="55" spans="1:29" s="1136" customFormat="1" ht="13.5" customHeight="1">
      <c r="A55" s="2716"/>
      <c r="B55" s="2716"/>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9"/>
      <c r="L55" s="1755"/>
      <c r="M55" s="1749"/>
      <c r="N55" s="1749"/>
      <c r="O55" s="1749"/>
      <c r="P55" s="1802"/>
      <c r="Q55" s="1749"/>
      <c r="R55" s="1749"/>
      <c r="S55" s="1749"/>
      <c r="T55" s="1749"/>
      <c r="U55" s="1749"/>
      <c r="V55" s="1749"/>
      <c r="W55" s="1749"/>
      <c r="X55" s="1749"/>
      <c r="Y55" s="1749"/>
      <c r="Z55" s="1749"/>
      <c r="AA55" s="1749"/>
      <c r="AB55" s="1749"/>
      <c r="AC55" s="1749"/>
    </row>
    <row r="56" spans="1:29" s="1136"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1.75" thickBot="1">
      <c r="A58" s="1314" t="s">
        <v>522</v>
      </c>
      <c r="B58" s="797"/>
      <c r="C58" s="1313"/>
      <c r="D58" s="1313"/>
      <c r="E58" s="1313"/>
      <c r="F58" s="1315"/>
      <c r="G58" s="1315"/>
      <c r="H58" s="1313"/>
      <c r="I58" s="1313"/>
      <c r="J58" s="1313"/>
      <c r="K58" s="1316"/>
      <c r="L58" s="1312"/>
      <c r="M58" s="1313"/>
      <c r="N58" s="1759"/>
      <c r="O58" s="1759"/>
      <c r="P58" s="1803"/>
      <c r="Q58" s="1760"/>
      <c r="R58" s="1739"/>
      <c r="S58" s="1739"/>
      <c r="T58" s="1739"/>
      <c r="U58" s="1739"/>
      <c r="V58" s="1739"/>
      <c r="W58" s="1739"/>
      <c r="X58" s="1739"/>
      <c r="Y58" s="1739"/>
      <c r="Z58" s="1739"/>
      <c r="AA58" s="1739"/>
      <c r="AB58" s="1739"/>
      <c r="AC58" s="1739"/>
    </row>
    <row r="59" spans="1:29" s="1138" customFormat="1" ht="15">
      <c r="A59" s="590" t="s">
        <v>478</v>
      </c>
      <c r="B59" s="591"/>
      <c r="C59" s="2110" t="str">
        <f>YEAR(C7)&amp;"-"&amp;MONTH(C7)</f>
        <v>2024-11</v>
      </c>
      <c r="D59" s="2112">
        <f>EDATE(C59,-1)</f>
        <v>45566</v>
      </c>
      <c r="E59" s="2112">
        <f t="shared" ref="E59:O59" si="13">EDATE(D59,-1)</f>
        <v>45536</v>
      </c>
      <c r="F59" s="2112">
        <f t="shared" si="13"/>
        <v>45505</v>
      </c>
      <c r="G59" s="2112">
        <f t="shared" si="13"/>
        <v>45474</v>
      </c>
      <c r="H59" s="2112">
        <f t="shared" si="13"/>
        <v>45444</v>
      </c>
      <c r="I59" s="2112">
        <f t="shared" si="13"/>
        <v>45413</v>
      </c>
      <c r="J59" s="2112">
        <f t="shared" si="13"/>
        <v>45383</v>
      </c>
      <c r="K59" s="2112">
        <f t="shared" si="13"/>
        <v>45352</v>
      </c>
      <c r="L59" s="2112">
        <f t="shared" si="13"/>
        <v>45323</v>
      </c>
      <c r="M59" s="2112">
        <f t="shared" si="13"/>
        <v>45292</v>
      </c>
      <c r="N59" s="2112">
        <f t="shared" si="13"/>
        <v>45261</v>
      </c>
      <c r="O59" s="2112">
        <f t="shared" si="13"/>
        <v>45231</v>
      </c>
      <c r="P59" s="1804"/>
      <c r="Q59" s="1762"/>
      <c r="R59" s="1762"/>
      <c r="S59" s="1762"/>
      <c r="T59" s="1762"/>
      <c r="U59" s="1762"/>
      <c r="V59" s="1762"/>
      <c r="W59" s="1762"/>
      <c r="X59" s="1762"/>
      <c r="Y59" s="1762"/>
      <c r="Z59" s="1762"/>
      <c r="AA59" s="1762"/>
      <c r="AB59" s="1762"/>
      <c r="AC59" s="1762"/>
    </row>
    <row r="60" spans="1:29" s="1057" customFormat="1" ht="15">
      <c r="A60" s="525"/>
      <c r="B60" s="592"/>
      <c r="C60" s="593">
        <v>100</v>
      </c>
      <c r="D60" s="594"/>
      <c r="E60" s="594"/>
      <c r="F60" s="594"/>
      <c r="G60" s="594"/>
      <c r="H60" s="594"/>
      <c r="I60" s="594"/>
      <c r="J60" s="594"/>
      <c r="K60" s="594"/>
      <c r="L60" s="594"/>
      <c r="M60" s="485"/>
      <c r="N60" s="594"/>
      <c r="O60" s="485"/>
      <c r="P60" s="1805"/>
      <c r="Q60" s="1637"/>
      <c r="R60" s="1637"/>
      <c r="S60" s="1637"/>
      <c r="T60" s="1637"/>
      <c r="U60" s="1637"/>
      <c r="V60" s="1637"/>
      <c r="W60" s="1637"/>
      <c r="X60" s="1637"/>
      <c r="Y60" s="1637"/>
      <c r="Z60" s="1637"/>
      <c r="AA60" s="1637"/>
      <c r="AB60" s="1637"/>
      <c r="AC60" s="1637"/>
    </row>
    <row r="61" spans="1:29" s="1057" customFormat="1" ht="15.75" thickBot="1">
      <c r="A61" s="260" t="s">
        <v>523</v>
      </c>
      <c r="B61" s="596"/>
      <c r="C61" s="597"/>
      <c r="D61" s="598"/>
      <c r="E61" s="598"/>
      <c r="F61" s="598"/>
      <c r="G61" s="598"/>
      <c r="H61" s="598"/>
      <c r="I61" s="598"/>
      <c r="J61" s="598"/>
      <c r="K61" s="598"/>
      <c r="L61" s="598"/>
      <c r="M61" s="599"/>
      <c r="N61" s="598"/>
      <c r="O61" s="599"/>
      <c r="P61" s="1805"/>
      <c r="Q61" s="1760"/>
      <c r="R61" s="1637"/>
      <c r="S61" s="1637"/>
      <c r="T61" s="1637"/>
      <c r="U61" s="1637"/>
      <c r="V61" s="1637"/>
      <c r="W61" s="1637"/>
      <c r="X61" s="1637"/>
      <c r="Y61" s="1637"/>
      <c r="Z61" s="1637"/>
      <c r="AA61" s="1637"/>
      <c r="AB61" s="1637"/>
      <c r="AC61" s="1637"/>
    </row>
    <row r="62" spans="1:29" s="1057" customFormat="1" ht="15">
      <c r="A62" s="601" t="s">
        <v>480</v>
      </c>
      <c r="B62" s="592"/>
      <c r="C62" s="602" t="s">
        <v>524</v>
      </c>
      <c r="D62" s="80"/>
      <c r="E62" s="80"/>
      <c r="F62" s="80"/>
      <c r="G62" s="80"/>
      <c r="H62" s="80"/>
      <c r="I62" s="80"/>
      <c r="J62" s="80"/>
      <c r="K62" s="80"/>
      <c r="L62" s="603"/>
      <c r="M62" s="604"/>
      <c r="N62" s="1763"/>
      <c r="O62" s="1763"/>
      <c r="P62" s="1806"/>
      <c r="Q62" s="1760"/>
      <c r="R62" s="1637"/>
      <c r="S62" s="1637"/>
      <c r="T62" s="1637"/>
      <c r="U62" s="1637"/>
      <c r="V62" s="1637"/>
      <c r="W62" s="1637"/>
      <c r="X62" s="1637"/>
      <c r="Y62" s="1637"/>
      <c r="Z62" s="1637"/>
      <c r="AA62" s="1637"/>
      <c r="AB62" s="1637"/>
      <c r="AC62" s="1637"/>
    </row>
    <row r="63" spans="1:29" s="1057" customFormat="1" ht="15.75" thickBot="1">
      <c r="A63" s="601"/>
      <c r="B63" s="592"/>
      <c r="C63" s="811">
        <v>100</v>
      </c>
      <c r="D63" s="594"/>
      <c r="E63" s="594"/>
      <c r="F63" s="594"/>
      <c r="G63" s="594"/>
      <c r="H63" s="594"/>
      <c r="I63" s="594"/>
      <c r="J63" s="594"/>
      <c r="K63" s="594"/>
      <c r="L63" s="594"/>
      <c r="M63" s="595"/>
      <c r="N63" s="1763"/>
      <c r="O63" s="1763"/>
      <c r="P63" s="1805"/>
      <c r="Q63" s="1760"/>
      <c r="R63" s="1637"/>
      <c r="S63" s="1637"/>
      <c r="T63" s="1637"/>
      <c r="U63" s="1637"/>
      <c r="V63" s="1637"/>
      <c r="W63" s="1637"/>
      <c r="X63" s="1637"/>
      <c r="Y63" s="1637"/>
      <c r="Z63" s="1637"/>
      <c r="AA63" s="1637"/>
      <c r="AB63" s="1637"/>
      <c r="AC63" s="1637"/>
    </row>
    <row r="64" spans="1:29">
      <c r="A64" s="605" t="s">
        <v>525</v>
      </c>
      <c r="B64" s="606" t="s">
        <v>483</v>
      </c>
      <c r="C64" s="643">
        <f>C9</f>
        <v>0</v>
      </c>
      <c r="D64" s="545"/>
      <c r="E64" s="545"/>
      <c r="F64" s="545"/>
      <c r="G64" s="545"/>
      <c r="H64" s="545"/>
      <c r="I64" s="545"/>
      <c r="J64" s="545"/>
      <c r="K64" s="607"/>
      <c r="L64" s="608"/>
      <c r="M64" s="609"/>
      <c r="N64" s="1764"/>
      <c r="O64" s="1764"/>
      <c r="P64" s="1807"/>
      <c r="Q64" s="1760"/>
      <c r="R64" s="1739"/>
      <c r="S64" s="1739"/>
      <c r="T64" s="1739"/>
      <c r="U64" s="1739"/>
      <c r="V64" s="1739"/>
      <c r="W64" s="1739"/>
      <c r="X64" s="1739"/>
      <c r="Y64" s="1739"/>
      <c r="Z64" s="1739"/>
      <c r="AA64" s="1739"/>
      <c r="AB64" s="1739"/>
      <c r="AC64" s="1739"/>
    </row>
    <row r="65" spans="1:29" ht="15.75" thickBot="1">
      <c r="A65" s="480"/>
      <c r="B65" s="610"/>
      <c r="C65" s="611"/>
      <c r="D65" s="611"/>
      <c r="E65" s="611"/>
      <c r="F65" s="611"/>
      <c r="G65" s="611"/>
      <c r="H65" s="611"/>
      <c r="I65" s="611"/>
      <c r="J65" s="611"/>
      <c r="K65" s="611"/>
      <c r="L65" s="611"/>
      <c r="M65" s="612"/>
      <c r="N65" s="1765"/>
      <c r="O65" s="1765"/>
      <c r="P65" s="1807"/>
      <c r="Q65" s="1760"/>
      <c r="R65" s="1739"/>
      <c r="S65" s="1739"/>
      <c r="T65" s="1739"/>
      <c r="U65" s="1739"/>
      <c r="V65" s="1739"/>
      <c r="W65" s="1739"/>
      <c r="X65" s="1739"/>
      <c r="Y65" s="1739"/>
      <c r="Z65" s="1739"/>
      <c r="AA65" s="1739"/>
      <c r="AB65" s="1739"/>
      <c r="AC65" s="1739"/>
    </row>
    <row r="66" spans="1:29" ht="27.75" thickTop="1">
      <c r="A66" s="480"/>
      <c r="B66" s="613" t="s">
        <v>486</v>
      </c>
      <c r="C66" s="656"/>
      <c r="D66" s="656"/>
      <c r="E66" s="656"/>
      <c r="F66" s="656"/>
      <c r="G66" s="656"/>
      <c r="H66" s="656"/>
      <c r="I66" s="656"/>
      <c r="J66" s="656"/>
      <c r="K66" s="657"/>
      <c r="L66" s="658"/>
      <c r="M66" s="659"/>
      <c r="N66" s="1764"/>
      <c r="O66" s="1764"/>
      <c r="P66" s="1807"/>
      <c r="Q66" s="1760"/>
      <c r="R66" s="1739"/>
      <c r="S66" s="1739"/>
      <c r="T66" s="1739"/>
      <c r="U66" s="1739"/>
      <c r="V66" s="1739"/>
      <c r="W66" s="1739"/>
      <c r="X66" s="1739"/>
      <c r="Y66" s="1739"/>
      <c r="Z66" s="1739"/>
      <c r="AA66" s="1739"/>
      <c r="AB66" s="1739"/>
      <c r="AC66" s="1739"/>
    </row>
    <row r="67" spans="1:29" ht="15.75" thickBot="1">
      <c r="A67" s="480"/>
      <c r="B67" s="618"/>
      <c r="C67" s="611"/>
      <c r="D67" s="611"/>
      <c r="E67" s="611"/>
      <c r="F67" s="611"/>
      <c r="G67" s="611"/>
      <c r="H67" s="611"/>
      <c r="I67" s="611"/>
      <c r="J67" s="611"/>
      <c r="K67" s="611"/>
      <c r="L67" s="611"/>
      <c r="M67" s="612"/>
      <c r="N67" s="1765"/>
      <c r="O67" s="1765"/>
      <c r="P67" s="1807"/>
      <c r="Q67" s="1760"/>
      <c r="R67" s="1739"/>
      <c r="S67" s="1739"/>
      <c r="T67" s="1739"/>
      <c r="U67" s="1739"/>
      <c r="V67" s="1739"/>
      <c r="W67" s="1739"/>
      <c r="X67" s="1739"/>
      <c r="Y67" s="1739"/>
      <c r="Z67" s="1739"/>
      <c r="AA67" s="1739"/>
      <c r="AB67" s="1739"/>
      <c r="AC67" s="1739"/>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5"/>
      <c r="O68" s="1765"/>
      <c r="P68" s="1807"/>
      <c r="Q68" s="1760"/>
      <c r="R68" s="1739"/>
      <c r="S68" s="1739"/>
      <c r="T68" s="1739"/>
      <c r="U68" s="1739"/>
      <c r="V68" s="1739"/>
      <c r="W68" s="1739"/>
      <c r="X68" s="1739"/>
      <c r="Y68" s="1739"/>
      <c r="Z68" s="1739"/>
      <c r="AA68" s="1739"/>
      <c r="AB68" s="1739"/>
      <c r="AC68" s="1739"/>
    </row>
    <row r="69" spans="1:29" ht="15">
      <c r="A69" s="480"/>
      <c r="B69" s="623"/>
      <c r="C69" s="489"/>
      <c r="D69" s="489"/>
      <c r="E69" s="489"/>
      <c r="F69" s="489"/>
      <c r="G69" s="489"/>
      <c r="H69" s="489"/>
      <c r="I69" s="489"/>
      <c r="J69" s="489"/>
      <c r="K69" s="624"/>
      <c r="L69" s="625"/>
      <c r="M69" s="626"/>
      <c r="N69" s="1764"/>
      <c r="O69" s="1764"/>
      <c r="P69" s="1807"/>
      <c r="Q69" s="1760"/>
      <c r="R69" s="1739"/>
      <c r="S69" s="1739"/>
      <c r="T69" s="1739"/>
      <c r="U69" s="1739"/>
      <c r="V69" s="1739"/>
      <c r="W69" s="1739"/>
      <c r="X69" s="1739"/>
      <c r="Y69" s="1739"/>
      <c r="Z69" s="1739"/>
      <c r="AA69" s="1739"/>
      <c r="AB69" s="1739"/>
      <c r="AC69" s="1739"/>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5"/>
      <c r="O70" s="1765"/>
      <c r="P70" s="1807"/>
      <c r="Q70" s="1760"/>
      <c r="R70" s="1739"/>
      <c r="S70" s="1739"/>
      <c r="T70" s="1739"/>
      <c r="U70" s="1739"/>
      <c r="V70" s="1739"/>
      <c r="W70" s="1739"/>
      <c r="X70" s="1739"/>
      <c r="Y70" s="1739"/>
      <c r="Z70" s="1739"/>
      <c r="AA70" s="1739"/>
      <c r="AB70" s="1739"/>
      <c r="AC70" s="1739"/>
    </row>
    <row r="71" spans="1:29" s="1131" customFormat="1" ht="15.75" thickTop="1">
      <c r="A71" s="627"/>
      <c r="B71" s="613">
        <f>B12</f>
        <v>111</v>
      </c>
      <c r="C71" s="628"/>
      <c r="D71" s="628"/>
      <c r="E71" s="628"/>
      <c r="F71" s="628"/>
      <c r="G71" s="628"/>
      <c r="H71" s="629"/>
      <c r="I71" s="629"/>
      <c r="J71" s="629"/>
      <c r="K71" s="629"/>
      <c r="L71" s="630"/>
      <c r="M71" s="631"/>
      <c r="N71" s="1766"/>
      <c r="O71" s="1766"/>
      <c r="P71" s="1808"/>
      <c r="Q71" s="1767"/>
      <c r="R71" s="1768"/>
      <c r="S71" s="1768"/>
      <c r="T71" s="1768"/>
      <c r="U71" s="1768"/>
      <c r="V71" s="1768"/>
      <c r="W71" s="1768"/>
      <c r="X71" s="1768"/>
      <c r="Y71" s="1768"/>
      <c r="Z71" s="1768"/>
      <c r="AA71" s="1768"/>
      <c r="AB71" s="1768"/>
      <c r="AC71" s="1768"/>
    </row>
    <row r="72" spans="1:29" s="1131" customFormat="1" ht="15.75" thickBot="1">
      <c r="A72" s="627"/>
      <c r="B72" s="618"/>
      <c r="C72" s="632"/>
      <c r="D72" s="611"/>
      <c r="E72" s="611"/>
      <c r="F72" s="611"/>
      <c r="G72" s="611"/>
      <c r="H72" s="611"/>
      <c r="I72" s="611"/>
      <c r="J72" s="611"/>
      <c r="K72" s="611"/>
      <c r="L72" s="611"/>
      <c r="M72" s="612"/>
      <c r="N72" s="1765"/>
      <c r="O72" s="1765"/>
      <c r="P72" s="1808"/>
      <c r="Q72" s="1767"/>
      <c r="R72" s="1768"/>
      <c r="S72" s="1768"/>
      <c r="T72" s="1768"/>
      <c r="U72" s="1768"/>
      <c r="V72" s="1768"/>
      <c r="W72" s="1768"/>
      <c r="X72" s="1768"/>
      <c r="Y72" s="1768"/>
      <c r="Z72" s="1768"/>
      <c r="AA72" s="1768"/>
      <c r="AB72" s="1768"/>
      <c r="AC72" s="1768"/>
    </row>
    <row r="73" spans="1:29" s="1131" customFormat="1" ht="15.75" thickTop="1">
      <c r="A73" s="627"/>
      <c r="B73" s="613">
        <f>B13</f>
        <v>111</v>
      </c>
      <c r="C73" s="628"/>
      <c r="D73" s="628"/>
      <c r="E73" s="628"/>
      <c r="F73" s="628"/>
      <c r="G73" s="628"/>
      <c r="H73" s="629"/>
      <c r="I73" s="629"/>
      <c r="J73" s="629"/>
      <c r="K73" s="629"/>
      <c r="L73" s="630"/>
      <c r="M73" s="631"/>
      <c r="N73" s="1766"/>
      <c r="O73" s="1766"/>
      <c r="P73" s="1809"/>
      <c r="Q73" s="1769"/>
      <c r="R73" s="1768"/>
      <c r="S73" s="1768"/>
      <c r="T73" s="1768"/>
      <c r="U73" s="1768"/>
      <c r="V73" s="1768"/>
      <c r="W73" s="1768"/>
      <c r="X73" s="1768"/>
      <c r="Y73" s="1768"/>
      <c r="Z73" s="1768"/>
      <c r="AA73" s="1768"/>
      <c r="AB73" s="1768"/>
      <c r="AC73" s="1768"/>
    </row>
    <row r="74" spans="1:29" s="1131" customFormat="1" ht="15.75" thickBot="1">
      <c r="A74" s="627"/>
      <c r="B74" s="618"/>
      <c r="C74" s="632"/>
      <c r="D74" s="632"/>
      <c r="E74" s="632"/>
      <c r="F74" s="632"/>
      <c r="G74" s="632"/>
      <c r="H74" s="633"/>
      <c r="I74" s="633"/>
      <c r="J74" s="633"/>
      <c r="K74" s="633"/>
      <c r="L74" s="633"/>
      <c r="M74" s="634"/>
      <c r="N74" s="1766"/>
      <c r="O74" s="1766"/>
      <c r="P74" s="1808"/>
      <c r="Q74" s="1767"/>
      <c r="R74" s="1768"/>
      <c r="S74" s="1768"/>
      <c r="T74" s="1768"/>
      <c r="U74" s="1768"/>
      <c r="V74" s="1768"/>
      <c r="W74" s="1768"/>
      <c r="X74" s="1768"/>
      <c r="Y74" s="1768"/>
      <c r="Z74" s="1768"/>
      <c r="AA74" s="1768"/>
      <c r="AB74" s="1768"/>
      <c r="AC74" s="1768"/>
    </row>
    <row r="75" spans="1:29" s="1131" customFormat="1" ht="15.75" thickTop="1">
      <c r="A75" s="627"/>
      <c r="B75" s="621">
        <f>B14</f>
        <v>111</v>
      </c>
      <c r="C75" s="80"/>
      <c r="D75" s="80"/>
      <c r="E75" s="80"/>
      <c r="F75" s="80"/>
      <c r="G75" s="80"/>
      <c r="H75" s="635"/>
      <c r="I75" s="635"/>
      <c r="J75" s="635"/>
      <c r="K75" s="635"/>
      <c r="L75" s="636"/>
      <c r="M75" s="637"/>
      <c r="N75" s="1766"/>
      <c r="O75" s="1766"/>
      <c r="P75" s="1810"/>
      <c r="Q75" s="1767"/>
      <c r="R75" s="1768"/>
      <c r="S75" s="1768"/>
      <c r="T75" s="1768"/>
      <c r="U75" s="1768"/>
      <c r="V75" s="1768"/>
      <c r="W75" s="1768"/>
      <c r="X75" s="1768"/>
      <c r="Y75" s="1768"/>
      <c r="Z75" s="1768"/>
      <c r="AA75" s="1768"/>
      <c r="AB75" s="1768"/>
      <c r="AC75" s="1768"/>
    </row>
    <row r="76" spans="1:29" s="1131" customFormat="1" ht="15.75" thickBot="1">
      <c r="A76" s="638"/>
      <c r="B76" s="639"/>
      <c r="C76" s="640"/>
      <c r="D76" s="640"/>
      <c r="E76" s="640"/>
      <c r="F76" s="640"/>
      <c r="G76" s="640"/>
      <c r="H76" s="641"/>
      <c r="I76" s="641"/>
      <c r="J76" s="641"/>
      <c r="K76" s="641"/>
      <c r="L76" s="641"/>
      <c r="M76" s="642"/>
      <c r="N76" s="1766"/>
      <c r="O76" s="1766"/>
      <c r="P76" s="1808"/>
      <c r="Q76" s="1767"/>
      <c r="R76" s="1768"/>
      <c r="S76" s="1768"/>
      <c r="T76" s="1768"/>
      <c r="U76" s="1768"/>
      <c r="V76" s="1768"/>
      <c r="W76" s="1768"/>
      <c r="X76" s="1768"/>
      <c r="Y76" s="1768"/>
      <c r="Z76" s="1768"/>
      <c r="AA76" s="1768"/>
      <c r="AB76" s="1768"/>
      <c r="AC76" s="1768"/>
    </row>
    <row r="77" spans="1:29">
      <c r="A77" s="605" t="s">
        <v>488</v>
      </c>
      <c r="B77" s="606" t="s">
        <v>533</v>
      </c>
      <c r="C77" s="143" t="s">
        <v>527</v>
      </c>
      <c r="D77" s="143" t="s">
        <v>528</v>
      </c>
      <c r="E77" s="143" t="s">
        <v>529</v>
      </c>
      <c r="F77" s="143" t="s">
        <v>530</v>
      </c>
      <c r="G77" s="143" t="s">
        <v>531</v>
      </c>
      <c r="H77" s="643"/>
      <c r="I77" s="643"/>
      <c r="J77" s="643"/>
      <c r="K77" s="644"/>
      <c r="L77" s="645"/>
      <c r="M77" s="646"/>
      <c r="N77" s="1764"/>
      <c r="O77" s="1764"/>
      <c r="P77" s="1811"/>
      <c r="Q77" s="1760"/>
      <c r="R77" s="1739"/>
      <c r="S77" s="1739"/>
      <c r="T77" s="1739"/>
      <c r="U77" s="1739"/>
      <c r="V77" s="1739"/>
      <c r="W77" s="1739"/>
      <c r="X77" s="1739"/>
      <c r="Y77" s="1739"/>
      <c r="Z77" s="1739"/>
      <c r="AA77" s="1739"/>
      <c r="AB77" s="1739"/>
      <c r="AC77" s="1739"/>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5"/>
      <c r="O78" s="1765"/>
      <c r="P78" s="1807"/>
      <c r="Q78" s="1760"/>
      <c r="R78" s="1739"/>
      <c r="S78" s="1739"/>
      <c r="T78" s="1739"/>
      <c r="U78" s="1739"/>
      <c r="V78" s="1739"/>
      <c r="W78" s="1739"/>
      <c r="X78" s="1739"/>
      <c r="Y78" s="1739"/>
      <c r="Z78" s="1739"/>
      <c r="AA78" s="1739"/>
      <c r="AB78" s="1739"/>
      <c r="AC78" s="1739"/>
    </row>
    <row r="79" spans="1:29" ht="15.75" thickTop="1">
      <c r="A79" s="480"/>
      <c r="B79" s="613" t="s">
        <v>534</v>
      </c>
      <c r="C79" s="647" t="s">
        <v>527</v>
      </c>
      <c r="D79" s="647" t="s">
        <v>528</v>
      </c>
      <c r="E79" s="647" t="s">
        <v>529</v>
      </c>
      <c r="F79" s="647" t="s">
        <v>530</v>
      </c>
      <c r="G79" s="647" t="s">
        <v>531</v>
      </c>
      <c r="H79" s="614"/>
      <c r="I79" s="614"/>
      <c r="J79" s="614"/>
      <c r="K79" s="615"/>
      <c r="L79" s="616"/>
      <c r="M79" s="617"/>
      <c r="N79" s="1764"/>
      <c r="O79" s="1764"/>
      <c r="P79" s="1807"/>
      <c r="Q79" s="1760"/>
      <c r="R79" s="1739"/>
      <c r="S79" s="1739"/>
      <c r="T79" s="1739"/>
      <c r="U79" s="1739"/>
      <c r="V79" s="1739"/>
      <c r="W79" s="1739"/>
      <c r="X79" s="1739"/>
      <c r="Y79" s="1739"/>
      <c r="Z79" s="1739"/>
      <c r="AA79" s="1739"/>
      <c r="AB79" s="1739"/>
      <c r="AC79" s="1739"/>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5"/>
      <c r="O80" s="1765"/>
      <c r="P80" s="1807"/>
      <c r="Q80" s="1760"/>
      <c r="R80" s="1739"/>
      <c r="S80" s="1739"/>
      <c r="T80" s="1739"/>
      <c r="U80" s="1739"/>
      <c r="V80" s="1739"/>
      <c r="W80" s="1739"/>
      <c r="X80" s="1739"/>
      <c r="Y80" s="1739"/>
      <c r="Z80" s="1739"/>
      <c r="AA80" s="1739"/>
      <c r="AB80" s="1739"/>
      <c r="AC80" s="1739"/>
    </row>
    <row r="81" spans="1:29" ht="15.75" thickTop="1">
      <c r="A81" s="480"/>
      <c r="B81" s="1552" t="s">
        <v>1838</v>
      </c>
      <c r="C81" s="647" t="s">
        <v>527</v>
      </c>
      <c r="D81" s="647" t="s">
        <v>528</v>
      </c>
      <c r="E81" s="647" t="s">
        <v>529</v>
      </c>
      <c r="F81" s="647" t="s">
        <v>530</v>
      </c>
      <c r="G81" s="647" t="s">
        <v>531</v>
      </c>
      <c r="H81" s="614"/>
      <c r="I81" s="614"/>
      <c r="J81" s="614"/>
      <c r="K81" s="615"/>
      <c r="L81" s="616"/>
      <c r="M81" s="617"/>
      <c r="N81" s="1764"/>
      <c r="O81" s="1764"/>
      <c r="P81" s="1807"/>
      <c r="Q81" s="1760"/>
      <c r="R81" s="1739"/>
      <c r="S81" s="1739"/>
      <c r="T81" s="1739"/>
      <c r="U81" s="1739"/>
      <c r="V81" s="1739"/>
      <c r="W81" s="1739"/>
      <c r="X81" s="1739"/>
      <c r="Y81" s="1739"/>
      <c r="Z81" s="1739"/>
      <c r="AA81" s="1739"/>
      <c r="AB81" s="1739"/>
      <c r="AC81" s="1739"/>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5"/>
      <c r="O82" s="1765"/>
      <c r="P82" s="1807"/>
      <c r="Q82" s="1760"/>
      <c r="R82" s="1739"/>
      <c r="S82" s="1739"/>
      <c r="T82" s="1739"/>
      <c r="U82" s="1739"/>
      <c r="V82" s="1739"/>
      <c r="W82" s="1739"/>
      <c r="X82" s="1739"/>
      <c r="Y82" s="1739"/>
      <c r="Z82" s="1739"/>
      <c r="AA82" s="1739"/>
      <c r="AB82" s="1739"/>
      <c r="AC82" s="1739"/>
    </row>
    <row r="83" spans="1:29" ht="15.75" thickTop="1">
      <c r="A83" s="480"/>
      <c r="B83" s="2053" t="s">
        <v>1839</v>
      </c>
      <c r="C83" s="2054" t="s">
        <v>1840</v>
      </c>
      <c r="D83" s="2054" t="s">
        <v>1841</v>
      </c>
      <c r="E83" s="2054" t="s">
        <v>1842</v>
      </c>
      <c r="F83" s="2054" t="s">
        <v>1843</v>
      </c>
      <c r="G83" s="2054" t="s">
        <v>1844</v>
      </c>
      <c r="H83" s="614"/>
      <c r="I83" s="614"/>
      <c r="J83" s="614"/>
      <c r="K83" s="614"/>
      <c r="L83" s="614"/>
      <c r="M83" s="2057"/>
      <c r="N83" s="1765"/>
      <c r="O83" s="1765"/>
      <c r="P83" s="1807"/>
      <c r="Q83" s="1760"/>
      <c r="R83" s="1739"/>
      <c r="S83" s="1739"/>
      <c r="T83" s="1739"/>
      <c r="U83" s="1739"/>
      <c r="V83" s="1739"/>
      <c r="W83" s="1739"/>
      <c r="X83" s="1739"/>
      <c r="Y83" s="1739"/>
      <c r="Z83" s="1739"/>
      <c r="AA83" s="1739"/>
      <c r="AB83" s="1739"/>
      <c r="AC83" s="1739"/>
    </row>
    <row r="84" spans="1:29" ht="15.75" thickBot="1">
      <c r="A84" s="480"/>
      <c r="B84" s="621"/>
      <c r="C84" s="619">
        <v>100</v>
      </c>
      <c r="D84" s="619">
        <f>C84-$K21</f>
        <v>100</v>
      </c>
      <c r="E84" s="619">
        <f>D84-$K21</f>
        <v>100</v>
      </c>
      <c r="F84" s="619">
        <f>E84-$K21</f>
        <v>100</v>
      </c>
      <c r="G84" s="619">
        <f>F84-$K21</f>
        <v>100</v>
      </c>
      <c r="H84" s="853"/>
      <c r="I84" s="853"/>
      <c r="J84" s="853"/>
      <c r="K84" s="853"/>
      <c r="L84" s="853"/>
      <c r="M84" s="507"/>
      <c r="N84" s="1765"/>
      <c r="O84" s="1765"/>
      <c r="P84" s="1807"/>
      <c r="Q84" s="1760"/>
      <c r="R84" s="1739"/>
      <c r="S84" s="1739"/>
      <c r="T84" s="1739"/>
      <c r="U84" s="1739"/>
      <c r="V84" s="1739"/>
      <c r="W84" s="1739"/>
      <c r="X84" s="1739"/>
      <c r="Y84" s="1739"/>
      <c r="Z84" s="1739"/>
      <c r="AA84" s="1739"/>
      <c r="AB84" s="1739"/>
      <c r="AC84" s="1739"/>
    </row>
    <row r="85" spans="1:29" ht="15.75" thickTop="1">
      <c r="A85" s="480"/>
      <c r="B85" s="613" t="s">
        <v>724</v>
      </c>
      <c r="C85" s="647" t="s">
        <v>527</v>
      </c>
      <c r="D85" s="647" t="s">
        <v>528</v>
      </c>
      <c r="E85" s="647" t="s">
        <v>529</v>
      </c>
      <c r="F85" s="647" t="s">
        <v>530</v>
      </c>
      <c r="G85" s="647" t="s">
        <v>531</v>
      </c>
      <c r="H85" s="614"/>
      <c r="I85" s="614"/>
      <c r="J85" s="614"/>
      <c r="K85" s="615"/>
      <c r="L85" s="616"/>
      <c r="M85" s="617"/>
      <c r="N85" s="1764"/>
      <c r="O85" s="1764"/>
      <c r="P85" s="1807"/>
      <c r="Q85" s="1760"/>
      <c r="R85" s="1739"/>
      <c r="S85" s="1739"/>
      <c r="T85" s="1739"/>
      <c r="U85" s="1739"/>
      <c r="V85" s="1739"/>
      <c r="W85" s="1739"/>
      <c r="X85" s="1739"/>
      <c r="Y85" s="1739"/>
      <c r="Z85" s="1739"/>
      <c r="AA85" s="1739"/>
      <c r="AB85" s="1739"/>
      <c r="AC85" s="1739"/>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5"/>
      <c r="O86" s="1765"/>
      <c r="P86" s="1807"/>
      <c r="Q86" s="1760"/>
      <c r="R86" s="1739"/>
      <c r="S86" s="1739"/>
      <c r="T86" s="1739"/>
      <c r="U86" s="1739"/>
      <c r="V86" s="1739"/>
      <c r="W86" s="1739"/>
      <c r="X86" s="1739"/>
      <c r="Y86" s="1739"/>
      <c r="Z86" s="1739"/>
      <c r="AA86" s="1739"/>
      <c r="AB86" s="1739"/>
      <c r="AC86" s="1739"/>
    </row>
    <row r="87" spans="1:29" s="1057" customFormat="1" ht="27.75" thickTop="1">
      <c r="A87" s="484"/>
      <c r="B87" s="613" t="s">
        <v>725</v>
      </c>
      <c r="C87" s="628"/>
      <c r="D87" s="628"/>
      <c r="E87" s="628"/>
      <c r="F87" s="628"/>
      <c r="G87" s="628"/>
      <c r="H87" s="628"/>
      <c r="I87" s="628"/>
      <c r="J87" s="628"/>
      <c r="K87" s="628"/>
      <c r="L87" s="812"/>
      <c r="M87" s="813"/>
      <c r="N87" s="1763"/>
      <c r="O87" s="1763"/>
      <c r="P87" s="1807"/>
      <c r="Q87" s="1760"/>
      <c r="R87" s="1637"/>
      <c r="S87" s="1637"/>
      <c r="T87" s="1637"/>
      <c r="U87" s="1637"/>
      <c r="V87" s="1637"/>
      <c r="W87" s="1637"/>
      <c r="X87" s="1637"/>
      <c r="Y87" s="1637"/>
      <c r="Z87" s="1637"/>
      <c r="AA87" s="1637"/>
      <c r="AB87" s="1637"/>
      <c r="AC87" s="1637"/>
    </row>
    <row r="88" spans="1:29" s="1057"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5"/>
      <c r="O88" s="1765"/>
      <c r="P88" s="1807"/>
      <c r="Q88" s="1760"/>
      <c r="R88" s="1637"/>
      <c r="S88" s="1637"/>
      <c r="T88" s="1637"/>
      <c r="U88" s="1637"/>
      <c r="V88" s="1637"/>
      <c r="W88" s="1637"/>
      <c r="X88" s="1637"/>
      <c r="Y88" s="1637"/>
      <c r="Z88" s="1637"/>
      <c r="AA88" s="1637"/>
      <c r="AB88" s="1637"/>
      <c r="AC88" s="1637"/>
    </row>
    <row r="89" spans="1:29" s="1057" customFormat="1" ht="15.75" thickTop="1">
      <c r="A89" s="484"/>
      <c r="B89" s="613" t="str">
        <f>B27</f>
        <v>楼层</v>
      </c>
      <c r="C89" s="628"/>
      <c r="D89" s="628"/>
      <c r="E89" s="628"/>
      <c r="F89" s="814"/>
      <c r="G89" s="628"/>
      <c r="H89" s="628"/>
      <c r="I89" s="628"/>
      <c r="J89" s="628"/>
      <c r="K89" s="628"/>
      <c r="L89" s="628"/>
      <c r="M89" s="813"/>
      <c r="N89" s="1763"/>
      <c r="O89" s="1763"/>
      <c r="P89" s="1807"/>
      <c r="Q89" s="1760"/>
      <c r="R89" s="1637"/>
      <c r="S89" s="1637"/>
      <c r="T89" s="1637"/>
      <c r="U89" s="1637"/>
      <c r="V89" s="1637"/>
      <c r="W89" s="1637"/>
      <c r="X89" s="1637"/>
      <c r="Y89" s="1637"/>
      <c r="Z89" s="1637"/>
      <c r="AA89" s="1637"/>
      <c r="AB89" s="1637"/>
      <c r="AC89" s="1637"/>
    </row>
    <row r="90" spans="1:29" s="1057"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5"/>
      <c r="O90" s="1765"/>
      <c r="P90" s="1807"/>
      <c r="Q90" s="1760"/>
      <c r="R90" s="1637"/>
      <c r="S90" s="1637"/>
      <c r="T90" s="1637"/>
      <c r="U90" s="1637"/>
      <c r="V90" s="1637"/>
      <c r="W90" s="1637"/>
      <c r="X90" s="1637"/>
      <c r="Y90" s="1637"/>
      <c r="Z90" s="1637"/>
      <c r="AA90" s="1637"/>
      <c r="AB90" s="1637"/>
      <c r="AC90" s="1637"/>
    </row>
    <row r="91" spans="1:29" s="1131" customFormat="1" ht="15.75" thickTop="1">
      <c r="A91" s="627"/>
      <c r="B91" s="613" t="str">
        <f>B28</f>
        <v>朝向</v>
      </c>
      <c r="C91" s="628"/>
      <c r="D91" s="628"/>
      <c r="E91" s="628"/>
      <c r="F91" s="628"/>
      <c r="G91" s="628"/>
      <c r="H91" s="629"/>
      <c r="I91" s="629"/>
      <c r="J91" s="629"/>
      <c r="K91" s="629"/>
      <c r="L91" s="630"/>
      <c r="M91" s="631"/>
      <c r="N91" s="1766"/>
      <c r="O91" s="1766"/>
      <c r="P91" s="1808"/>
      <c r="Q91" s="1767"/>
      <c r="R91" s="1768"/>
      <c r="S91" s="1768"/>
      <c r="T91" s="1768"/>
      <c r="U91" s="1768"/>
      <c r="V91" s="1768"/>
      <c r="W91" s="1768"/>
      <c r="X91" s="1768"/>
      <c r="Y91" s="1768"/>
      <c r="Z91" s="1768"/>
      <c r="AA91" s="1768"/>
      <c r="AB91" s="1768"/>
      <c r="AC91" s="1768"/>
    </row>
    <row r="92" spans="1:29" s="1131"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6"/>
      <c r="O92" s="1766"/>
      <c r="P92" s="1808"/>
      <c r="Q92" s="1767"/>
      <c r="R92" s="1768"/>
      <c r="S92" s="1768"/>
      <c r="T92" s="1768"/>
      <c r="U92" s="1768"/>
      <c r="V92" s="1768"/>
      <c r="W92" s="1768"/>
      <c r="X92" s="1768"/>
      <c r="Y92" s="1768"/>
      <c r="Z92" s="1768"/>
      <c r="AA92" s="1768"/>
      <c r="AB92" s="1768"/>
      <c r="AC92" s="1768"/>
    </row>
    <row r="93" spans="1:29" ht="15.75" thickTop="1">
      <c r="A93" s="480"/>
      <c r="B93" s="613">
        <f>B29</f>
        <v>111</v>
      </c>
      <c r="C93" s="628"/>
      <c r="D93" s="628"/>
      <c r="E93" s="628"/>
      <c r="F93" s="628"/>
      <c r="G93" s="628"/>
      <c r="H93" s="628"/>
      <c r="I93" s="628"/>
      <c r="J93" s="628"/>
      <c r="K93" s="628"/>
      <c r="L93" s="812"/>
      <c r="M93" s="813"/>
      <c r="N93" s="1764"/>
      <c r="O93" s="1764"/>
      <c r="P93" s="1807"/>
      <c r="Q93" s="1760"/>
      <c r="R93" s="1739"/>
      <c r="S93" s="1739"/>
      <c r="T93" s="1739"/>
      <c r="U93" s="1739"/>
      <c r="V93" s="1739"/>
      <c r="W93" s="1739"/>
      <c r="X93" s="1739"/>
      <c r="Y93" s="1739"/>
      <c r="Z93" s="1739"/>
      <c r="AA93" s="1739"/>
      <c r="AB93" s="1739"/>
      <c r="AC93" s="1739"/>
    </row>
    <row r="94" spans="1:29" ht="15.75" thickBot="1">
      <c r="A94" s="480"/>
      <c r="B94" s="618"/>
      <c r="C94" s="632"/>
      <c r="D94" s="611"/>
      <c r="E94" s="611"/>
      <c r="F94" s="611"/>
      <c r="G94" s="611"/>
      <c r="H94" s="611"/>
      <c r="I94" s="611"/>
      <c r="J94" s="611"/>
      <c r="K94" s="611"/>
      <c r="L94" s="611"/>
      <c r="M94" s="612"/>
      <c r="N94" s="1765"/>
      <c r="O94" s="1765"/>
      <c r="P94" s="1807"/>
      <c r="Q94" s="1760"/>
      <c r="R94" s="1739"/>
      <c r="S94" s="1739"/>
      <c r="T94" s="1739"/>
      <c r="U94" s="1739"/>
      <c r="V94" s="1739"/>
      <c r="W94" s="1739"/>
      <c r="X94" s="1739"/>
      <c r="Y94" s="1739"/>
      <c r="Z94" s="1739"/>
      <c r="AA94" s="1739"/>
      <c r="AB94" s="1739"/>
      <c r="AC94" s="1739"/>
    </row>
    <row r="95" spans="1:29" ht="15.75" thickTop="1">
      <c r="A95" s="480"/>
      <c r="B95" s="613">
        <f>B30</f>
        <v>111</v>
      </c>
      <c r="C95" s="628"/>
      <c r="D95" s="628"/>
      <c r="E95" s="628"/>
      <c r="F95" s="628"/>
      <c r="G95" s="656"/>
      <c r="H95" s="656"/>
      <c r="I95" s="656"/>
      <c r="J95" s="656"/>
      <c r="K95" s="657"/>
      <c r="L95" s="658"/>
      <c r="M95" s="659"/>
      <c r="N95" s="1764"/>
      <c r="O95" s="1764"/>
      <c r="P95" s="1807"/>
      <c r="Q95" s="1760"/>
      <c r="R95" s="1739"/>
      <c r="S95" s="1739"/>
      <c r="T95" s="1739"/>
      <c r="U95" s="1739"/>
      <c r="V95" s="1739"/>
      <c r="W95" s="1739"/>
      <c r="X95" s="1739"/>
      <c r="Y95" s="1739"/>
      <c r="Z95" s="1739"/>
      <c r="AA95" s="1739"/>
      <c r="AB95" s="1739"/>
      <c r="AC95" s="1739"/>
    </row>
    <row r="96" spans="1:29" ht="15.75" thickBot="1">
      <c r="A96" s="480"/>
      <c r="B96" s="618"/>
      <c r="C96" s="632"/>
      <c r="D96" s="632"/>
      <c r="E96" s="632"/>
      <c r="F96" s="632"/>
      <c r="G96" s="611"/>
      <c r="H96" s="611"/>
      <c r="I96" s="611"/>
      <c r="J96" s="611"/>
      <c r="K96" s="611"/>
      <c r="L96" s="611"/>
      <c r="M96" s="612"/>
      <c r="N96" s="1765"/>
      <c r="O96" s="1765"/>
      <c r="P96" s="1807"/>
      <c r="Q96" s="1760"/>
      <c r="R96" s="1739"/>
      <c r="S96" s="1739"/>
      <c r="T96" s="1739"/>
      <c r="U96" s="1739"/>
      <c r="V96" s="1739"/>
      <c r="W96" s="1739"/>
      <c r="X96" s="1739"/>
      <c r="Y96" s="1739"/>
      <c r="Z96" s="1739"/>
      <c r="AA96" s="1739"/>
      <c r="AB96" s="1739"/>
      <c r="AC96" s="1739"/>
    </row>
    <row r="97" spans="1:29" ht="15.75" thickTop="1">
      <c r="A97" s="480"/>
      <c r="B97" s="613">
        <f>B31</f>
        <v>111</v>
      </c>
      <c r="C97" s="628"/>
      <c r="D97" s="628"/>
      <c r="E97" s="628"/>
      <c r="F97" s="628"/>
      <c r="G97" s="656"/>
      <c r="H97" s="656"/>
      <c r="I97" s="656"/>
      <c r="J97" s="656"/>
      <c r="K97" s="657"/>
      <c r="L97" s="658"/>
      <c r="M97" s="659"/>
      <c r="N97" s="1764"/>
      <c r="O97" s="1764"/>
      <c r="P97" s="1807"/>
      <c r="Q97" s="1760"/>
      <c r="R97" s="1739"/>
      <c r="S97" s="1739"/>
      <c r="T97" s="1739"/>
      <c r="U97" s="1739"/>
      <c r="V97" s="1739"/>
      <c r="W97" s="1739"/>
      <c r="X97" s="1739"/>
      <c r="Y97" s="1739"/>
      <c r="Z97" s="1739"/>
      <c r="AA97" s="1739"/>
      <c r="AB97" s="1739"/>
      <c r="AC97" s="1739"/>
    </row>
    <row r="98" spans="1:29" ht="15.75" thickBot="1">
      <c r="A98" s="480"/>
      <c r="B98" s="618"/>
      <c r="C98" s="632"/>
      <c r="D98" s="611"/>
      <c r="E98" s="611"/>
      <c r="F98" s="611"/>
      <c r="G98" s="611"/>
      <c r="H98" s="611"/>
      <c r="I98" s="611"/>
      <c r="J98" s="611"/>
      <c r="K98" s="611"/>
      <c r="L98" s="611"/>
      <c r="M98" s="612"/>
      <c r="N98" s="1765"/>
      <c r="O98" s="1765"/>
      <c r="P98" s="1807"/>
      <c r="Q98" s="1760"/>
      <c r="R98" s="1739"/>
      <c r="S98" s="1739"/>
      <c r="T98" s="1739"/>
      <c r="U98" s="1739"/>
      <c r="V98" s="1739"/>
      <c r="W98" s="1739"/>
      <c r="X98" s="1739"/>
      <c r="Y98" s="1739"/>
      <c r="Z98" s="1739"/>
      <c r="AA98" s="1739"/>
      <c r="AB98" s="1739"/>
      <c r="AC98" s="1739"/>
    </row>
    <row r="99" spans="1:29" ht="15.75" thickTop="1">
      <c r="A99" s="480"/>
      <c r="B99" s="621">
        <f>B32</f>
        <v>111</v>
      </c>
      <c r="C99" s="80"/>
      <c r="D99" s="80"/>
      <c r="E99" s="80"/>
      <c r="F99" s="80"/>
      <c r="G99" s="660"/>
      <c r="H99" s="660"/>
      <c r="I99" s="660"/>
      <c r="J99" s="660"/>
      <c r="K99" s="661"/>
      <c r="L99" s="662"/>
      <c r="M99" s="663"/>
      <c r="N99" s="1764"/>
      <c r="O99" s="1764"/>
      <c r="P99" s="1807"/>
      <c r="Q99" s="1760"/>
      <c r="R99" s="1739"/>
      <c r="S99" s="1739"/>
      <c r="T99" s="1739"/>
      <c r="U99" s="1739"/>
      <c r="V99" s="1739"/>
      <c r="W99" s="1739"/>
      <c r="X99" s="1739"/>
      <c r="Y99" s="1739"/>
      <c r="Z99" s="1739"/>
      <c r="AA99" s="1739"/>
      <c r="AB99" s="1739"/>
      <c r="AC99" s="1739"/>
    </row>
    <row r="100" spans="1:29" ht="15.75" thickBot="1">
      <c r="A100" s="491"/>
      <c r="B100" s="639"/>
      <c r="C100" s="640"/>
      <c r="D100" s="640"/>
      <c r="E100" s="640"/>
      <c r="F100" s="640"/>
      <c r="G100" s="664"/>
      <c r="H100" s="664"/>
      <c r="I100" s="664"/>
      <c r="J100" s="664"/>
      <c r="K100" s="664"/>
      <c r="L100" s="664"/>
      <c r="M100" s="665"/>
      <c r="N100" s="1765"/>
      <c r="O100" s="1765"/>
      <c r="P100" s="1807"/>
      <c r="Q100" s="1760"/>
      <c r="R100" s="1739"/>
      <c r="S100" s="1739"/>
      <c r="T100" s="1739"/>
      <c r="U100" s="1739"/>
      <c r="V100" s="1739"/>
      <c r="W100" s="1739"/>
      <c r="X100" s="1739"/>
      <c r="Y100" s="1739"/>
      <c r="Z100" s="1739"/>
      <c r="AA100" s="1739"/>
      <c r="AB100" s="1739"/>
      <c r="AC100" s="1739"/>
    </row>
    <row r="101" spans="1:29">
      <c r="A101" s="605" t="s">
        <v>500</v>
      </c>
      <c r="B101" s="606" t="s">
        <v>687</v>
      </c>
      <c r="C101" s="545"/>
      <c r="D101" s="545"/>
      <c r="E101" s="545"/>
      <c r="F101" s="545"/>
      <c r="G101" s="545"/>
      <c r="H101" s="545"/>
      <c r="I101" s="545"/>
      <c r="J101" s="545"/>
      <c r="K101" s="607"/>
      <c r="L101" s="608"/>
      <c r="M101" s="609"/>
      <c r="N101" s="1764"/>
      <c r="O101" s="1764"/>
      <c r="P101" s="1807"/>
      <c r="Q101" s="1760"/>
      <c r="R101" s="1739"/>
      <c r="S101" s="1739"/>
      <c r="T101" s="1739"/>
      <c r="U101" s="1739"/>
      <c r="V101" s="1739"/>
      <c r="W101" s="1739"/>
      <c r="X101" s="1739"/>
      <c r="Y101" s="1739"/>
      <c r="Z101" s="1739"/>
      <c r="AA101" s="1739"/>
      <c r="AB101" s="1739"/>
      <c r="AC101" s="1739"/>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5"/>
      <c r="O102" s="1765"/>
      <c r="P102" s="1807"/>
      <c r="Q102" s="1760"/>
      <c r="R102" s="1739"/>
      <c r="S102" s="1739"/>
      <c r="T102" s="1739"/>
      <c r="U102" s="1739"/>
      <c r="V102" s="1739"/>
      <c r="W102" s="1739"/>
      <c r="X102" s="1739"/>
      <c r="Y102" s="1739"/>
      <c r="Z102" s="1739"/>
      <c r="AA102" s="1739"/>
      <c r="AB102" s="1739"/>
      <c r="AC102" s="1739"/>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1" customFormat="1">
      <c r="A104" s="550"/>
      <c r="B104" s="666"/>
      <c r="C104" s="79"/>
      <c r="D104" s="79"/>
      <c r="E104" s="79"/>
      <c r="F104" s="79"/>
      <c r="G104" s="79"/>
      <c r="H104" s="79"/>
      <c r="I104" s="79"/>
      <c r="J104" s="667"/>
      <c r="K104" s="667"/>
      <c r="L104" s="668"/>
      <c r="M104" s="669"/>
      <c r="N104" s="1766"/>
      <c r="O104" s="1766"/>
      <c r="P104" s="1808"/>
      <c r="Q104" s="1767"/>
      <c r="R104" s="1768"/>
      <c r="S104" s="1768"/>
      <c r="T104" s="1768"/>
      <c r="U104" s="1768"/>
      <c r="V104" s="1768"/>
      <c r="W104" s="1768"/>
      <c r="X104" s="1768"/>
      <c r="Y104" s="1768"/>
      <c r="Z104" s="1768"/>
      <c r="AA104" s="1768"/>
      <c r="AB104" s="1768"/>
      <c r="AC104" s="1768"/>
    </row>
    <row r="105" spans="1:29" s="1131" customFormat="1" ht="15.75" thickBot="1">
      <c r="A105" s="627"/>
      <c r="B105" s="618"/>
      <c r="C105" s="632"/>
      <c r="D105" s="611"/>
      <c r="E105" s="611"/>
      <c r="F105" s="611"/>
      <c r="G105" s="611"/>
      <c r="H105" s="611"/>
      <c r="I105" s="611"/>
      <c r="J105" s="611"/>
      <c r="K105" s="611"/>
      <c r="L105" s="611"/>
      <c r="M105" s="612"/>
      <c r="N105" s="1765"/>
      <c r="O105" s="1765"/>
      <c r="P105" s="1808"/>
      <c r="Q105" s="1767"/>
      <c r="R105" s="1768"/>
      <c r="S105" s="1768"/>
      <c r="T105" s="1768"/>
      <c r="U105" s="1768"/>
      <c r="V105" s="1768"/>
      <c r="W105" s="1768"/>
      <c r="X105" s="1768"/>
      <c r="Y105" s="1768"/>
      <c r="Z105" s="1768"/>
      <c r="AA105" s="1768"/>
      <c r="AB105" s="1768"/>
      <c r="AC105" s="1768"/>
    </row>
    <row r="106" spans="1:29" ht="15" thickTop="1">
      <c r="A106" s="541"/>
      <c r="B106" s="613" t="s">
        <v>689</v>
      </c>
      <c r="C106" s="628"/>
      <c r="D106" s="628"/>
      <c r="E106" s="656"/>
      <c r="F106" s="656"/>
      <c r="G106" s="656"/>
      <c r="H106" s="656"/>
      <c r="I106" s="656"/>
      <c r="J106" s="656"/>
      <c r="K106" s="657"/>
      <c r="L106" s="658"/>
      <c r="M106" s="659"/>
      <c r="N106" s="1764"/>
      <c r="O106" s="1764"/>
      <c r="P106" s="1807"/>
      <c r="Q106" s="1760"/>
      <c r="R106" s="1739"/>
      <c r="S106" s="1739"/>
      <c r="T106" s="1739"/>
      <c r="U106" s="1739"/>
      <c r="V106" s="1739"/>
      <c r="W106" s="1739"/>
      <c r="X106" s="1739"/>
      <c r="Y106" s="1739"/>
      <c r="Z106" s="1739"/>
      <c r="AA106" s="1739"/>
      <c r="AB106" s="1739"/>
      <c r="AC106" s="1739"/>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1"/>
      <c r="B108" s="613" t="s">
        <v>691</v>
      </c>
      <c r="C108" s="628"/>
      <c r="D108" s="628"/>
      <c r="E108" s="628"/>
      <c r="F108" s="656"/>
      <c r="G108" s="656"/>
      <c r="H108" s="656"/>
      <c r="I108" s="656"/>
      <c r="J108" s="656"/>
      <c r="K108" s="657"/>
      <c r="L108" s="658"/>
      <c r="M108" s="659"/>
      <c r="N108" s="1764"/>
      <c r="O108" s="1764"/>
      <c r="P108" s="1807"/>
      <c r="Q108" s="1760"/>
      <c r="R108" s="1739"/>
      <c r="S108" s="1739"/>
      <c r="T108" s="1739"/>
      <c r="U108" s="1739"/>
      <c r="V108" s="1739"/>
      <c r="W108" s="1739"/>
      <c r="X108" s="1739"/>
      <c r="Y108" s="1739"/>
      <c r="Z108" s="1739"/>
      <c r="AA108" s="1739"/>
      <c r="AB108" s="1739"/>
      <c r="AC108" s="1739"/>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4"/>
      <c r="O110" s="1764"/>
      <c r="P110" s="1807"/>
      <c r="Q110" s="1760"/>
      <c r="R110" s="1739"/>
      <c r="S110" s="1739"/>
      <c r="T110" s="1739"/>
      <c r="U110" s="1739"/>
      <c r="V110" s="1739"/>
      <c r="W110" s="1739"/>
      <c r="X110" s="1739"/>
      <c r="Y110" s="1739"/>
      <c r="Z110" s="1739"/>
      <c r="AA110" s="1739"/>
      <c r="AB110" s="1739"/>
      <c r="AC110" s="1739"/>
    </row>
    <row r="111" spans="1:29">
      <c r="A111" s="541"/>
      <c r="B111" s="621"/>
      <c r="C111" s="815">
        <v>0.5</v>
      </c>
      <c r="D111" s="815">
        <v>0.6</v>
      </c>
      <c r="E111" s="815">
        <v>0.7</v>
      </c>
      <c r="F111" s="815">
        <v>0.8</v>
      </c>
      <c r="G111" s="815">
        <v>0.9</v>
      </c>
      <c r="H111" s="815">
        <v>1.0001</v>
      </c>
      <c r="I111" s="825"/>
      <c r="J111" s="825"/>
      <c r="K111" s="826"/>
      <c r="L111" s="827"/>
      <c r="M111" s="828"/>
      <c r="N111" s="1764"/>
      <c r="O111" s="1764"/>
      <c r="P111" s="1807"/>
      <c r="Q111" s="1760"/>
      <c r="R111" s="1739"/>
      <c r="S111" s="1739"/>
      <c r="T111" s="1739"/>
      <c r="U111" s="1739"/>
      <c r="V111" s="1739"/>
      <c r="W111" s="1739"/>
      <c r="X111" s="1739"/>
      <c r="Y111" s="1739"/>
      <c r="Z111" s="1739"/>
      <c r="AA111" s="1739"/>
      <c r="AB111" s="1739"/>
      <c r="AC111" s="1739"/>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5"/>
      <c r="O112" s="1765"/>
      <c r="P112" s="1807"/>
      <c r="Q112" s="1760"/>
      <c r="R112" s="1739"/>
      <c r="S112" s="1739"/>
      <c r="T112" s="1739"/>
      <c r="U112" s="1739"/>
      <c r="V112" s="1739"/>
      <c r="W112" s="1739"/>
      <c r="X112" s="1739"/>
      <c r="Y112" s="1739"/>
      <c r="Z112" s="1739"/>
      <c r="AA112" s="1739"/>
      <c r="AB112" s="1739"/>
      <c r="AC112" s="1739"/>
    </row>
    <row r="113" spans="1:29" s="1131" customFormat="1" ht="15" thickTop="1">
      <c r="A113" s="550"/>
      <c r="B113" s="613" t="s">
        <v>726</v>
      </c>
      <c r="C113" s="628"/>
      <c r="D113" s="628"/>
      <c r="E113" s="628"/>
      <c r="F113" s="628"/>
      <c r="G113" s="628"/>
      <c r="H113" s="656"/>
      <c r="I113" s="656"/>
      <c r="J113" s="656"/>
      <c r="K113" s="657"/>
      <c r="L113" s="658"/>
      <c r="M113" s="659"/>
      <c r="N113" s="1766"/>
      <c r="O113" s="1766"/>
      <c r="P113" s="1808"/>
      <c r="Q113" s="1767"/>
      <c r="R113" s="1768"/>
      <c r="S113" s="1768"/>
      <c r="T113" s="1768"/>
      <c r="U113" s="1768"/>
      <c r="V113" s="1768"/>
      <c r="W113" s="1768"/>
      <c r="X113" s="1768"/>
      <c r="Y113" s="1768"/>
      <c r="Z113" s="1768"/>
      <c r="AA113" s="1768"/>
      <c r="AB113" s="1768"/>
      <c r="AC113" s="1768"/>
    </row>
    <row r="114" spans="1:29" s="1131"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1"/>
      <c r="B115" s="613" t="s">
        <v>693</v>
      </c>
      <c r="C115" s="628"/>
      <c r="D115" s="628"/>
      <c r="E115" s="656"/>
      <c r="F115" s="656"/>
      <c r="G115" s="656"/>
      <c r="H115" s="656"/>
      <c r="I115" s="656"/>
      <c r="J115" s="656"/>
      <c r="K115" s="657"/>
      <c r="L115" s="658"/>
      <c r="M115" s="659"/>
      <c r="N115" s="1764"/>
      <c r="O115" s="1764"/>
      <c r="P115" s="1807"/>
      <c r="Q115" s="1760"/>
      <c r="R115" s="1739"/>
      <c r="S115" s="1739"/>
      <c r="T115" s="1739"/>
      <c r="U115" s="1739"/>
      <c r="V115" s="1739"/>
      <c r="W115" s="1739"/>
      <c r="X115" s="1739"/>
      <c r="Y115" s="1739"/>
      <c r="Z115" s="1739"/>
      <c r="AA115" s="1739"/>
      <c r="AB115" s="1739"/>
      <c r="AC115" s="1739"/>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1"/>
      <c r="B117" s="1552" t="s">
        <v>1837</v>
      </c>
      <c r="C117" s="628"/>
      <c r="D117" s="628"/>
      <c r="E117" s="628"/>
      <c r="F117" s="628"/>
      <c r="G117" s="628"/>
      <c r="H117" s="656"/>
      <c r="I117" s="656"/>
      <c r="J117" s="656"/>
      <c r="K117" s="657"/>
      <c r="L117" s="658"/>
      <c r="M117" s="659"/>
      <c r="N117" s="1764"/>
      <c r="O117" s="1764"/>
      <c r="P117" s="1807"/>
      <c r="Q117" s="1760"/>
      <c r="R117" s="1739"/>
      <c r="S117" s="1739"/>
      <c r="T117" s="1739"/>
      <c r="U117" s="1739"/>
      <c r="V117" s="1739"/>
      <c r="W117" s="1739"/>
      <c r="X117" s="1739"/>
      <c r="Y117" s="1739"/>
      <c r="Z117" s="1739"/>
      <c r="AA117" s="1739"/>
      <c r="AB117" s="1739"/>
      <c r="AC117" s="1739"/>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5"/>
      <c r="O118" s="1765"/>
      <c r="P118" s="1807"/>
      <c r="Q118" s="1760"/>
      <c r="R118" s="1739"/>
      <c r="S118" s="1739"/>
      <c r="T118" s="1739"/>
      <c r="U118" s="1739"/>
      <c r="V118" s="1739"/>
      <c r="W118" s="1739"/>
      <c r="X118" s="1739"/>
      <c r="Y118" s="1739"/>
      <c r="Z118" s="1739"/>
      <c r="AA118" s="1739"/>
      <c r="AB118" s="1739"/>
      <c r="AC118" s="1739"/>
    </row>
    <row r="119" spans="1:29" ht="15" thickTop="1">
      <c r="A119" s="541"/>
      <c r="B119" s="836" t="s">
        <v>727</v>
      </c>
      <c r="C119" s="656"/>
      <c r="D119" s="656"/>
      <c r="E119" s="656"/>
      <c r="F119" s="656"/>
      <c r="G119" s="656"/>
      <c r="H119" s="656"/>
      <c r="I119" s="656"/>
      <c r="J119" s="656"/>
      <c r="K119" s="656"/>
      <c r="L119" s="837"/>
      <c r="M119" s="838"/>
      <c r="N119" s="1765"/>
      <c r="O119" s="1765"/>
      <c r="P119" s="1812"/>
      <c r="Q119" s="1800"/>
      <c r="R119" s="1739"/>
      <c r="S119" s="1739"/>
      <c r="T119" s="1739"/>
      <c r="U119" s="1739"/>
      <c r="V119" s="1739"/>
      <c r="W119" s="1739"/>
      <c r="X119" s="1739"/>
      <c r="Y119" s="1739"/>
      <c r="Z119" s="1739"/>
      <c r="AA119" s="1739"/>
      <c r="AB119" s="1739"/>
      <c r="AC119" s="1739"/>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5"/>
      <c r="O120" s="1765"/>
      <c r="P120" s="1807"/>
      <c r="Q120" s="1760"/>
      <c r="R120" s="1739"/>
      <c r="S120" s="1739"/>
      <c r="T120" s="1739"/>
      <c r="U120" s="1739"/>
      <c r="V120" s="1739"/>
      <c r="W120" s="1739"/>
      <c r="X120" s="1739"/>
      <c r="Y120" s="1739"/>
      <c r="Z120" s="1739"/>
      <c r="AA120" s="1739"/>
      <c r="AB120" s="1739"/>
      <c r="AC120" s="1739"/>
    </row>
    <row r="121" spans="1:29" s="1131" customFormat="1" ht="15" thickTop="1">
      <c r="A121" s="550"/>
      <c r="B121" s="613" t="s">
        <v>715</v>
      </c>
      <c r="C121" s="628"/>
      <c r="D121" s="628"/>
      <c r="E121" s="628"/>
      <c r="F121" s="656"/>
      <c r="G121" s="629"/>
      <c r="H121" s="629"/>
      <c r="I121" s="629"/>
      <c r="J121" s="629"/>
      <c r="K121" s="629"/>
      <c r="L121" s="630"/>
      <c r="M121" s="631"/>
      <c r="N121" s="1766"/>
      <c r="O121" s="1766"/>
      <c r="P121" s="1808"/>
      <c r="Q121" s="1767"/>
      <c r="R121" s="1768"/>
      <c r="S121" s="1768"/>
      <c r="T121" s="1768"/>
      <c r="U121" s="1768"/>
      <c r="V121" s="1768"/>
      <c r="W121" s="1768"/>
      <c r="X121" s="1768"/>
      <c r="Y121" s="1768"/>
      <c r="Z121" s="1768"/>
      <c r="AA121" s="1768"/>
      <c r="AB121" s="1768"/>
      <c r="AC121" s="1768"/>
    </row>
    <row r="122" spans="1:29" s="1131" customFormat="1" ht="15.75" thickBot="1">
      <c r="A122" s="627"/>
      <c r="B122" s="610"/>
      <c r="C122" s="632"/>
      <c r="D122" s="632"/>
      <c r="E122" s="632"/>
      <c r="F122" s="632"/>
      <c r="G122" s="632"/>
      <c r="H122" s="632"/>
      <c r="I122" s="632"/>
      <c r="J122" s="632"/>
      <c r="K122" s="632"/>
      <c r="L122" s="632"/>
      <c r="M122" s="632"/>
      <c r="N122" s="1766"/>
      <c r="O122" s="1766"/>
      <c r="P122" s="1808"/>
      <c r="Q122" s="1767"/>
      <c r="R122" s="1768"/>
      <c r="S122" s="1768"/>
      <c r="T122" s="1768"/>
      <c r="U122" s="1768"/>
      <c r="V122" s="1768"/>
      <c r="W122" s="1768"/>
      <c r="X122" s="1768"/>
      <c r="Y122" s="1768"/>
      <c r="Z122" s="1768"/>
      <c r="AA122" s="1768"/>
      <c r="AB122" s="1768"/>
      <c r="AC122" s="1768"/>
    </row>
    <row r="123" spans="1:29" ht="15" thickTop="1">
      <c r="A123" s="541"/>
      <c r="B123" s="613" t="s">
        <v>695</v>
      </c>
      <c r="C123" s="628"/>
      <c r="D123" s="628"/>
      <c r="E123" s="628"/>
      <c r="F123" s="656"/>
      <c r="G123" s="656"/>
      <c r="H123" s="656"/>
      <c r="I123" s="656"/>
      <c r="J123" s="656"/>
      <c r="K123" s="657"/>
      <c r="L123" s="658"/>
      <c r="M123" s="659"/>
      <c r="N123" s="1764"/>
      <c r="O123" s="1764"/>
      <c r="P123" s="1807"/>
      <c r="Q123" s="1760"/>
      <c r="R123" s="1739"/>
      <c r="S123" s="1739"/>
      <c r="T123" s="1739"/>
      <c r="U123" s="1739"/>
      <c r="V123" s="1739"/>
      <c r="W123" s="1739"/>
      <c r="X123" s="1739"/>
      <c r="Y123" s="1739"/>
      <c r="Z123" s="1739"/>
      <c r="AA123" s="1739"/>
      <c r="AB123" s="1739"/>
      <c r="AC123" s="1739"/>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5"/>
      <c r="O124" s="1765"/>
      <c r="P124" s="1807"/>
      <c r="Q124" s="1760"/>
      <c r="R124" s="1739"/>
      <c r="S124" s="1739"/>
      <c r="T124" s="1739"/>
      <c r="U124" s="1739"/>
      <c r="V124" s="1739"/>
      <c r="W124" s="1739"/>
      <c r="X124" s="1739"/>
      <c r="Y124" s="1739"/>
      <c r="Z124" s="1739"/>
      <c r="AA124" s="1739"/>
      <c r="AB124" s="1739"/>
      <c r="AC124" s="1739"/>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4"/>
      <c r="O125" s="1764"/>
      <c r="P125" s="1808"/>
      <c r="Q125" s="1760"/>
      <c r="R125" s="1739"/>
      <c r="S125" s="1739"/>
      <c r="T125" s="1739"/>
      <c r="U125" s="1739"/>
      <c r="V125" s="1739"/>
      <c r="W125" s="1739"/>
      <c r="X125" s="1739"/>
      <c r="Y125" s="1739"/>
      <c r="Z125" s="1739"/>
      <c r="AA125" s="1739"/>
      <c r="AB125" s="1739"/>
      <c r="AC125" s="1739"/>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5"/>
      <c r="O126" s="1765"/>
      <c r="P126" s="1807"/>
      <c r="Q126" s="1760"/>
      <c r="R126" s="1739"/>
      <c r="S126" s="1739"/>
      <c r="T126" s="1739"/>
      <c r="U126" s="1739"/>
      <c r="V126" s="1739"/>
      <c r="W126" s="1739"/>
      <c r="X126" s="1739"/>
      <c r="Y126" s="1739"/>
      <c r="Z126" s="1739"/>
      <c r="AA126" s="1739"/>
      <c r="AB126" s="1739"/>
      <c r="AC126" s="1739"/>
    </row>
    <row r="127" spans="1:29" s="1131" customFormat="1" ht="15" thickTop="1">
      <c r="A127" s="550"/>
      <c r="B127" s="613">
        <f>B45</f>
        <v>111</v>
      </c>
      <c r="C127" s="628"/>
      <c r="D127" s="628"/>
      <c r="E127" s="628"/>
      <c r="F127" s="628"/>
      <c r="G127" s="628"/>
      <c r="H127" s="629"/>
      <c r="I127" s="629"/>
      <c r="J127" s="629"/>
      <c r="K127" s="629"/>
      <c r="L127" s="630"/>
      <c r="M127" s="631"/>
      <c r="N127" s="1766"/>
      <c r="O127" s="1766"/>
      <c r="P127" s="1808"/>
      <c r="Q127" s="1767"/>
      <c r="R127" s="1768"/>
      <c r="S127" s="1768"/>
      <c r="T127" s="1768"/>
      <c r="U127" s="1768"/>
      <c r="V127" s="1768"/>
      <c r="W127" s="1768"/>
      <c r="X127" s="1768"/>
      <c r="Y127" s="1768"/>
      <c r="Z127" s="1768"/>
      <c r="AA127" s="1768"/>
      <c r="AB127" s="1768"/>
      <c r="AC127" s="1768"/>
    </row>
    <row r="128" spans="1:29" s="1131" customFormat="1" ht="15.75" thickBot="1">
      <c r="A128" s="627"/>
      <c r="B128" s="618"/>
      <c r="C128" s="632"/>
      <c r="D128" s="611"/>
      <c r="E128" s="611"/>
      <c r="F128" s="611"/>
      <c r="G128" s="632"/>
      <c r="H128" s="633"/>
      <c r="I128" s="633"/>
      <c r="J128" s="633"/>
      <c r="K128" s="633"/>
      <c r="L128" s="633"/>
      <c r="M128" s="634"/>
      <c r="N128" s="1766"/>
      <c r="O128" s="1766"/>
      <c r="P128" s="1808"/>
      <c r="Q128" s="1767"/>
      <c r="R128" s="1768"/>
      <c r="S128" s="1768"/>
      <c r="T128" s="1768"/>
      <c r="U128" s="1768"/>
      <c r="V128" s="1768"/>
      <c r="W128" s="1768"/>
      <c r="X128" s="1768"/>
      <c r="Y128" s="1768"/>
      <c r="Z128" s="1768"/>
      <c r="AA128" s="1768"/>
      <c r="AB128" s="1768"/>
      <c r="AC128" s="1768"/>
    </row>
    <row r="129" spans="1:29" ht="15" thickTop="1">
      <c r="A129" s="541"/>
      <c r="B129" s="613">
        <f>B46</f>
        <v>111</v>
      </c>
      <c r="C129" s="628"/>
      <c r="D129" s="628"/>
      <c r="E129" s="628"/>
      <c r="F129" s="628"/>
      <c r="G129" s="656"/>
      <c r="H129" s="656"/>
      <c r="I129" s="656"/>
      <c r="J129" s="656"/>
      <c r="K129" s="657"/>
      <c r="L129" s="658"/>
      <c r="M129" s="659"/>
      <c r="N129" s="1764"/>
      <c r="O129" s="1764"/>
      <c r="P129" s="1807"/>
      <c r="Q129" s="1760"/>
      <c r="R129" s="1739"/>
      <c r="S129" s="1739"/>
      <c r="T129" s="1739"/>
      <c r="U129" s="1739"/>
      <c r="V129" s="1739"/>
      <c r="W129" s="1739"/>
      <c r="X129" s="1739"/>
      <c r="Y129" s="1739"/>
      <c r="Z129" s="1739"/>
      <c r="AA129" s="1739"/>
      <c r="AB129" s="1739"/>
      <c r="AC129" s="1739"/>
    </row>
    <row r="130" spans="1:29" ht="15.75" thickBot="1">
      <c r="A130" s="480"/>
      <c r="B130" s="618"/>
      <c r="C130" s="632"/>
      <c r="D130" s="632"/>
      <c r="E130" s="632"/>
      <c r="F130" s="632"/>
      <c r="G130" s="611"/>
      <c r="H130" s="611"/>
      <c r="I130" s="611"/>
      <c r="J130" s="611"/>
      <c r="K130" s="611"/>
      <c r="L130" s="611"/>
      <c r="M130" s="612"/>
      <c r="N130" s="1765"/>
      <c r="O130" s="1765"/>
      <c r="P130" s="1807"/>
      <c r="Q130" s="1760"/>
      <c r="R130" s="1739"/>
      <c r="S130" s="1739"/>
      <c r="T130" s="1739"/>
      <c r="U130" s="1739"/>
      <c r="V130" s="1739"/>
      <c r="W130" s="1739"/>
      <c r="X130" s="1739"/>
      <c r="Y130" s="1739"/>
      <c r="Z130" s="1739"/>
      <c r="AA130" s="1739"/>
      <c r="AB130" s="1739"/>
      <c r="AC130" s="1739"/>
    </row>
    <row r="131" spans="1:29" ht="15" thickTop="1">
      <c r="A131" s="541"/>
      <c r="B131" s="621">
        <f>B47</f>
        <v>111</v>
      </c>
      <c r="C131" s="80"/>
      <c r="D131" s="80"/>
      <c r="E131" s="80"/>
      <c r="F131" s="80"/>
      <c r="G131" s="660"/>
      <c r="H131" s="660"/>
      <c r="I131" s="660"/>
      <c r="J131" s="660"/>
      <c r="K131" s="80"/>
      <c r="L131" s="603"/>
      <c r="M131" s="663"/>
      <c r="N131" s="1764"/>
      <c r="O131" s="1764"/>
      <c r="P131" s="1807"/>
      <c r="Q131" s="1760"/>
      <c r="R131" s="1739"/>
      <c r="S131" s="1739"/>
      <c r="T131" s="1739"/>
      <c r="U131" s="1739"/>
      <c r="V131" s="1739"/>
      <c r="W131" s="1739"/>
      <c r="X131" s="1739"/>
      <c r="Y131" s="1739"/>
      <c r="Z131" s="1739"/>
      <c r="AA131" s="1739"/>
      <c r="AB131" s="1739"/>
      <c r="AC131" s="1739"/>
    </row>
    <row r="132" spans="1:29" ht="15.75" thickBot="1">
      <c r="A132" s="491"/>
      <c r="B132" s="639"/>
      <c r="C132" s="640"/>
      <c r="D132" s="640"/>
      <c r="E132" s="640"/>
      <c r="F132" s="640"/>
      <c r="G132" s="664"/>
      <c r="H132" s="664"/>
      <c r="I132" s="664"/>
      <c r="J132" s="664"/>
      <c r="K132" s="664"/>
      <c r="L132" s="664"/>
      <c r="M132" s="665"/>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6" t="s">
        <v>1554</v>
      </c>
      <c r="B1" s="3476"/>
      <c r="C1" s="3476"/>
      <c r="D1" s="3476"/>
      <c r="E1" s="3476"/>
      <c r="F1" s="3476"/>
      <c r="G1" s="3476"/>
      <c r="H1" s="3476"/>
      <c r="I1" s="3476"/>
      <c r="J1" s="3476"/>
      <c r="K1" s="3476"/>
      <c r="L1" s="3476"/>
      <c r="M1" s="3476"/>
      <c r="N1" s="3476"/>
      <c r="O1" s="3476"/>
      <c r="P1" s="3476"/>
      <c r="Q1" s="3476"/>
      <c r="R1" s="3476"/>
    </row>
    <row r="2" spans="1:18">
      <c r="A2" s="1499" t="s">
        <v>1556</v>
      </c>
      <c r="B2" s="1499"/>
      <c r="C2" s="1499"/>
      <c r="D2" s="1499"/>
      <c r="E2" s="1499"/>
      <c r="F2" s="1499"/>
      <c r="G2" s="1499"/>
      <c r="H2" s="1499"/>
      <c r="I2" s="1500"/>
      <c r="J2" s="1500"/>
      <c r="K2" s="1501" t="str">
        <f>"估价期日："&amp;TEXT(项目基本情况!D3,"yyyy年m月d日;;")</f>
        <v>估价期日：2024年11月21日</v>
      </c>
      <c r="L2" s="1499"/>
      <c r="M2" s="1499"/>
      <c r="N2" s="1499"/>
      <c r="O2" s="1499"/>
      <c r="P2" s="1499"/>
      <c r="Q2" s="1499"/>
      <c r="R2" s="1501" t="str">
        <f>"估价期日的国有建设用地使用权性质："&amp;项目基本情况!A17</f>
        <v>估价期日的国有建设用地使用权性质：出让</v>
      </c>
    </row>
    <row r="3" spans="1:18" ht="23.25" customHeight="1">
      <c r="A3" s="3477" t="s">
        <v>1545</v>
      </c>
      <c r="B3" s="3477" t="s">
        <v>2011</v>
      </c>
      <c r="C3" s="3478" t="s">
        <v>1546</v>
      </c>
      <c r="D3" s="3477" t="s">
        <v>2015</v>
      </c>
      <c r="E3" s="3479" t="s">
        <v>1547</v>
      </c>
      <c r="F3" s="3479"/>
      <c r="G3" s="3479"/>
      <c r="H3" s="3479" t="s">
        <v>1548</v>
      </c>
      <c r="I3" s="3479"/>
      <c r="J3" s="3479"/>
      <c r="K3" s="3478" t="s">
        <v>1549</v>
      </c>
      <c r="L3" s="3478" t="s">
        <v>1550</v>
      </c>
      <c r="M3" s="3477" t="s">
        <v>2012</v>
      </c>
      <c r="N3" s="3477" t="str">
        <f>"（分摊）"&amp;项目基本情况!A17&amp;"国有建设用地使用权面积/㎡"</f>
        <v>（分摊）出让国有建设用地使用权面积/㎡</v>
      </c>
      <c r="O3" s="3477" t="s">
        <v>1579</v>
      </c>
      <c r="P3" s="3478" t="s">
        <v>1559</v>
      </c>
      <c r="Q3" s="3478" t="s">
        <v>1580</v>
      </c>
      <c r="R3" s="3478" t="s">
        <v>1551</v>
      </c>
    </row>
    <row r="4" spans="1:18" ht="36.75" customHeight="1">
      <c r="A4" s="3477"/>
      <c r="B4" s="3477"/>
      <c r="C4" s="3478"/>
      <c r="D4" s="3477"/>
      <c r="E4" s="1502" t="s">
        <v>1558</v>
      </c>
      <c r="F4" s="1502" t="s">
        <v>2024</v>
      </c>
      <c r="G4" s="1502" t="s">
        <v>1552</v>
      </c>
      <c r="H4" s="1502" t="s">
        <v>1553</v>
      </c>
      <c r="I4" s="1502" t="s">
        <v>2025</v>
      </c>
      <c r="J4" s="1502" t="s">
        <v>1552</v>
      </c>
      <c r="K4" s="3478"/>
      <c r="L4" s="3478"/>
      <c r="M4" s="3477"/>
      <c r="N4" s="3477"/>
      <c r="O4" s="3477"/>
      <c r="P4" s="3478"/>
      <c r="Q4" s="3478"/>
      <c r="R4" s="3478"/>
    </row>
    <row r="5" spans="1:18" ht="135" customHeight="1">
      <c r="A5" s="1599" t="s">
        <v>1935</v>
      </c>
      <c r="B5" s="2169" t="s">
        <v>1933</v>
      </c>
      <c r="C5" s="2086">
        <v>22</v>
      </c>
      <c r="D5" s="2085" t="s">
        <v>1934</v>
      </c>
      <c r="E5" s="1502" t="str">
        <f>项目基本情况!B12</f>
        <v>F1</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19518.45</v>
      </c>
      <c r="O5" s="1502">
        <f>项目基本情况!C21</f>
        <v>57989.509999999995</v>
      </c>
      <c r="P5" s="1502">
        <f ca="1">结果表!E42</f>
        <v>26736</v>
      </c>
      <c r="Q5" s="1502">
        <f ca="1">结果表!D42</f>
        <v>8999</v>
      </c>
      <c r="R5" s="1503">
        <f ca="1">结果表!C42</f>
        <v>52185</v>
      </c>
    </row>
    <row r="6" spans="1:18">
      <c r="A6" s="3473" t="str">
        <f>IF(项目基本情况!B9="市场价格","——","抵押价格")</f>
        <v>抵押价格</v>
      </c>
      <c r="B6" s="3474"/>
      <c r="C6" s="3474"/>
      <c r="D6" s="3474"/>
      <c r="E6" s="3474"/>
      <c r="F6" s="3474"/>
      <c r="G6" s="3474"/>
      <c r="H6" s="3474"/>
      <c r="I6" s="3474"/>
      <c r="J6" s="3474"/>
      <c r="K6" s="3474"/>
      <c r="L6" s="3474"/>
      <c r="M6" s="3474"/>
      <c r="N6" s="3474"/>
      <c r="O6" s="3474"/>
      <c r="P6" s="3474"/>
      <c r="Q6" s="3475"/>
      <c r="R6" s="1504">
        <f ca="1">结果表!O39</f>
        <v>51845</v>
      </c>
    </row>
    <row r="7" spans="1:18">
      <c r="A7" s="3473" t="str">
        <f>IF(项目基本情况!B9="市场价格","——",IF(项目基本情况!E8="已注销及未注销","抵押担保权已注销时的抵押价格","——"))</f>
        <v>——</v>
      </c>
      <c r="B7" s="3474"/>
      <c r="C7" s="3474"/>
      <c r="D7" s="3474"/>
      <c r="E7" s="3474"/>
      <c r="F7" s="3474"/>
      <c r="G7" s="3474"/>
      <c r="H7" s="3474"/>
      <c r="I7" s="3474"/>
      <c r="J7" s="3474"/>
      <c r="K7" s="3474"/>
      <c r="L7" s="3474"/>
      <c r="M7" s="3474"/>
      <c r="N7" s="3474"/>
      <c r="O7" s="3474"/>
      <c r="P7" s="3474"/>
      <c r="Q7" s="3475"/>
      <c r="R7" s="1504" t="str">
        <f>结果表!O40</f>
        <v>——</v>
      </c>
    </row>
    <row r="8" spans="1:18">
      <c r="A8" s="3473" t="str">
        <f>IF(项目基本情况!B9="市场价格","——",项目基本情况!E9)</f>
        <v>抵押净值</v>
      </c>
      <c r="B8" s="3474"/>
      <c r="C8" s="3474"/>
      <c r="D8" s="3474"/>
      <c r="E8" s="3474"/>
      <c r="F8" s="3474"/>
      <c r="G8" s="3474"/>
      <c r="H8" s="3474"/>
      <c r="I8" s="3474"/>
      <c r="J8" s="3474"/>
      <c r="K8" s="3474"/>
      <c r="L8" s="3474"/>
      <c r="M8" s="3474"/>
      <c r="N8" s="3474"/>
      <c r="O8" s="3474"/>
      <c r="P8" s="3474"/>
      <c r="Q8" s="3475"/>
      <c r="R8" s="1504">
        <f ca="1">结果表!O41</f>
        <v>49085</v>
      </c>
    </row>
    <row r="9" spans="1:18">
      <c r="A9" s="1505" t="s">
        <v>1557</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1544</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452" t="s">
        <v>728</v>
      </c>
      <c r="C1" s="453" t="s">
        <v>667</v>
      </c>
      <c r="D1" s="781"/>
      <c r="E1" s="455"/>
      <c r="F1" s="2115"/>
      <c r="G1" s="1325" t="s">
        <v>668</v>
      </c>
      <c r="H1" s="455"/>
      <c r="I1" s="455"/>
      <c r="J1" s="455"/>
      <c r="K1" s="456"/>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468</v>
      </c>
      <c r="B3" s="459" t="e">
        <f>C43</f>
        <v>#DIV/0!</v>
      </c>
      <c r="C3" s="784" t="s">
        <v>669</v>
      </c>
      <c r="D3" s="783">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4"/>
      <c r="AC3" s="1671"/>
    </row>
    <row r="4" spans="1:29" ht="15">
      <c r="A4" s="461" t="s">
        <v>470</v>
      </c>
      <c r="B4" s="462"/>
      <c r="C4" s="3648" t="s">
        <v>471</v>
      </c>
      <c r="D4" s="3649"/>
      <c r="E4" s="3688" t="s">
        <v>472</v>
      </c>
      <c r="F4" s="3689"/>
      <c r="G4" s="3648" t="s">
        <v>473</v>
      </c>
      <c r="H4" s="3649"/>
      <c r="I4" s="3648" t="s">
        <v>474</v>
      </c>
      <c r="J4" s="3649"/>
      <c r="K4" s="463" t="s">
        <v>475</v>
      </c>
      <c r="L4" s="1738"/>
      <c r="M4" s="1739"/>
      <c r="N4" s="1739"/>
      <c r="O4" s="1739"/>
      <c r="P4" s="3650" t="s">
        <v>476</v>
      </c>
      <c r="Q4" s="3651"/>
      <c r="R4" s="3656" t="s">
        <v>472</v>
      </c>
      <c r="S4" s="3657"/>
      <c r="T4" s="3656" t="s">
        <v>473</v>
      </c>
      <c r="U4" s="3657"/>
      <c r="V4" s="3643" t="s">
        <v>474</v>
      </c>
      <c r="W4" s="3643"/>
      <c r="X4" s="1299"/>
      <c r="Y4" s="3656" t="s">
        <v>476</v>
      </c>
      <c r="Z4" s="3657"/>
      <c r="AA4" s="3645" t="s">
        <v>472</v>
      </c>
      <c r="AB4" s="3646" t="s">
        <v>473</v>
      </c>
      <c r="AC4" s="3645" t="s">
        <v>474</v>
      </c>
    </row>
    <row r="5" spans="1:29" ht="15">
      <c r="A5" s="464"/>
      <c r="B5" s="465"/>
      <c r="C5" s="3664" t="s">
        <v>2185</v>
      </c>
      <c r="D5" s="3665"/>
      <c r="E5" s="3690" t="s">
        <v>2186</v>
      </c>
      <c r="F5" s="3691"/>
      <c r="G5" s="3664" t="s">
        <v>2187</v>
      </c>
      <c r="H5" s="3665"/>
      <c r="I5" s="3664" t="s">
        <v>2188</v>
      </c>
      <c r="J5" s="3665"/>
      <c r="K5" s="463"/>
      <c r="L5" s="1738"/>
      <c r="M5" s="1739"/>
      <c r="N5" s="1739"/>
      <c r="O5" s="1739"/>
      <c r="P5" s="3652"/>
      <c r="Q5" s="3653"/>
      <c r="R5" s="3658"/>
      <c r="S5" s="3659"/>
      <c r="T5" s="3658"/>
      <c r="U5" s="3659"/>
      <c r="V5" s="3643"/>
      <c r="W5" s="3643"/>
      <c r="X5" s="1299"/>
      <c r="Y5" s="3658"/>
      <c r="Z5" s="3659"/>
      <c r="AA5" s="3646"/>
      <c r="AB5" s="3646"/>
      <c r="AC5" s="3646"/>
    </row>
    <row r="6" spans="1:29" ht="15.75" thickBot="1">
      <c r="A6" s="466"/>
      <c r="B6" s="467"/>
      <c r="C6" s="3662" t="s">
        <v>2189</v>
      </c>
      <c r="D6" s="3663"/>
      <c r="E6" s="3686" t="s">
        <v>2189</v>
      </c>
      <c r="F6" s="3687"/>
      <c r="G6" s="3662" t="s">
        <v>2189</v>
      </c>
      <c r="H6" s="3663"/>
      <c r="I6" s="3662" t="s">
        <v>2189</v>
      </c>
      <c r="J6" s="3663"/>
      <c r="K6" s="463" t="s">
        <v>477</v>
      </c>
      <c r="L6" s="1738"/>
      <c r="M6" s="1739"/>
      <c r="N6" s="1739"/>
      <c r="O6" s="1739"/>
      <c r="P6" s="3654"/>
      <c r="Q6" s="3655"/>
      <c r="R6" s="3658"/>
      <c r="S6" s="3659"/>
      <c r="T6" s="3660"/>
      <c r="U6" s="3661"/>
      <c r="V6" s="3643"/>
      <c r="W6" s="3643"/>
      <c r="X6" s="1299"/>
      <c r="Y6" s="3660"/>
      <c r="Z6" s="3661"/>
      <c r="AA6" s="3647"/>
      <c r="AB6" s="3647"/>
      <c r="AC6" s="3647"/>
    </row>
    <row r="7" spans="1:29" s="1057" customFormat="1" ht="15.75" thickBot="1">
      <c r="A7" s="2205"/>
      <c r="B7" s="2212" t="s">
        <v>478</v>
      </c>
      <c r="C7" s="468">
        <f>'数据-取费表'!B2</f>
        <v>45617</v>
      </c>
      <c r="D7" s="469">
        <v>100</v>
      </c>
      <c r="E7" s="470"/>
      <c r="F7" s="471">
        <f>SUMIF(52:52,YEAR(E7)&amp;"-"&amp;MONTH(E7),53:53)</f>
        <v>0</v>
      </c>
      <c r="G7" s="470"/>
      <c r="H7" s="469">
        <f>SUMIF(52:52,YEAR(G7)&amp;"-"&amp;MONTH(G7),53:53)</f>
        <v>0</v>
      </c>
      <c r="I7" s="470"/>
      <c r="J7" s="469">
        <f>SUMIF(52:52,YEAR(I7)&amp;"-"&amp;MONTH(I7),53:53)</f>
        <v>0</v>
      </c>
      <c r="K7" s="88"/>
      <c r="L7" s="1740"/>
      <c r="M7" s="1637"/>
      <c r="N7" s="1637"/>
      <c r="O7" s="1637"/>
      <c r="P7" s="3673" t="s">
        <v>479</v>
      </c>
      <c r="Q7" s="3675"/>
      <c r="R7" s="1300" t="s">
        <v>5</v>
      </c>
      <c r="S7" s="1301">
        <f t="shared" ref="S7:S15" si="0">F7</f>
        <v>0</v>
      </c>
      <c r="T7" s="1300" t="s">
        <v>5</v>
      </c>
      <c r="U7" s="1301">
        <f t="shared" ref="U7:U15" si="1">H7</f>
        <v>0</v>
      </c>
      <c r="V7" s="1300" t="s">
        <v>5</v>
      </c>
      <c r="W7" s="1301">
        <f t="shared" ref="W7:W15" si="2">J7</f>
        <v>0</v>
      </c>
      <c r="X7" s="1302"/>
      <c r="Y7" s="3673" t="s">
        <v>479</v>
      </c>
      <c r="Z7" s="3674"/>
      <c r="AA7" s="994" t="e">
        <f>D7/F7</f>
        <v>#DIV/0!</v>
      </c>
      <c r="AB7" s="994" t="e">
        <f>D7/H7</f>
        <v>#DIV/0!</v>
      </c>
      <c r="AC7" s="994" t="e">
        <f>D7/J7</f>
        <v>#DIV/0!</v>
      </c>
    </row>
    <row r="8" spans="1:29" s="1057" customFormat="1" ht="15.75" thickBot="1">
      <c r="A8" s="2206"/>
      <c r="B8" s="2213" t="s">
        <v>480</v>
      </c>
      <c r="C8" s="473" t="s">
        <v>524</v>
      </c>
      <c r="D8" s="469">
        <v>100</v>
      </c>
      <c r="E8" s="473"/>
      <c r="F8" s="471">
        <f>SUMIF(55:55,E8,56:56)-SUMIF(55:55,C8,56:56)+100</f>
        <v>0</v>
      </c>
      <c r="G8" s="473"/>
      <c r="H8" s="469">
        <f>SUMIF(55:55,G8,56:56)-SUMIF(55:55,C8,56:56)+100</f>
        <v>0</v>
      </c>
      <c r="I8" s="473"/>
      <c r="J8" s="469">
        <f>SUMIF(55:55,I8,56:56)-SUMIF(55:55,C8,56:56)+100</f>
        <v>0</v>
      </c>
      <c r="K8" s="88"/>
      <c r="L8" s="1740"/>
      <c r="M8" s="1637"/>
      <c r="N8" s="1637"/>
      <c r="O8" s="1637"/>
      <c r="P8" s="3673" t="s">
        <v>482</v>
      </c>
      <c r="Q8" s="3674"/>
      <c r="R8" s="1300" t="s">
        <v>5</v>
      </c>
      <c r="S8" s="1301">
        <f t="shared" si="0"/>
        <v>0</v>
      </c>
      <c r="T8" s="1300" t="s">
        <v>5</v>
      </c>
      <c r="U8" s="1301">
        <f t="shared" si="1"/>
        <v>0</v>
      </c>
      <c r="V8" s="1300" t="s">
        <v>5</v>
      </c>
      <c r="W8" s="1301">
        <f t="shared" si="2"/>
        <v>0</v>
      </c>
      <c r="X8" s="1302"/>
      <c r="Y8" s="3673" t="s">
        <v>482</v>
      </c>
      <c r="Z8" s="3674"/>
      <c r="AA8" s="994" t="e">
        <f t="shared" ref="AA8:AA40" si="3">D8/F8</f>
        <v>#DIV/0!</v>
      </c>
      <c r="AB8" s="994" t="e">
        <f t="shared" ref="AB8:AB40" si="4">D8/H8</f>
        <v>#DIV/0!</v>
      </c>
      <c r="AC8" s="994" t="e">
        <f t="shared" ref="AC8:AC40" si="5">D8/J8</f>
        <v>#DIV/0!</v>
      </c>
    </row>
    <row r="9" spans="1:29" s="1057" customFormat="1" ht="15">
      <c r="A9" s="2207"/>
      <c r="B9" s="2214" t="s">
        <v>2036</v>
      </c>
      <c r="C9" s="789"/>
      <c r="D9" s="154">
        <v>100</v>
      </c>
      <c r="E9" s="791"/>
      <c r="F9" s="154">
        <f>SUMIF(57:57,E9,58:58)-SUMIF(57:57,C9,58:58)+100</f>
        <v>100</v>
      </c>
      <c r="G9" s="790"/>
      <c r="H9" s="154">
        <f>SUMIF(57:57,G9,58:58)-SUMIF(57:57,C9,58:58)+100</f>
        <v>100</v>
      </c>
      <c r="I9" s="790"/>
      <c r="J9" s="154">
        <f>SUMIF(57:57,I9,58:58)-SUMIF(57:57,C9,58:58)+100</f>
        <v>100</v>
      </c>
      <c r="K9" s="88"/>
      <c r="L9" s="1740"/>
      <c r="M9" s="1637"/>
      <c r="N9" s="1637"/>
      <c r="O9" s="1741"/>
      <c r="P9" s="3642" t="s">
        <v>484</v>
      </c>
      <c r="Q9" s="815" t="str">
        <f t="shared" ref="Q9:Q15" si="6">B9</f>
        <v>用途</v>
      </c>
      <c r="R9" s="1300" t="s">
        <v>5</v>
      </c>
      <c r="S9" s="1301">
        <f t="shared" si="0"/>
        <v>100</v>
      </c>
      <c r="T9" s="1300" t="s">
        <v>5</v>
      </c>
      <c r="U9" s="1301">
        <f t="shared" si="1"/>
        <v>100</v>
      </c>
      <c r="V9" s="1300" t="s">
        <v>5</v>
      </c>
      <c r="W9" s="1301">
        <f t="shared" si="2"/>
        <v>100</v>
      </c>
      <c r="X9" s="1302"/>
      <c r="Y9" s="3590" t="s">
        <v>485</v>
      </c>
      <c r="Z9" s="994" t="str">
        <f t="shared" ref="Z9:Z15" si="7">Q9</f>
        <v>用途</v>
      </c>
      <c r="AA9" s="994">
        <f t="shared" si="3"/>
        <v>1</v>
      </c>
      <c r="AB9" s="994">
        <f t="shared" si="4"/>
        <v>1</v>
      </c>
      <c r="AC9" s="994">
        <f t="shared" si="5"/>
        <v>1</v>
      </c>
    </row>
    <row r="10" spans="1:29" s="1130" customFormat="1" ht="27">
      <c r="A10" s="2208"/>
      <c r="B10" s="2213" t="s">
        <v>2037</v>
      </c>
      <c r="C10" s="3380"/>
      <c r="D10" s="233">
        <v>100</v>
      </c>
      <c r="E10" s="3380"/>
      <c r="F10" s="233">
        <f>SUMIF(59:59,E10,60:60)-SUMIF(59:59,C10,60:60)+100</f>
        <v>100</v>
      </c>
      <c r="G10" s="3381"/>
      <c r="H10" s="233">
        <f>SUMIF(59:59,G10,60:60)-SUMIF(59:59,C10,60:60)+100</f>
        <v>100</v>
      </c>
      <c r="I10" s="3380"/>
      <c r="J10" s="233">
        <f>SUMIF(59:59,I10,60:60)-SUMIF(59:59,C10,60:60)+100</f>
        <v>100</v>
      </c>
      <c r="K10" s="88"/>
      <c r="L10" s="1742"/>
      <c r="M10" s="1775"/>
      <c r="N10" s="1775"/>
      <c r="O10" s="1743"/>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
      <c r="A11" s="2209"/>
      <c r="B11" s="2213" t="s">
        <v>2038</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4"/>
      <c r="M11" s="1739"/>
      <c r="N11" s="1739"/>
      <c r="O11" s="1745"/>
      <c r="P11" s="3642"/>
      <c r="Q11" s="815" t="str">
        <f t="shared" si="6"/>
        <v>容积率</v>
      </c>
      <c r="R11" s="1300" t="s">
        <v>5</v>
      </c>
      <c r="S11" s="1301" t="e">
        <f t="shared" si="0"/>
        <v>#N/A</v>
      </c>
      <c r="T11" s="1300" t="s">
        <v>5</v>
      </c>
      <c r="U11" s="1301" t="e">
        <f t="shared" si="1"/>
        <v>#N/A</v>
      </c>
      <c r="V11" s="1300" t="s">
        <v>5</v>
      </c>
      <c r="W11" s="1301" t="e">
        <f t="shared" si="2"/>
        <v>#N/A</v>
      </c>
      <c r="X11" s="1302"/>
      <c r="Y11" s="3590"/>
      <c r="Z11" s="994" t="str">
        <f t="shared" si="7"/>
        <v>容积率</v>
      </c>
      <c r="AA11" s="994" t="e">
        <f t="shared" si="3"/>
        <v>#N/A</v>
      </c>
      <c r="AB11" s="994" t="e">
        <f t="shared" si="4"/>
        <v>#N/A</v>
      </c>
      <c r="AC11" s="994" t="e">
        <f t="shared" si="5"/>
        <v>#N/A</v>
      </c>
    </row>
    <row r="12" spans="1:29" s="1057" customFormat="1" ht="15">
      <c r="A12" s="2210"/>
      <c r="B12" s="2216">
        <v>111</v>
      </c>
      <c r="C12" s="476"/>
      <c r="D12" s="486">
        <v>100</v>
      </c>
      <c r="E12" s="487"/>
      <c r="F12" s="233">
        <f>SUMIF(64:64,E12,65:65)-SUMIF(64:64,C12,65:65)+100</f>
        <v>100</v>
      </c>
      <c r="G12" s="839"/>
      <c r="H12" s="233">
        <f>SUMIF(64:64,G12,65:65)-SUMIF(64:64,C12,65:65)+100</f>
        <v>100</v>
      </c>
      <c r="I12" s="803"/>
      <c r="J12" s="233">
        <f>SUMIF(64:64,I12,65:65)-SUMIF(64:64,C12,65:65)+100</f>
        <v>100</v>
      </c>
      <c r="K12" s="529"/>
      <c r="L12" s="1740"/>
      <c r="M12" s="1637"/>
      <c r="N12" s="1637"/>
      <c r="O12" s="1741"/>
      <c r="P12" s="3642"/>
      <c r="Q12" s="815">
        <f t="shared" si="6"/>
        <v>111</v>
      </c>
      <c r="R12" s="1300" t="s">
        <v>5</v>
      </c>
      <c r="S12" s="1301">
        <f t="shared" si="0"/>
        <v>100</v>
      </c>
      <c r="T12" s="1300" t="s">
        <v>5</v>
      </c>
      <c r="U12" s="1301">
        <f t="shared" si="1"/>
        <v>100</v>
      </c>
      <c r="V12" s="1300" t="s">
        <v>5</v>
      </c>
      <c r="W12" s="1301">
        <f t="shared" si="2"/>
        <v>100</v>
      </c>
      <c r="X12" s="1302"/>
      <c r="Y12" s="3590"/>
      <c r="Z12" s="994">
        <f t="shared" si="7"/>
        <v>111</v>
      </c>
      <c r="AA12" s="994">
        <f>D12/F12</f>
        <v>1</v>
      </c>
      <c r="AB12" s="994">
        <f>D12/H12</f>
        <v>1</v>
      </c>
      <c r="AC12" s="994">
        <f>D12/J12</f>
        <v>1</v>
      </c>
    </row>
    <row r="13" spans="1:29" ht="15">
      <c r="A13" s="2210"/>
      <c r="B13" s="2216">
        <v>111</v>
      </c>
      <c r="C13" s="487"/>
      <c r="D13" s="488">
        <v>100</v>
      </c>
      <c r="E13" s="487"/>
      <c r="F13" s="233">
        <f>SUMIF(66:66,E13,67:67)-SUMIF(66:66,C13,67:67)+100</f>
        <v>100</v>
      </c>
      <c r="G13" s="839"/>
      <c r="H13" s="488">
        <f>SUMIF(66:66,G13,67:67)-SUMIF(66:66,C13,67:67)+100</f>
        <v>100</v>
      </c>
      <c r="I13" s="803"/>
      <c r="J13" s="488">
        <f>SUMIF(66:66,I13,67:67)-SUMIF(66:66,C13,67:67)+100</f>
        <v>100</v>
      </c>
      <c r="K13" s="529"/>
      <c r="L13" s="1746"/>
      <c r="M13" s="1739"/>
      <c r="N13" s="1739"/>
      <c r="O13" s="1745"/>
      <c r="P13" s="3642"/>
      <c r="Q13" s="815">
        <f t="shared" si="6"/>
        <v>111</v>
      </c>
      <c r="R13" s="1300" t="s">
        <v>5</v>
      </c>
      <c r="S13" s="1301">
        <f t="shared" si="0"/>
        <v>100</v>
      </c>
      <c r="T13" s="1300" t="s">
        <v>5</v>
      </c>
      <c r="U13" s="1301">
        <f t="shared" si="1"/>
        <v>100</v>
      </c>
      <c r="V13" s="1300" t="s">
        <v>5</v>
      </c>
      <c r="W13" s="1301">
        <f t="shared" si="2"/>
        <v>100</v>
      </c>
      <c r="X13" s="1302"/>
      <c r="Y13" s="3590"/>
      <c r="Z13" s="994">
        <f t="shared" si="7"/>
        <v>111</v>
      </c>
      <c r="AA13" s="994">
        <f t="shared" si="3"/>
        <v>1</v>
      </c>
      <c r="AB13" s="994">
        <f t="shared" si="4"/>
        <v>1</v>
      </c>
      <c r="AC13" s="994">
        <f t="shared" si="5"/>
        <v>1</v>
      </c>
    </row>
    <row r="14" spans="1:29" ht="15.75" thickBot="1">
      <c r="A14" s="2211"/>
      <c r="B14" s="2217">
        <v>111</v>
      </c>
      <c r="C14" s="493"/>
      <c r="D14" s="494">
        <v>100</v>
      </c>
      <c r="E14" s="493"/>
      <c r="F14" s="494">
        <f>SUMIF(68:68,E14,69:69)-SUMIF(68:68,C14,69:69)+100</f>
        <v>100</v>
      </c>
      <c r="G14" s="839"/>
      <c r="H14" s="494">
        <f>SUMIF(68:68,G14,69:69)-SUMIF(68:68,C14,69:69)+100</f>
        <v>100</v>
      </c>
      <c r="I14" s="803"/>
      <c r="J14" s="494">
        <f>SUMIF(68:68,I14,69:69)-SUMIF(68:68,C14,69:69)+100</f>
        <v>100</v>
      </c>
      <c r="K14" s="529"/>
      <c r="L14" s="1746"/>
      <c r="M14" s="1739"/>
      <c r="N14" s="1739"/>
      <c r="O14" s="1745"/>
      <c r="P14" s="3642"/>
      <c r="Q14" s="815">
        <f t="shared" si="6"/>
        <v>111</v>
      </c>
      <c r="R14" s="1300" t="s">
        <v>5</v>
      </c>
      <c r="S14" s="1301">
        <f t="shared" si="0"/>
        <v>100</v>
      </c>
      <c r="T14" s="1300" t="s">
        <v>5</v>
      </c>
      <c r="U14" s="1301">
        <f t="shared" si="1"/>
        <v>100</v>
      </c>
      <c r="V14" s="1300" t="s">
        <v>5</v>
      </c>
      <c r="W14" s="1301">
        <f t="shared" si="2"/>
        <v>100</v>
      </c>
      <c r="X14" s="1302"/>
      <c r="Y14" s="3590"/>
      <c r="Z14" s="994">
        <f t="shared" si="7"/>
        <v>111</v>
      </c>
      <c r="AA14" s="994">
        <f t="shared" si="3"/>
        <v>1</v>
      </c>
      <c r="AB14" s="994">
        <f t="shared" si="4"/>
        <v>1</v>
      </c>
      <c r="AC14" s="994">
        <f t="shared" si="5"/>
        <v>1</v>
      </c>
    </row>
    <row r="15" spans="1:29" ht="57">
      <c r="A15" s="2203" t="s">
        <v>2034</v>
      </c>
      <c r="B15" s="150" t="s">
        <v>729</v>
      </c>
      <c r="C15" s="840"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19"/>
      <c r="L15" s="1746"/>
      <c r="M15" s="1739"/>
      <c r="N15" s="1739"/>
      <c r="O15" s="1745"/>
      <c r="P15" s="3676" t="s">
        <v>489</v>
      </c>
      <c r="Q15" s="1303" t="str">
        <f t="shared" si="6"/>
        <v>产业集聚程度</v>
      </c>
      <c r="R15" s="1304" t="s">
        <v>5</v>
      </c>
      <c r="S15" s="1305">
        <f t="shared" si="0"/>
        <v>100</v>
      </c>
      <c r="T15" s="1304" t="s">
        <v>5</v>
      </c>
      <c r="U15" s="1305">
        <f t="shared" si="1"/>
        <v>100</v>
      </c>
      <c r="V15" s="1304" t="s">
        <v>5</v>
      </c>
      <c r="W15" s="1305">
        <f t="shared" si="2"/>
        <v>100</v>
      </c>
      <c r="X15" s="1299"/>
      <c r="Y15" s="3676" t="s">
        <v>489</v>
      </c>
      <c r="Z15" s="1306" t="str">
        <f t="shared" si="7"/>
        <v>产业集聚程度</v>
      </c>
      <c r="AA15" s="1306">
        <f t="shared" si="3"/>
        <v>1</v>
      </c>
      <c r="AB15" s="1306">
        <f t="shared" si="4"/>
        <v>1</v>
      </c>
      <c r="AC15" s="1306">
        <f t="shared" si="5"/>
        <v>1</v>
      </c>
    </row>
    <row r="16" spans="1:29" ht="15">
      <c r="A16" s="480"/>
      <c r="B16" s="797"/>
      <c r="C16" s="524"/>
      <c r="D16" s="503"/>
      <c r="E16" s="524"/>
      <c r="F16" s="505"/>
      <c r="G16" s="524"/>
      <c r="H16" s="507"/>
      <c r="I16" s="524"/>
      <c r="J16" s="503"/>
      <c r="K16" s="820"/>
      <c r="L16" s="1746"/>
      <c r="M16" s="1739"/>
      <c r="N16" s="1739"/>
      <c r="O16" s="1745"/>
      <c r="P16" s="3677"/>
      <c r="Q16" s="1303"/>
      <c r="R16" s="1304"/>
      <c r="S16" s="1305"/>
      <c r="T16" s="1304"/>
      <c r="U16" s="1305"/>
      <c r="V16" s="1304"/>
      <c r="W16" s="1305"/>
      <c r="X16" s="1299"/>
      <c r="Y16" s="3677"/>
      <c r="Z16" s="1306"/>
      <c r="AA16" s="1306">
        <v>1</v>
      </c>
      <c r="AB16" s="1306">
        <v>1</v>
      </c>
      <c r="AC16" s="1306">
        <v>1</v>
      </c>
    </row>
    <row r="17" spans="1:29" ht="85.5">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19"/>
      <c r="L17" s="1746"/>
      <c r="M17" s="1739"/>
      <c r="N17" s="1739"/>
      <c r="O17" s="1745"/>
      <c r="P17" s="3677"/>
      <c r="Q17" s="1303" t="str">
        <f>B17</f>
        <v>交通便捷度</v>
      </c>
      <c r="R17" s="1304" t="s">
        <v>5</v>
      </c>
      <c r="S17" s="1305">
        <f>F17</f>
        <v>100</v>
      </c>
      <c r="T17" s="1304" t="s">
        <v>5</v>
      </c>
      <c r="U17" s="1305">
        <f>H17</f>
        <v>100</v>
      </c>
      <c r="V17" s="1304" t="s">
        <v>5</v>
      </c>
      <c r="W17" s="1305">
        <f>J17</f>
        <v>100</v>
      </c>
      <c r="X17" s="1299"/>
      <c r="Y17" s="3677"/>
      <c r="Z17" s="1306" t="str">
        <f>Q17</f>
        <v>交通便捷度</v>
      </c>
      <c r="AA17" s="1306">
        <f t="shared" si="3"/>
        <v>1</v>
      </c>
      <c r="AB17" s="1306">
        <f t="shared" si="4"/>
        <v>1</v>
      </c>
      <c r="AC17" s="1306">
        <f t="shared" si="5"/>
        <v>1</v>
      </c>
    </row>
    <row r="18" spans="1:29" ht="15">
      <c r="A18" s="480"/>
      <c r="B18" s="542"/>
      <c r="C18" s="800"/>
      <c r="D18" s="507"/>
      <c r="E18" s="516"/>
      <c r="F18" s="511"/>
      <c r="G18" s="517"/>
      <c r="H18" s="503"/>
      <c r="I18" s="516"/>
      <c r="J18" s="503"/>
      <c r="K18" s="820"/>
      <c r="L18" s="1746"/>
      <c r="M18" s="1739"/>
      <c r="N18" s="1739"/>
      <c r="O18" s="1745"/>
      <c r="P18" s="3677"/>
      <c r="Q18" s="1303"/>
      <c r="R18" s="1304"/>
      <c r="S18" s="1305"/>
      <c r="T18" s="1304"/>
      <c r="U18" s="1305"/>
      <c r="V18" s="1304"/>
      <c r="W18" s="1305"/>
      <c r="X18" s="1299"/>
      <c r="Y18" s="3677"/>
      <c r="Z18" s="1306"/>
      <c r="AA18" s="1306">
        <v>1</v>
      </c>
      <c r="AB18" s="1306">
        <v>1</v>
      </c>
      <c r="AC18" s="1306">
        <v>1</v>
      </c>
    </row>
    <row r="19" spans="1:29" ht="42.75">
      <c r="A19" s="480"/>
      <c r="B19" s="2059" t="s">
        <v>1827</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19"/>
      <c r="L19" s="1746"/>
      <c r="M19" s="1739"/>
      <c r="N19" s="1739"/>
      <c r="O19" s="1745"/>
      <c r="P19" s="3677"/>
      <c r="Q19" s="1303" t="str">
        <f>B19</f>
        <v>公共配套设施</v>
      </c>
      <c r="R19" s="1304" t="s">
        <v>5</v>
      </c>
      <c r="S19" s="1305">
        <f>F19</f>
        <v>100</v>
      </c>
      <c r="T19" s="1304" t="s">
        <v>5</v>
      </c>
      <c r="U19" s="1305">
        <f>H19</f>
        <v>100</v>
      </c>
      <c r="V19" s="1304" t="s">
        <v>5</v>
      </c>
      <c r="W19" s="1305">
        <f>J19</f>
        <v>100</v>
      </c>
      <c r="X19" s="1299"/>
      <c r="Y19" s="3677"/>
      <c r="Z19" s="1306" t="str">
        <f>Q19</f>
        <v>公共配套设施</v>
      </c>
      <c r="AA19" s="1306">
        <f t="shared" si="3"/>
        <v>1</v>
      </c>
      <c r="AB19" s="1306">
        <f t="shared" si="4"/>
        <v>1</v>
      </c>
      <c r="AC19" s="1306">
        <f t="shared" si="5"/>
        <v>1</v>
      </c>
    </row>
    <row r="20" spans="1:29" ht="15">
      <c r="A20" s="480"/>
      <c r="B20" s="514"/>
      <c r="C20" s="524"/>
      <c r="D20" s="503"/>
      <c r="E20" s="504"/>
      <c r="F20" s="505"/>
      <c r="G20" s="506"/>
      <c r="H20" s="503"/>
      <c r="I20" s="504"/>
      <c r="J20" s="503"/>
      <c r="K20" s="820"/>
      <c r="L20" s="1746"/>
      <c r="M20" s="1739"/>
      <c r="N20" s="1739"/>
      <c r="O20" s="1745"/>
      <c r="P20" s="3677"/>
      <c r="Q20" s="1303"/>
      <c r="R20" s="1304"/>
      <c r="S20" s="1305"/>
      <c r="T20" s="1304"/>
      <c r="U20" s="1305"/>
      <c r="V20" s="1304"/>
      <c r="W20" s="1305"/>
      <c r="X20" s="1299"/>
      <c r="Y20" s="3677"/>
      <c r="Z20" s="1306"/>
      <c r="AA20" s="1306">
        <v>1</v>
      </c>
      <c r="AB20" s="1306">
        <v>1</v>
      </c>
      <c r="AC20" s="1306">
        <v>1</v>
      </c>
    </row>
    <row r="21" spans="1:29" ht="28.5">
      <c r="A21" s="480"/>
      <c r="B21" s="2047" t="s">
        <v>1839</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19"/>
      <c r="L21" s="1746"/>
      <c r="M21" s="1739"/>
      <c r="N21" s="1739"/>
      <c r="O21" s="1745"/>
      <c r="P21" s="3677"/>
      <c r="Q21" s="1303" t="str">
        <f>B21</f>
        <v>基础设施水平</v>
      </c>
      <c r="R21" s="1304" t="s">
        <v>5</v>
      </c>
      <c r="S21" s="1305">
        <f>F21</f>
        <v>100</v>
      </c>
      <c r="T21" s="1304" t="s">
        <v>5</v>
      </c>
      <c r="U21" s="1305">
        <f>H21</f>
        <v>100</v>
      </c>
      <c r="V21" s="1304" t="s">
        <v>5</v>
      </c>
      <c r="W21" s="1305">
        <f>J21</f>
        <v>100</v>
      </c>
      <c r="X21" s="1299"/>
      <c r="Y21" s="3677"/>
      <c r="Z21" s="1306" t="str">
        <f>Q21</f>
        <v>基础设施水平</v>
      </c>
      <c r="AA21" s="1306">
        <f>D21/F21</f>
        <v>1</v>
      </c>
      <c r="AB21" s="1306">
        <f>D21/H21</f>
        <v>1</v>
      </c>
      <c r="AC21" s="1306">
        <f>D21/J21</f>
        <v>1</v>
      </c>
    </row>
    <row r="22" spans="1:29" ht="15">
      <c r="A22" s="480"/>
      <c r="B22" s="526"/>
      <c r="C22" s="800"/>
      <c r="D22" s="503"/>
      <c r="E22" s="524"/>
      <c r="F22" s="505"/>
      <c r="G22" s="524"/>
      <c r="H22" s="503"/>
      <c r="I22" s="524"/>
      <c r="J22" s="503"/>
      <c r="K22" s="2058"/>
      <c r="L22" s="1746"/>
      <c r="M22" s="1739"/>
      <c r="N22" s="1739"/>
      <c r="O22" s="1745"/>
      <c r="P22" s="3677"/>
      <c r="Q22" s="1303"/>
      <c r="R22" s="1304"/>
      <c r="S22" s="1305"/>
      <c r="T22" s="1304"/>
      <c r="U22" s="1305"/>
      <c r="V22" s="1304"/>
      <c r="W22" s="1305"/>
      <c r="X22" s="1299"/>
      <c r="Y22" s="3677"/>
      <c r="Z22" s="1306"/>
      <c r="AA22" s="1306">
        <v>1</v>
      </c>
      <c r="AB22" s="1306">
        <v>1</v>
      </c>
      <c r="AC22" s="1306">
        <v>1</v>
      </c>
    </row>
    <row r="23" spans="1:29" ht="71.25">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19"/>
      <c r="L23" s="1746"/>
      <c r="M23" s="1739"/>
      <c r="N23" s="1739"/>
      <c r="O23" s="1745"/>
      <c r="P23" s="3677"/>
      <c r="Q23" s="1303" t="str">
        <f>B23</f>
        <v>环境质量</v>
      </c>
      <c r="R23" s="1304" t="s">
        <v>5</v>
      </c>
      <c r="S23" s="1305">
        <f>F23</f>
        <v>100</v>
      </c>
      <c r="T23" s="1304" t="s">
        <v>5</v>
      </c>
      <c r="U23" s="1305">
        <f>H23</f>
        <v>100</v>
      </c>
      <c r="V23" s="1304" t="s">
        <v>5</v>
      </c>
      <c r="W23" s="1305">
        <f>J23</f>
        <v>100</v>
      </c>
      <c r="X23" s="1299"/>
      <c r="Y23" s="3677"/>
      <c r="Z23" s="1306" t="str">
        <f>Q23</f>
        <v>环境质量</v>
      </c>
      <c r="AA23" s="1306">
        <f t="shared" si="3"/>
        <v>1</v>
      </c>
      <c r="AB23" s="1306">
        <f t="shared" si="4"/>
        <v>1</v>
      </c>
      <c r="AC23" s="1306">
        <f t="shared" si="5"/>
        <v>1</v>
      </c>
    </row>
    <row r="24" spans="1:29" ht="15">
      <c r="A24" s="480"/>
      <c r="B24" s="841"/>
      <c r="C24" s="524"/>
      <c r="D24" s="503"/>
      <c r="E24" s="504"/>
      <c r="F24" s="505"/>
      <c r="G24" s="506"/>
      <c r="H24" s="503"/>
      <c r="I24" s="504"/>
      <c r="J24" s="503"/>
      <c r="K24" s="820"/>
      <c r="L24" s="1746"/>
      <c r="M24" s="1739"/>
      <c r="N24" s="1739"/>
      <c r="O24" s="1745"/>
      <c r="P24" s="3677"/>
      <c r="Q24" s="1303"/>
      <c r="R24" s="1304"/>
      <c r="S24" s="1305"/>
      <c r="T24" s="1304"/>
      <c r="U24" s="1305"/>
      <c r="V24" s="1304"/>
      <c r="W24" s="1305"/>
      <c r="X24" s="1299"/>
      <c r="Y24" s="3677"/>
      <c r="Z24" s="1306"/>
      <c r="AA24" s="1306">
        <v>1</v>
      </c>
      <c r="AB24" s="1306">
        <v>1</v>
      </c>
      <c r="AC24" s="1306">
        <v>1</v>
      </c>
    </row>
    <row r="25" spans="1:29" ht="1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6"/>
      <c r="M25" s="1739"/>
      <c r="N25" s="1739"/>
      <c r="O25" s="1745"/>
      <c r="P25" s="3677"/>
      <c r="Q25" s="1303">
        <f>B25</f>
        <v>111</v>
      </c>
      <c r="R25" s="1304" t="s">
        <v>5</v>
      </c>
      <c r="S25" s="1305">
        <f>F25</f>
        <v>100</v>
      </c>
      <c r="T25" s="1304" t="s">
        <v>5</v>
      </c>
      <c r="U25" s="1305">
        <f>H25</f>
        <v>100</v>
      </c>
      <c r="V25" s="1304" t="s">
        <v>5</v>
      </c>
      <c r="W25" s="1305">
        <f>J25</f>
        <v>100</v>
      </c>
      <c r="X25" s="1299"/>
      <c r="Y25" s="3677"/>
      <c r="Z25" s="1306">
        <f>Q25</f>
        <v>111</v>
      </c>
      <c r="AA25" s="1306">
        <f t="shared" si="3"/>
        <v>1</v>
      </c>
      <c r="AB25" s="1306">
        <f t="shared" si="4"/>
        <v>1</v>
      </c>
      <c r="AC25" s="1306">
        <f t="shared" si="5"/>
        <v>1</v>
      </c>
    </row>
    <row r="26" spans="1:29" ht="1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6"/>
      <c r="M26" s="1739"/>
      <c r="N26" s="1739"/>
      <c r="O26" s="1745"/>
      <c r="P26" s="3677"/>
      <c r="Q26" s="1303">
        <f t="shared" ref="Q26:Q40" si="8">B26</f>
        <v>111</v>
      </c>
      <c r="R26" s="1304" t="s">
        <v>5</v>
      </c>
      <c r="S26" s="1305">
        <f>F26</f>
        <v>100</v>
      </c>
      <c r="T26" s="1304" t="s">
        <v>5</v>
      </c>
      <c r="U26" s="1305">
        <f>H26</f>
        <v>100</v>
      </c>
      <c r="V26" s="1304" t="s">
        <v>5</v>
      </c>
      <c r="W26" s="1305">
        <f>J26</f>
        <v>100</v>
      </c>
      <c r="X26" s="1299"/>
      <c r="Y26" s="3677"/>
      <c r="Z26" s="1306">
        <f>Q26</f>
        <v>111</v>
      </c>
      <c r="AA26" s="1306">
        <f t="shared" si="3"/>
        <v>1</v>
      </c>
      <c r="AB26" s="1306">
        <f t="shared" si="4"/>
        <v>1</v>
      </c>
      <c r="AC26" s="1306">
        <f t="shared" si="5"/>
        <v>1</v>
      </c>
    </row>
    <row r="27" spans="1:29" s="1057" customFormat="1" ht="1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40"/>
      <c r="M27" s="1637"/>
      <c r="N27" s="1637"/>
      <c r="O27" s="1741"/>
      <c r="P27" s="3677"/>
      <c r="Q27" s="815">
        <f t="shared" si="8"/>
        <v>111</v>
      </c>
      <c r="R27" s="1300" t="s">
        <v>5</v>
      </c>
      <c r="S27" s="1301">
        <f>F27</f>
        <v>100</v>
      </c>
      <c r="T27" s="1300" t="s">
        <v>5</v>
      </c>
      <c r="U27" s="1301">
        <f>H27</f>
        <v>100</v>
      </c>
      <c r="V27" s="1300" t="s">
        <v>5</v>
      </c>
      <c r="W27" s="1301">
        <f>J27</f>
        <v>100</v>
      </c>
      <c r="X27" s="1302"/>
      <c r="Y27" s="3677"/>
      <c r="Z27" s="994">
        <f>Q27</f>
        <v>111</v>
      </c>
      <c r="AA27" s="1306">
        <f>D27/F27</f>
        <v>1</v>
      </c>
      <c r="AB27" s="1306">
        <f>D27/H27</f>
        <v>1</v>
      </c>
      <c r="AC27" s="1306">
        <f>D27/J27</f>
        <v>1</v>
      </c>
    </row>
    <row r="28" spans="1:29" ht="15.75" thickBot="1">
      <c r="A28" s="491"/>
      <c r="B28" s="91">
        <v>111</v>
      </c>
      <c r="C28" s="493"/>
      <c r="D28" s="494">
        <v>100</v>
      </c>
      <c r="E28" s="487"/>
      <c r="F28" s="794">
        <f>SUMIF(86:86,E28,87:87)-SUMIF(86:86,C28,87:87)+100</f>
        <v>100</v>
      </c>
      <c r="G28" s="803"/>
      <c r="H28" s="494">
        <f>SUMIF(86:86,G28,87:87)-SUMIF(86:86,C28,87:87)+100</f>
        <v>100</v>
      </c>
      <c r="I28" s="803"/>
      <c r="J28" s="494">
        <f>SUMIF(86:86,I28,87:87)-SUMIF(86:86,C28,87:87)+100</f>
        <v>100</v>
      </c>
      <c r="K28" s="529"/>
      <c r="L28" s="1746"/>
      <c r="M28" s="1739"/>
      <c r="N28" s="1739"/>
      <c r="O28" s="1745"/>
      <c r="P28" s="3677"/>
      <c r="Q28" s="1303">
        <f t="shared" si="8"/>
        <v>111</v>
      </c>
      <c r="R28" s="1304" t="s">
        <v>5</v>
      </c>
      <c r="S28" s="1305">
        <f t="shared" ref="S28:S40" si="9">F28</f>
        <v>100</v>
      </c>
      <c r="T28" s="1304" t="s">
        <v>5</v>
      </c>
      <c r="U28" s="1305">
        <f t="shared" ref="U28:U40" si="10">H28</f>
        <v>100</v>
      </c>
      <c r="V28" s="1304" t="s">
        <v>5</v>
      </c>
      <c r="W28" s="1305">
        <f t="shared" ref="W28:W40" si="11">J28</f>
        <v>100</v>
      </c>
      <c r="X28" s="1299"/>
      <c r="Y28" s="3677"/>
      <c r="Z28" s="1306">
        <f t="shared" ref="Z28:Z40" si="12">Q28</f>
        <v>111</v>
      </c>
      <c r="AA28" s="1306">
        <f t="shared" si="3"/>
        <v>1</v>
      </c>
      <c r="AB28" s="1306">
        <f t="shared" si="4"/>
        <v>1</v>
      </c>
      <c r="AC28" s="1306">
        <f t="shared" si="5"/>
        <v>1</v>
      </c>
    </row>
    <row r="29" spans="1:29" ht="15">
      <c r="A29" s="2201" t="s">
        <v>2035</v>
      </c>
      <c r="B29" s="156" t="s">
        <v>720</v>
      </c>
      <c r="C29" s="802"/>
      <c r="D29" s="544">
        <v>100</v>
      </c>
      <c r="E29" s="802"/>
      <c r="F29" s="523">
        <f>SUMIF(88:88,E29,89:89)-SUMIF(88:88,C29,89:89)+100</f>
        <v>100</v>
      </c>
      <c r="G29" s="802"/>
      <c r="H29" s="488">
        <f>SUMIF(88:88,G29,89:89)-SUMIF(88:88,C29,89:89)+100</f>
        <v>100</v>
      </c>
      <c r="I29" s="802"/>
      <c r="J29" s="544">
        <f>SUMIF(88:88,I29,89:89)-SUMIF(88:88,C29,89:89)+100</f>
        <v>100</v>
      </c>
      <c r="K29" s="531"/>
      <c r="L29" s="1746"/>
      <c r="M29" s="1739"/>
      <c r="N29" s="1739"/>
      <c r="O29" s="1745"/>
      <c r="P29" s="3678" t="s">
        <v>499</v>
      </c>
      <c r="Q29" s="1303" t="str">
        <f t="shared" si="8"/>
        <v>建筑类型</v>
      </c>
      <c r="R29" s="1304" t="s">
        <v>5</v>
      </c>
      <c r="S29" s="1305">
        <f t="shared" si="9"/>
        <v>100</v>
      </c>
      <c r="T29" s="1304" t="s">
        <v>5</v>
      </c>
      <c r="U29" s="1305">
        <f t="shared" si="10"/>
        <v>100</v>
      </c>
      <c r="V29" s="1304" t="s">
        <v>5</v>
      </c>
      <c r="W29" s="1305">
        <f t="shared" si="11"/>
        <v>100</v>
      </c>
      <c r="X29" s="1299"/>
      <c r="Y29" s="3679" t="s">
        <v>499</v>
      </c>
      <c r="Z29" s="1306" t="str">
        <f t="shared" si="12"/>
        <v>建筑类型</v>
      </c>
      <c r="AA29" s="1306">
        <f t="shared" si="3"/>
        <v>1</v>
      </c>
      <c r="AB29" s="1306">
        <f t="shared" si="4"/>
        <v>1</v>
      </c>
      <c r="AC29" s="1306">
        <f t="shared" si="5"/>
        <v>1</v>
      </c>
    </row>
    <row r="30" spans="1:29" s="1131" customFormat="1" ht="15">
      <c r="A30" s="550"/>
      <c r="B30" s="475" t="s">
        <v>673</v>
      </c>
      <c r="C30" s="803"/>
      <c r="D30" s="233">
        <v>100</v>
      </c>
      <c r="E30" s="482"/>
      <c r="F30" s="475" t="e">
        <f>LOOKUP(E30,91:91,92:92)-LOOKUP(C30,91:91,92:92)+100</f>
        <v>#N/A</v>
      </c>
      <c r="G30" s="481"/>
      <c r="H30" s="233" t="e">
        <f>LOOKUP(G30,91:91,92:92)-LOOKUP(C30,91:91,92:92)+100</f>
        <v>#N/A</v>
      </c>
      <c r="I30" s="481"/>
      <c r="J30" s="233" t="e">
        <f>LOOKUP(I30,91:91,92:92)-LOOKUP(C30,91:91,92:92)+100</f>
        <v>#N/A</v>
      </c>
      <c r="K30" s="529"/>
      <c r="L30" s="1744"/>
      <c r="M30" s="1768"/>
      <c r="N30" s="1768"/>
      <c r="O30" s="1747"/>
      <c r="P30" s="3679"/>
      <c r="Q30" s="816" t="str">
        <f t="shared" si="8"/>
        <v>项目建筑规模</v>
      </c>
      <c r="R30" s="1307" t="s">
        <v>5</v>
      </c>
      <c r="S30" s="1308" t="e">
        <f t="shared" si="9"/>
        <v>#N/A</v>
      </c>
      <c r="T30" s="1307" t="s">
        <v>5</v>
      </c>
      <c r="U30" s="1308" t="e">
        <f t="shared" si="10"/>
        <v>#N/A</v>
      </c>
      <c r="V30" s="1307" t="s">
        <v>5</v>
      </c>
      <c r="W30" s="1308" t="e">
        <f t="shared" si="11"/>
        <v>#N/A</v>
      </c>
      <c r="X30" s="1309"/>
      <c r="Y30" s="3679"/>
      <c r="Z30" s="1310" t="str">
        <f t="shared" si="12"/>
        <v>项目建筑规模</v>
      </c>
      <c r="AA30" s="1306" t="e">
        <f t="shared" si="3"/>
        <v>#N/A</v>
      </c>
      <c r="AB30" s="1306" t="e">
        <f t="shared" si="4"/>
        <v>#N/A</v>
      </c>
      <c r="AC30" s="1306"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6"/>
      <c r="M31" s="1739"/>
      <c r="N31" s="1739"/>
      <c r="O31" s="1745"/>
      <c r="P31" s="3679"/>
      <c r="Q31" s="1303" t="str">
        <f t="shared" si="8"/>
        <v>建筑结构</v>
      </c>
      <c r="R31" s="1304" t="s">
        <v>5</v>
      </c>
      <c r="S31" s="1305">
        <f t="shared" si="9"/>
        <v>100</v>
      </c>
      <c r="T31" s="1304" t="s">
        <v>5</v>
      </c>
      <c r="U31" s="1305">
        <f t="shared" si="10"/>
        <v>100</v>
      </c>
      <c r="V31" s="1304" t="s">
        <v>5</v>
      </c>
      <c r="W31" s="1305">
        <f t="shared" si="11"/>
        <v>100</v>
      </c>
      <c r="X31" s="1299"/>
      <c r="Y31" s="3679"/>
      <c r="Z31" s="1306" t="str">
        <f t="shared" si="12"/>
        <v>建筑结构</v>
      </c>
      <c r="AA31" s="1306">
        <f t="shared" si="3"/>
        <v>1</v>
      </c>
      <c r="AB31" s="1306">
        <f t="shared" si="4"/>
        <v>1</v>
      </c>
      <c r="AC31" s="1306">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6"/>
      <c r="M32" s="1739"/>
      <c r="N32" s="1739"/>
      <c r="O32" s="1745"/>
      <c r="P32" s="3679"/>
      <c r="Q32" s="1303" t="str">
        <f t="shared" si="8"/>
        <v>公共部分装修</v>
      </c>
      <c r="R32" s="1304" t="s">
        <v>5</v>
      </c>
      <c r="S32" s="1305">
        <f t="shared" si="9"/>
        <v>100</v>
      </c>
      <c r="T32" s="1304" t="s">
        <v>5</v>
      </c>
      <c r="U32" s="1305">
        <f t="shared" si="10"/>
        <v>100</v>
      </c>
      <c r="V32" s="1304" t="s">
        <v>5</v>
      </c>
      <c r="W32" s="1305">
        <f t="shared" si="11"/>
        <v>100</v>
      </c>
      <c r="X32" s="1299"/>
      <c r="Y32" s="3679"/>
      <c r="Z32" s="1306" t="str">
        <f t="shared" si="12"/>
        <v>公共部分装修</v>
      </c>
      <c r="AA32" s="1306">
        <f t="shared" si="3"/>
        <v>1</v>
      </c>
      <c r="AB32" s="1306">
        <f t="shared" si="4"/>
        <v>1</v>
      </c>
      <c r="AC32" s="1306">
        <f t="shared" si="5"/>
        <v>1</v>
      </c>
    </row>
    <row r="33" spans="1:29" ht="15">
      <c r="A33" s="541"/>
      <c r="B33" s="475" t="s">
        <v>704</v>
      </c>
      <c r="C33" s="803"/>
      <c r="D33" s="488">
        <v>100</v>
      </c>
      <c r="E33" s="805"/>
      <c r="F33" s="523" t="e">
        <f>LOOKUP(E33,98:98,99:99)-LOOKUP(C33,98:98,99:99)+100</f>
        <v>#N/A</v>
      </c>
      <c r="G33" s="805"/>
      <c r="H33" s="523" t="e">
        <f>LOOKUP(G33,98:98,99:99)-LOOKUP(C33,98:98,99:99)+100</f>
        <v>#N/A</v>
      </c>
      <c r="I33" s="805"/>
      <c r="J33" s="488" t="e">
        <f>LOOKUP(I33,98:98,99:99)-LOOKUP(C33,98:98,99:99)+100</f>
        <v>#N/A</v>
      </c>
      <c r="K33" s="531"/>
      <c r="L33" s="1746"/>
      <c r="M33" s="1739"/>
      <c r="N33" s="1739"/>
      <c r="O33" s="1745"/>
      <c r="P33" s="3679"/>
      <c r="Q33" s="1303" t="str">
        <f t="shared" si="8"/>
        <v>成新度</v>
      </c>
      <c r="R33" s="1304" t="s">
        <v>5</v>
      </c>
      <c r="S33" s="1305" t="e">
        <f t="shared" si="9"/>
        <v>#N/A</v>
      </c>
      <c r="T33" s="1304" t="s">
        <v>5</v>
      </c>
      <c r="U33" s="1305" t="e">
        <f t="shared" si="10"/>
        <v>#N/A</v>
      </c>
      <c r="V33" s="1304" t="s">
        <v>5</v>
      </c>
      <c r="W33" s="1305" t="e">
        <f t="shared" si="11"/>
        <v>#N/A</v>
      </c>
      <c r="X33" s="1299"/>
      <c r="Y33" s="3679"/>
      <c r="Z33" s="1306" t="str">
        <f t="shared" si="12"/>
        <v>成新度</v>
      </c>
      <c r="AA33" s="1306" t="e">
        <f t="shared" si="3"/>
        <v>#N/A</v>
      </c>
      <c r="AB33" s="1306" t="e">
        <f t="shared" si="4"/>
        <v>#N/A</v>
      </c>
      <c r="AC33" s="1306" t="e">
        <f t="shared" si="5"/>
        <v>#N/A</v>
      </c>
    </row>
    <row r="34" spans="1:29" s="1057"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40"/>
      <c r="M34" s="1637"/>
      <c r="N34" s="1637"/>
      <c r="O34" s="1741"/>
      <c r="P34" s="3679"/>
      <c r="Q34" s="815" t="str">
        <f t="shared" si="8"/>
        <v>物业管理</v>
      </c>
      <c r="R34" s="1300" t="s">
        <v>5</v>
      </c>
      <c r="S34" s="1301">
        <f t="shared" si="9"/>
        <v>100</v>
      </c>
      <c r="T34" s="1300" t="s">
        <v>5</v>
      </c>
      <c r="U34" s="1301">
        <f t="shared" si="10"/>
        <v>100</v>
      </c>
      <c r="V34" s="1300" t="s">
        <v>5</v>
      </c>
      <c r="W34" s="1301">
        <f t="shared" si="11"/>
        <v>100</v>
      </c>
      <c r="X34" s="1302"/>
      <c r="Y34" s="3679"/>
      <c r="Z34" s="994" t="str">
        <f t="shared" si="12"/>
        <v>物业管理</v>
      </c>
      <c r="AA34" s="994">
        <f t="shared" si="3"/>
        <v>1</v>
      </c>
      <c r="AB34" s="994">
        <f t="shared" si="4"/>
        <v>1</v>
      </c>
      <c r="AC34" s="994">
        <f t="shared" si="5"/>
        <v>1</v>
      </c>
    </row>
    <row r="35" spans="1:29" ht="15">
      <c r="A35" s="541"/>
      <c r="B35" s="1551" t="s">
        <v>1846</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6"/>
      <c r="M35" s="1739"/>
      <c r="N35" s="1739"/>
      <c r="O35" s="1745"/>
      <c r="P35" s="3679" t="s">
        <v>499</v>
      </c>
      <c r="Q35" s="1303" t="str">
        <f t="shared" si="8"/>
        <v>市政基础设施</v>
      </c>
      <c r="R35" s="1304" t="s">
        <v>5</v>
      </c>
      <c r="S35" s="1305">
        <f t="shared" si="9"/>
        <v>100</v>
      </c>
      <c r="T35" s="1304" t="s">
        <v>5</v>
      </c>
      <c r="U35" s="1305">
        <f t="shared" si="10"/>
        <v>100</v>
      </c>
      <c r="V35" s="1304" t="s">
        <v>5</v>
      </c>
      <c r="W35" s="1305">
        <f t="shared" si="11"/>
        <v>100</v>
      </c>
      <c r="X35" s="1299"/>
      <c r="Y35" s="3679" t="s">
        <v>499</v>
      </c>
      <c r="Z35" s="1306" t="str">
        <f t="shared" si="12"/>
        <v>市政基础设施</v>
      </c>
      <c r="AA35" s="1306">
        <f t="shared" si="3"/>
        <v>1</v>
      </c>
      <c r="AB35" s="1306">
        <f t="shared" si="4"/>
        <v>1</v>
      </c>
      <c r="AC35" s="1306">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6"/>
      <c r="M36" s="1739"/>
      <c r="N36" s="1739"/>
      <c r="O36" s="1745"/>
      <c r="P36" s="3679"/>
      <c r="Q36" s="1303" t="str">
        <f t="shared" si="8"/>
        <v>内部装修</v>
      </c>
      <c r="R36" s="1304" t="s">
        <v>5</v>
      </c>
      <c r="S36" s="1305">
        <f t="shared" si="9"/>
        <v>100</v>
      </c>
      <c r="T36" s="1304" t="s">
        <v>5</v>
      </c>
      <c r="U36" s="1305">
        <f t="shared" si="10"/>
        <v>100</v>
      </c>
      <c r="V36" s="1304" t="s">
        <v>5</v>
      </c>
      <c r="W36" s="1305">
        <f t="shared" si="11"/>
        <v>100</v>
      </c>
      <c r="X36" s="1299"/>
      <c r="Y36" s="3679"/>
      <c r="Z36" s="1306" t="str">
        <f t="shared" si="12"/>
        <v>内部装修</v>
      </c>
      <c r="AA36" s="1306">
        <f t="shared" si="3"/>
        <v>1</v>
      </c>
      <c r="AB36" s="1306">
        <f t="shared" si="4"/>
        <v>1</v>
      </c>
      <c r="AC36" s="1306">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6"/>
      <c r="M37" s="1739"/>
      <c r="N37" s="1739"/>
      <c r="O37" s="1745"/>
      <c r="P37" s="3679"/>
      <c r="Q37" s="1303" t="str">
        <f t="shared" si="8"/>
        <v>内部装修状况</v>
      </c>
      <c r="R37" s="1304" t="s">
        <v>5</v>
      </c>
      <c r="S37" s="1305">
        <f t="shared" si="9"/>
        <v>100</v>
      </c>
      <c r="T37" s="1304" t="s">
        <v>5</v>
      </c>
      <c r="U37" s="1305">
        <f t="shared" si="10"/>
        <v>100</v>
      </c>
      <c r="V37" s="1304" t="s">
        <v>5</v>
      </c>
      <c r="W37" s="1305">
        <f t="shared" si="11"/>
        <v>100</v>
      </c>
      <c r="X37" s="1299"/>
      <c r="Y37" s="3679"/>
      <c r="Z37" s="1306" t="str">
        <f t="shared" si="12"/>
        <v>内部装修状况</v>
      </c>
      <c r="AA37" s="1306">
        <f t="shared" si="3"/>
        <v>1</v>
      </c>
      <c r="AB37" s="1306">
        <f t="shared" si="4"/>
        <v>1</v>
      </c>
      <c r="AC37" s="1306">
        <f t="shared" si="5"/>
        <v>1</v>
      </c>
    </row>
    <row r="38" spans="1:29" s="1131" customFormat="1" ht="15">
      <c r="A38" s="550"/>
      <c r="B38" s="91">
        <v>111</v>
      </c>
      <c r="C38" s="803"/>
      <c r="D38" s="488">
        <v>100</v>
      </c>
      <c r="E38" s="487"/>
      <c r="F38" s="523">
        <f>SUMIF(108:108,E38,109:109)-SUMIF(108:108,C38,109:109)+100</f>
        <v>100</v>
      </c>
      <c r="G38" s="803"/>
      <c r="H38" s="488">
        <f>SUMIF(108:108,G38,109:109)-SUMIF(108:108,C38,109:109)+100</f>
        <v>100</v>
      </c>
      <c r="I38" s="803"/>
      <c r="J38" s="488">
        <f>SUMIF(108:108,I38,109:1038)-SUMIF(108:108,C38,109:109)+100</f>
        <v>100</v>
      </c>
      <c r="K38" s="529"/>
      <c r="L38" s="1744"/>
      <c r="M38" s="1768"/>
      <c r="N38" s="1768"/>
      <c r="O38" s="1747"/>
      <c r="P38" s="3679"/>
      <c r="Q38" s="816">
        <f t="shared" si="8"/>
        <v>111</v>
      </c>
      <c r="R38" s="1307" t="s">
        <v>5</v>
      </c>
      <c r="S38" s="1308">
        <f t="shared" si="9"/>
        <v>100</v>
      </c>
      <c r="T38" s="1307" t="s">
        <v>5</v>
      </c>
      <c r="U38" s="1308">
        <f t="shared" si="10"/>
        <v>100</v>
      </c>
      <c r="V38" s="1307" t="s">
        <v>5</v>
      </c>
      <c r="W38" s="1308">
        <f t="shared" si="11"/>
        <v>100</v>
      </c>
      <c r="X38" s="1309"/>
      <c r="Y38" s="3679"/>
      <c r="Z38" s="1310">
        <f t="shared" si="12"/>
        <v>111</v>
      </c>
      <c r="AA38" s="1306">
        <f t="shared" si="3"/>
        <v>1</v>
      </c>
      <c r="AB38" s="1306">
        <f t="shared" si="4"/>
        <v>1</v>
      </c>
      <c r="AC38" s="1306">
        <f t="shared" si="5"/>
        <v>1</v>
      </c>
    </row>
    <row r="39" spans="1:29" ht="15">
      <c r="A39" s="541"/>
      <c r="B39" s="91">
        <v>111</v>
      </c>
      <c r="C39" s="803"/>
      <c r="D39" s="488">
        <v>100</v>
      </c>
      <c r="E39" s="487"/>
      <c r="F39" s="523">
        <f>SUMIF(110:110,E39,111:111)-SUMIF(110:110,C39,111:111)+100</f>
        <v>100</v>
      </c>
      <c r="G39" s="803"/>
      <c r="H39" s="488">
        <f>SUMIF(110:110,G39,111:111)-SUMIF(110:110,C39,111:111)+100</f>
        <v>100</v>
      </c>
      <c r="I39" s="803"/>
      <c r="J39" s="488">
        <f>SUMIF(110:110,I39,111:111)-SUMIF(110:110,C39,111:111)+100</f>
        <v>100</v>
      </c>
      <c r="K39" s="529"/>
      <c r="L39" s="1746"/>
      <c r="M39" s="1739"/>
      <c r="N39" s="1739"/>
      <c r="O39" s="1745"/>
      <c r="P39" s="3679"/>
      <c r="Q39" s="1303">
        <f t="shared" si="8"/>
        <v>111</v>
      </c>
      <c r="R39" s="1304" t="s">
        <v>5</v>
      </c>
      <c r="S39" s="1305">
        <f t="shared" si="9"/>
        <v>100</v>
      </c>
      <c r="T39" s="1304" t="s">
        <v>5</v>
      </c>
      <c r="U39" s="1305">
        <f t="shared" si="10"/>
        <v>100</v>
      </c>
      <c r="V39" s="1304" t="s">
        <v>5</v>
      </c>
      <c r="W39" s="1305">
        <f t="shared" si="11"/>
        <v>100</v>
      </c>
      <c r="X39" s="1299"/>
      <c r="Y39" s="3679"/>
      <c r="Z39" s="1306">
        <f t="shared" si="12"/>
        <v>111</v>
      </c>
      <c r="AA39" s="1306">
        <f t="shared" si="3"/>
        <v>1</v>
      </c>
      <c r="AB39" s="1306">
        <f t="shared" si="4"/>
        <v>1</v>
      </c>
      <c r="AC39" s="1306">
        <f t="shared" si="5"/>
        <v>1</v>
      </c>
    </row>
    <row r="40" spans="1:29" ht="15.75" thickBot="1">
      <c r="A40" s="808"/>
      <c r="B40" s="492">
        <v>111</v>
      </c>
      <c r="C40" s="493"/>
      <c r="D40" s="494">
        <v>100</v>
      </c>
      <c r="E40" s="487"/>
      <c r="F40" s="794">
        <f>SUMIF(112:112,E40,113:113)-SUMIF(112:112,C40,113:113)+100</f>
        <v>100</v>
      </c>
      <c r="G40" s="803"/>
      <c r="H40" s="494">
        <f>SUMIF(112:112,G40,113:113)-SUMIF(112:112,C40,113:113)+100</f>
        <v>100</v>
      </c>
      <c r="I40" s="803"/>
      <c r="J40" s="494">
        <f>SUMIF(112:112,I40,113:113)-SUMIF(112:112,C40,113:113)+100</f>
        <v>100</v>
      </c>
      <c r="K40" s="529"/>
      <c r="L40" s="1746"/>
      <c r="M40" s="1739"/>
      <c r="N40" s="1739"/>
      <c r="O40" s="1745"/>
      <c r="P40" s="3698"/>
      <c r="Q40" s="1303">
        <f t="shared" si="8"/>
        <v>111</v>
      </c>
      <c r="R40" s="1304" t="s">
        <v>5</v>
      </c>
      <c r="S40" s="1305">
        <f t="shared" si="9"/>
        <v>100</v>
      </c>
      <c r="T40" s="1304" t="s">
        <v>5</v>
      </c>
      <c r="U40" s="1305">
        <f t="shared" si="10"/>
        <v>100</v>
      </c>
      <c r="V40" s="1304" t="s">
        <v>5</v>
      </c>
      <c r="W40" s="1305">
        <f t="shared" si="11"/>
        <v>100</v>
      </c>
      <c r="X40" s="1299"/>
      <c r="Y40" s="3698"/>
      <c r="Z40" s="1306">
        <f t="shared" si="12"/>
        <v>111</v>
      </c>
      <c r="AA40" s="1306">
        <f t="shared" si="3"/>
        <v>1</v>
      </c>
      <c r="AB40" s="1306">
        <f t="shared" si="4"/>
        <v>1</v>
      </c>
      <c r="AC40" s="1306">
        <f t="shared" si="5"/>
        <v>1</v>
      </c>
    </row>
    <row r="41" spans="1:29" ht="15">
      <c r="A41" s="554" t="s">
        <v>683</v>
      </c>
      <c r="B41" s="809"/>
      <c r="C41" s="2078" t="s">
        <v>0</v>
      </c>
      <c r="D41" s="557"/>
      <c r="E41" s="558"/>
      <c r="F41" s="559"/>
      <c r="G41" s="560"/>
      <c r="H41" s="561"/>
      <c r="I41" s="558"/>
      <c r="J41" s="561"/>
      <c r="K41" s="1332"/>
      <c r="L41" s="1748"/>
      <c r="M41" s="1739"/>
      <c r="N41" s="1739"/>
      <c r="O41" s="1739"/>
      <c r="P41" s="3642" t="str">
        <f>A41</f>
        <v>成交单价（元/平方米）</v>
      </c>
      <c r="Q41" s="3642"/>
      <c r="R41" s="3643">
        <f>E41</f>
        <v>0</v>
      </c>
      <c r="S41" s="3643"/>
      <c r="T41" s="3643">
        <f>G41</f>
        <v>0</v>
      </c>
      <c r="U41" s="3643"/>
      <c r="V41" s="3643">
        <f>I41</f>
        <v>0</v>
      </c>
      <c r="W41" s="3643"/>
      <c r="X41" s="797"/>
      <c r="Y41" s="1311"/>
      <c r="Z41" s="797"/>
      <c r="AA41" s="797"/>
      <c r="AB41" s="797"/>
      <c r="AC41" s="797"/>
    </row>
    <row r="42" spans="1:29" ht="15.75" thickBot="1">
      <c r="A42" s="562" t="s">
        <v>2040</v>
      </c>
      <c r="B42" s="810"/>
      <c r="C42" s="2079" t="e">
        <f>R43</f>
        <v>#DIV/0!</v>
      </c>
      <c r="D42" s="2546" t="s">
        <v>2254</v>
      </c>
      <c r="E42" s="2080" t="e">
        <f>R42</f>
        <v>#DIV/0!</v>
      </c>
      <c r="F42" s="2547"/>
      <c r="G42" s="2079" t="e">
        <f>T42</f>
        <v>#DIV/0!</v>
      </c>
      <c r="H42" s="2547"/>
      <c r="I42" s="2080" t="e">
        <f>V42</f>
        <v>#DIV/0!</v>
      </c>
      <c r="J42" s="2547"/>
      <c r="K42" s="2554">
        <f>F42+H42+J42</f>
        <v>0</v>
      </c>
      <c r="L42" s="1748"/>
      <c r="M42" s="1739"/>
      <c r="N42" s="1739"/>
      <c r="O42" s="1739"/>
      <c r="P42" s="3642" t="str">
        <f>A42</f>
        <v>比较价格（元/平方米）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797"/>
      <c r="Y42" s="797"/>
      <c r="Z42" s="797"/>
      <c r="AA42" s="797"/>
      <c r="AB42" s="797"/>
      <c r="AC42" s="797"/>
    </row>
    <row r="43" spans="1:29" ht="15.75" thickBot="1">
      <c r="A43" s="566" t="s">
        <v>2191</v>
      </c>
      <c r="B43" s="567"/>
      <c r="C43" s="467" t="e">
        <f>R43</f>
        <v>#DIV/0!</v>
      </c>
      <c r="D43" s="467"/>
      <c r="E43" s="467"/>
      <c r="F43" s="467"/>
      <c r="G43" s="467"/>
      <c r="H43" s="467"/>
      <c r="I43" s="467"/>
      <c r="J43" s="467"/>
      <c r="K43" s="1333"/>
      <c r="L43" s="1748"/>
      <c r="M43" s="1739"/>
      <c r="N43" s="1739"/>
      <c r="O43" s="1739"/>
      <c r="P43" s="3680" t="str">
        <f>A43</f>
        <v>估价对象XX用房的比较价格（楼面单价，元/平方米）</v>
      </c>
      <c r="Q43" s="3681"/>
      <c r="R43" s="3697" t="e">
        <f>IF(F1="售价",ROUND(IF(D42="简单平均",AVERAGE(R42:V42),R42*F42+T42*H42+V42*J42),0),ROUND(IF(D42="简单平均",AVERAGE(R42:V42),R42*F42+T42*H42+V42*J42),1))</f>
        <v>#DIV/0!</v>
      </c>
      <c r="S43" s="3697"/>
      <c r="T43" s="3697"/>
      <c r="U43" s="3697"/>
      <c r="V43" s="3697"/>
      <c r="W43" s="3697"/>
      <c r="X43" s="797"/>
      <c r="Y43" s="797"/>
      <c r="Z43" s="797"/>
      <c r="AA43" s="797"/>
      <c r="AB43" s="797"/>
      <c r="AC43" s="797"/>
    </row>
    <row r="44" spans="1:29">
      <c r="A44" s="2715"/>
      <c r="B44" s="2715"/>
      <c r="C44" s="2715"/>
      <c r="D44" s="2715"/>
      <c r="E44" s="2715"/>
      <c r="F44" s="2715"/>
      <c r="G44" s="2717"/>
      <c r="H44" s="2715"/>
      <c r="I44" s="2715"/>
      <c r="J44" s="2715"/>
      <c r="K44" s="2718"/>
      <c r="L44" s="1752"/>
      <c r="M44" s="1739"/>
      <c r="N44" s="1739"/>
      <c r="O44" s="1739"/>
      <c r="P44" s="1739"/>
      <c r="Q44" s="1739"/>
      <c r="R44" s="1739"/>
      <c r="S44" s="1739"/>
      <c r="T44" s="1739"/>
      <c r="U44" s="1739"/>
      <c r="V44" s="1739"/>
      <c r="W44" s="1739"/>
      <c r="X44" s="1739"/>
      <c r="Y44" s="1739"/>
      <c r="Z44" s="1739"/>
      <c r="AA44" s="1739"/>
      <c r="AB44" s="1739"/>
      <c r="AC44" s="1739"/>
    </row>
    <row r="45" spans="1:29">
      <c r="A45" s="2715"/>
      <c r="B45" s="2715"/>
      <c r="C45" s="2715"/>
      <c r="D45" s="2715"/>
      <c r="E45" s="2715"/>
      <c r="F45" s="2715"/>
      <c r="G45" s="2715"/>
      <c r="H45" s="2715"/>
      <c r="I45" s="2715"/>
      <c r="J45" s="2715"/>
      <c r="K45" s="2718"/>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5"/>
      <c r="B46" s="2715"/>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8"/>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5"/>
      <c r="B47" s="2715"/>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8"/>
      <c r="L47" s="1752"/>
      <c r="M47" s="1739"/>
      <c r="N47" s="1739"/>
      <c r="O47" s="1739"/>
      <c r="P47" s="1739"/>
      <c r="Q47" s="1739"/>
      <c r="R47" s="1739"/>
      <c r="S47" s="1739"/>
      <c r="T47" s="1739"/>
      <c r="U47" s="1739"/>
      <c r="V47" s="1739"/>
      <c r="W47" s="1739"/>
      <c r="X47" s="1739"/>
      <c r="Y47" s="1739"/>
      <c r="Z47" s="1739"/>
      <c r="AA47" s="1739"/>
      <c r="AB47" s="1739"/>
      <c r="AC47" s="1739"/>
    </row>
    <row r="48" spans="1:29" s="1136" customFormat="1" ht="13.5" customHeight="1">
      <c r="A48" s="2716"/>
      <c r="B48" s="2716"/>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9"/>
      <c r="L48" s="1755"/>
      <c r="M48" s="1749"/>
      <c r="N48" s="1749"/>
      <c r="O48" s="1749"/>
      <c r="P48" s="1749"/>
      <c r="Q48" s="1749"/>
      <c r="R48" s="1749"/>
      <c r="S48" s="1749"/>
      <c r="T48" s="1749"/>
      <c r="U48" s="1749"/>
      <c r="V48" s="1749"/>
      <c r="W48" s="1749"/>
      <c r="X48" s="1749"/>
      <c r="Y48" s="1749"/>
      <c r="Z48" s="1749"/>
      <c r="AA48" s="1749"/>
      <c r="AB48" s="1749"/>
      <c r="AC48" s="1749"/>
    </row>
    <row r="49" spans="1:29" s="1136"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1.75" thickBot="1">
      <c r="A51" s="1314" t="s">
        <v>522</v>
      </c>
      <c r="B51" s="797"/>
      <c r="C51" s="1313"/>
      <c r="D51" s="1313"/>
      <c r="E51" s="1313"/>
      <c r="F51" s="1315"/>
      <c r="G51" s="1315"/>
      <c r="H51" s="1313"/>
      <c r="I51" s="1313"/>
      <c r="J51" s="1313"/>
      <c r="K51" s="1316"/>
      <c r="L51" s="1312"/>
      <c r="M51" s="1313"/>
      <c r="N51" s="1759"/>
      <c r="O51" s="1759"/>
      <c r="P51" s="1759"/>
      <c r="Q51" s="1760"/>
      <c r="R51" s="1739"/>
      <c r="S51" s="1739"/>
      <c r="T51" s="1739"/>
      <c r="U51" s="1739"/>
      <c r="V51" s="1739"/>
      <c r="W51" s="1739"/>
      <c r="X51" s="1739"/>
      <c r="Y51" s="1739"/>
      <c r="Z51" s="1739"/>
      <c r="AA51" s="1739"/>
      <c r="AB51" s="1739"/>
      <c r="AC51" s="1739"/>
    </row>
    <row r="52" spans="1:29" s="1138" customFormat="1" ht="15">
      <c r="A52" s="590" t="s">
        <v>478</v>
      </c>
      <c r="B52" s="591"/>
      <c r="C52" s="2110" t="str">
        <f>YEAR(C7)&amp;"-"&amp;MONTH(C7)</f>
        <v>2024-11</v>
      </c>
      <c r="D52" s="2112">
        <f>EDATE(C52,-1)</f>
        <v>45566</v>
      </c>
      <c r="E52" s="2112">
        <f t="shared" ref="E52:O52" si="13">EDATE(D52,-1)</f>
        <v>45536</v>
      </c>
      <c r="F52" s="2112">
        <f t="shared" si="13"/>
        <v>45505</v>
      </c>
      <c r="G52" s="2112">
        <f t="shared" si="13"/>
        <v>45474</v>
      </c>
      <c r="H52" s="2112">
        <f t="shared" si="13"/>
        <v>45444</v>
      </c>
      <c r="I52" s="2112">
        <f t="shared" si="13"/>
        <v>45413</v>
      </c>
      <c r="J52" s="2112">
        <f t="shared" si="13"/>
        <v>45383</v>
      </c>
      <c r="K52" s="2112">
        <f t="shared" si="13"/>
        <v>45352</v>
      </c>
      <c r="L52" s="2112">
        <f t="shared" si="13"/>
        <v>45323</v>
      </c>
      <c r="M52" s="2112">
        <f t="shared" si="13"/>
        <v>45292</v>
      </c>
      <c r="N52" s="2112">
        <f t="shared" si="13"/>
        <v>45261</v>
      </c>
      <c r="O52" s="2112">
        <f t="shared" si="13"/>
        <v>45231</v>
      </c>
      <c r="P52" s="1762"/>
      <c r="Q52" s="1762"/>
      <c r="R52" s="1762"/>
      <c r="S52" s="1762"/>
      <c r="T52" s="1762"/>
      <c r="U52" s="1762"/>
      <c r="V52" s="1762"/>
      <c r="W52" s="1762"/>
      <c r="X52" s="1762"/>
      <c r="Y52" s="1762"/>
      <c r="Z52" s="1762"/>
      <c r="AA52" s="1762"/>
      <c r="AB52" s="1762"/>
      <c r="AC52" s="1762"/>
    </row>
    <row r="53" spans="1:29" s="1057" customFormat="1" ht="15">
      <c r="A53" s="525"/>
      <c r="B53" s="592"/>
      <c r="C53" s="593">
        <v>100</v>
      </c>
      <c r="D53" s="594"/>
      <c r="E53" s="594"/>
      <c r="F53" s="594"/>
      <c r="G53" s="594"/>
      <c r="H53" s="594"/>
      <c r="I53" s="594"/>
      <c r="J53" s="594"/>
      <c r="K53" s="594"/>
      <c r="L53" s="594"/>
      <c r="M53" s="485"/>
      <c r="N53" s="594"/>
      <c r="O53" s="595"/>
      <c r="P53" s="1760"/>
      <c r="Q53" s="1637"/>
      <c r="R53" s="1637"/>
      <c r="S53" s="1637"/>
      <c r="T53" s="1637"/>
      <c r="U53" s="1637"/>
      <c r="V53" s="1637"/>
      <c r="W53" s="1637"/>
      <c r="X53" s="1637"/>
      <c r="Y53" s="1637"/>
      <c r="Z53" s="1637"/>
      <c r="AA53" s="1637"/>
      <c r="AB53" s="1637"/>
      <c r="AC53" s="1637"/>
    </row>
    <row r="54" spans="1:29" s="1057" customFormat="1" ht="15.75" thickBot="1">
      <c r="A54" s="260" t="s">
        <v>523</v>
      </c>
      <c r="B54" s="596"/>
      <c r="C54" s="597"/>
      <c r="D54" s="598"/>
      <c r="E54" s="598"/>
      <c r="F54" s="598"/>
      <c r="G54" s="598"/>
      <c r="H54" s="598"/>
      <c r="I54" s="598"/>
      <c r="J54" s="598"/>
      <c r="K54" s="598"/>
      <c r="L54" s="598"/>
      <c r="M54" s="599"/>
      <c r="N54" s="598"/>
      <c r="O54" s="600"/>
      <c r="P54" s="1760"/>
      <c r="Q54" s="1760"/>
      <c r="R54" s="1637"/>
      <c r="S54" s="1637"/>
      <c r="T54" s="1637"/>
      <c r="U54" s="1637"/>
      <c r="V54" s="1637"/>
      <c r="W54" s="1637"/>
      <c r="X54" s="1637"/>
      <c r="Y54" s="1637"/>
      <c r="Z54" s="1637"/>
      <c r="AA54" s="1637"/>
      <c r="AB54" s="1637"/>
      <c r="AC54" s="1637"/>
    </row>
    <row r="55" spans="1:29" s="1057" customFormat="1" ht="15">
      <c r="A55" s="601" t="s">
        <v>480</v>
      </c>
      <c r="B55" s="592"/>
      <c r="C55" s="602" t="s">
        <v>524</v>
      </c>
      <c r="D55" s="80"/>
      <c r="E55" s="80"/>
      <c r="F55" s="80"/>
      <c r="G55" s="80"/>
      <c r="H55" s="80"/>
      <c r="I55" s="80"/>
      <c r="J55" s="80"/>
      <c r="K55" s="80"/>
      <c r="L55" s="603"/>
      <c r="M55" s="604"/>
      <c r="N55" s="1763"/>
      <c r="O55" s="1763"/>
      <c r="P55" s="1644"/>
      <c r="Q55" s="1760"/>
      <c r="R55" s="1637"/>
      <c r="S55" s="1637"/>
      <c r="T55" s="1637"/>
      <c r="U55" s="1637"/>
      <c r="V55" s="1637"/>
      <c r="W55" s="1637"/>
      <c r="X55" s="1637"/>
      <c r="Y55" s="1637"/>
      <c r="Z55" s="1637"/>
      <c r="AA55" s="1637"/>
      <c r="AB55" s="1637"/>
      <c r="AC55" s="1637"/>
    </row>
    <row r="56" spans="1:29" s="1057" customFormat="1" ht="15.75" thickBot="1">
      <c r="A56" s="601"/>
      <c r="B56" s="592"/>
      <c r="C56" s="593">
        <v>100</v>
      </c>
      <c r="D56" s="594"/>
      <c r="E56" s="594"/>
      <c r="F56" s="594"/>
      <c r="G56" s="594"/>
      <c r="H56" s="594"/>
      <c r="I56" s="594"/>
      <c r="J56" s="594"/>
      <c r="K56" s="594"/>
      <c r="L56" s="594"/>
      <c r="M56" s="595"/>
      <c r="N56" s="1763"/>
      <c r="O56" s="1763"/>
      <c r="P56" s="1760"/>
      <c r="Q56" s="1760"/>
      <c r="R56" s="1637"/>
      <c r="S56" s="1637"/>
      <c r="T56" s="1637"/>
      <c r="U56" s="1637"/>
      <c r="V56" s="1637"/>
      <c r="W56" s="1637"/>
      <c r="X56" s="1637"/>
      <c r="Y56" s="1637"/>
      <c r="Z56" s="1637"/>
      <c r="AA56" s="1637"/>
      <c r="AB56" s="1637"/>
      <c r="AC56" s="1637"/>
    </row>
    <row r="57" spans="1:29">
      <c r="A57" s="605" t="s">
        <v>525</v>
      </c>
      <c r="B57" s="606" t="s">
        <v>483</v>
      </c>
      <c r="C57" s="643">
        <f>C9</f>
        <v>0</v>
      </c>
      <c r="D57" s="545"/>
      <c r="E57" s="545"/>
      <c r="F57" s="545"/>
      <c r="G57" s="545"/>
      <c r="H57" s="545"/>
      <c r="I57" s="545"/>
      <c r="J57" s="545"/>
      <c r="K57" s="607"/>
      <c r="L57" s="608"/>
      <c r="M57" s="609"/>
      <c r="N57" s="1764"/>
      <c r="O57" s="1764"/>
      <c r="P57" s="1763"/>
      <c r="Q57" s="1760"/>
      <c r="R57" s="1739"/>
      <c r="S57" s="1739"/>
      <c r="T57" s="1739"/>
      <c r="U57" s="1739"/>
      <c r="V57" s="1739"/>
      <c r="W57" s="1739"/>
      <c r="X57" s="1739"/>
      <c r="Y57" s="1739"/>
      <c r="Z57" s="1739"/>
      <c r="AA57" s="1739"/>
      <c r="AB57" s="1739"/>
      <c r="AC57" s="1739"/>
    </row>
    <row r="58" spans="1:29" ht="15.75" thickBot="1">
      <c r="A58" s="480"/>
      <c r="B58" s="610"/>
      <c r="C58" s="611"/>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ht="27.75" thickTop="1">
      <c r="A59" s="480"/>
      <c r="B59" s="613" t="s">
        <v>486</v>
      </c>
      <c r="C59" s="656"/>
      <c r="D59" s="656"/>
      <c r="E59" s="656"/>
      <c r="F59" s="656"/>
      <c r="G59" s="656"/>
      <c r="H59" s="656"/>
      <c r="I59" s="656"/>
      <c r="J59" s="656"/>
      <c r="K59" s="657"/>
      <c r="L59" s="658"/>
      <c r="M59" s="659"/>
      <c r="N59" s="1764"/>
      <c r="O59" s="1764"/>
      <c r="P59" s="1763"/>
      <c r="Q59" s="1760"/>
      <c r="R59" s="1739"/>
      <c r="S59" s="1739"/>
      <c r="T59" s="1739"/>
      <c r="U59" s="1739"/>
      <c r="V59" s="1739"/>
      <c r="W59" s="1739"/>
      <c r="X59" s="1739"/>
      <c r="Y59" s="1739"/>
      <c r="Z59" s="1739"/>
      <c r="AA59" s="1739"/>
      <c r="AB59" s="1739"/>
      <c r="AC59" s="1739"/>
    </row>
    <row r="60" spans="1:29" ht="15.75" thickBot="1">
      <c r="A60" s="480"/>
      <c r="B60" s="618"/>
      <c r="C60" s="611"/>
      <c r="D60" s="611"/>
      <c r="E60" s="611"/>
      <c r="F60" s="611"/>
      <c r="G60" s="611"/>
      <c r="H60" s="611"/>
      <c r="I60" s="611"/>
      <c r="J60" s="611"/>
      <c r="K60" s="611"/>
      <c r="L60" s="611"/>
      <c r="M60" s="612"/>
      <c r="N60" s="1765"/>
      <c r="O60" s="1765"/>
      <c r="P60" s="1763"/>
      <c r="Q60" s="1760"/>
      <c r="R60" s="1739"/>
      <c r="S60" s="1739"/>
      <c r="T60" s="1739"/>
      <c r="U60" s="1739"/>
      <c r="V60" s="1739"/>
      <c r="W60" s="1739"/>
      <c r="X60" s="1739"/>
      <c r="Y60" s="1739"/>
      <c r="Z60" s="1739"/>
      <c r="AA60" s="1739"/>
      <c r="AB60" s="1739"/>
      <c r="AC60" s="1739"/>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5"/>
      <c r="O61" s="1765"/>
      <c r="P61" s="1763"/>
      <c r="Q61" s="1760"/>
      <c r="R61" s="1739"/>
      <c r="S61" s="1739"/>
      <c r="T61" s="1739"/>
      <c r="U61" s="1739"/>
      <c r="V61" s="1739"/>
      <c r="W61" s="1739"/>
      <c r="X61" s="1739"/>
      <c r="Y61" s="1739"/>
      <c r="Z61" s="1739"/>
      <c r="AA61" s="1739"/>
      <c r="AB61" s="1739"/>
      <c r="AC61" s="1739"/>
    </row>
    <row r="62" spans="1:29" ht="15">
      <c r="A62" s="480"/>
      <c r="B62" s="623"/>
      <c r="C62" s="489"/>
      <c r="D62" s="489"/>
      <c r="E62" s="489"/>
      <c r="F62" s="489"/>
      <c r="G62" s="489"/>
      <c r="H62" s="489"/>
      <c r="I62" s="489"/>
      <c r="J62" s="489"/>
      <c r="K62" s="624"/>
      <c r="L62" s="625"/>
      <c r="M62" s="626"/>
      <c r="N62" s="1764"/>
      <c r="O62" s="1764"/>
      <c r="P62" s="1763"/>
      <c r="Q62" s="1760"/>
      <c r="R62" s="1739"/>
      <c r="S62" s="1739"/>
      <c r="T62" s="1739"/>
      <c r="U62" s="1739"/>
      <c r="V62" s="1739"/>
      <c r="W62" s="1739"/>
      <c r="X62" s="1739"/>
      <c r="Y62" s="1739"/>
      <c r="Z62" s="1739"/>
      <c r="AA62" s="1739"/>
      <c r="AB62" s="1739"/>
      <c r="AC62" s="1739"/>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5"/>
      <c r="O63" s="1765"/>
      <c r="P63" s="1763"/>
      <c r="Q63" s="1760"/>
      <c r="R63" s="1739"/>
      <c r="S63" s="1739"/>
      <c r="T63" s="1739"/>
      <c r="U63" s="1739"/>
      <c r="V63" s="1739"/>
      <c r="W63" s="1739"/>
      <c r="X63" s="1739"/>
      <c r="Y63" s="1739"/>
      <c r="Z63" s="1739"/>
      <c r="AA63" s="1739"/>
      <c r="AB63" s="1739"/>
      <c r="AC63" s="1739"/>
    </row>
    <row r="64" spans="1:29" s="1131" customFormat="1" ht="15.75" thickTop="1">
      <c r="A64" s="627"/>
      <c r="B64" s="613">
        <f>B12</f>
        <v>111</v>
      </c>
      <c r="C64" s="628"/>
      <c r="D64" s="628"/>
      <c r="E64" s="628"/>
      <c r="F64" s="628"/>
      <c r="G64" s="628"/>
      <c r="H64" s="629"/>
      <c r="I64" s="629"/>
      <c r="J64" s="629"/>
      <c r="K64" s="629"/>
      <c r="L64" s="630"/>
      <c r="M64" s="631"/>
      <c r="N64" s="1766"/>
      <c r="O64" s="1766"/>
      <c r="P64" s="1766"/>
      <c r="Q64" s="1767"/>
      <c r="R64" s="1768"/>
      <c r="S64" s="1768"/>
      <c r="T64" s="1768"/>
      <c r="U64" s="1768"/>
      <c r="V64" s="1768"/>
      <c r="W64" s="1768"/>
      <c r="X64" s="1768"/>
      <c r="Y64" s="1768"/>
      <c r="Z64" s="1768"/>
      <c r="AA64" s="1768"/>
      <c r="AB64" s="1768"/>
      <c r="AC64" s="1768"/>
    </row>
    <row r="65" spans="1:29" s="1131" customFormat="1" ht="15.75" thickBot="1">
      <c r="A65" s="627"/>
      <c r="B65" s="618"/>
      <c r="C65" s="632"/>
      <c r="D65" s="611"/>
      <c r="E65" s="611"/>
      <c r="F65" s="611"/>
      <c r="G65" s="611"/>
      <c r="H65" s="611"/>
      <c r="I65" s="611"/>
      <c r="J65" s="611"/>
      <c r="K65" s="611"/>
      <c r="L65" s="611"/>
      <c r="M65" s="612"/>
      <c r="N65" s="1765"/>
      <c r="O65" s="1765"/>
      <c r="P65" s="1766"/>
      <c r="Q65" s="1767"/>
      <c r="R65" s="1768"/>
      <c r="S65" s="1768"/>
      <c r="T65" s="1768"/>
      <c r="U65" s="1768"/>
      <c r="V65" s="1768"/>
      <c r="W65" s="1768"/>
      <c r="X65" s="1768"/>
      <c r="Y65" s="1768"/>
      <c r="Z65" s="1768"/>
      <c r="AA65" s="1768"/>
      <c r="AB65" s="1768"/>
      <c r="AC65" s="1768"/>
    </row>
    <row r="66" spans="1:29" s="1131" customFormat="1" ht="15.75" thickTop="1">
      <c r="A66" s="627"/>
      <c r="B66" s="613">
        <f>B13</f>
        <v>111</v>
      </c>
      <c r="C66" s="628"/>
      <c r="D66" s="628"/>
      <c r="E66" s="628"/>
      <c r="F66" s="628"/>
      <c r="G66" s="628"/>
      <c r="H66" s="629"/>
      <c r="I66" s="629"/>
      <c r="J66" s="629"/>
      <c r="K66" s="629"/>
      <c r="L66" s="630"/>
      <c r="M66" s="631"/>
      <c r="N66" s="1766"/>
      <c r="O66" s="1766"/>
      <c r="P66" s="1768"/>
      <c r="Q66" s="1769"/>
      <c r="R66" s="1768"/>
      <c r="S66" s="1768"/>
      <c r="T66" s="1768"/>
      <c r="U66" s="1768"/>
      <c r="V66" s="1768"/>
      <c r="W66" s="1768"/>
      <c r="X66" s="1768"/>
      <c r="Y66" s="1768"/>
      <c r="Z66" s="1768"/>
      <c r="AA66" s="1768"/>
      <c r="AB66" s="1768"/>
      <c r="AC66" s="1768"/>
    </row>
    <row r="67" spans="1:29" s="1131" customFormat="1" ht="15.75" thickBot="1">
      <c r="A67" s="627"/>
      <c r="B67" s="618"/>
      <c r="C67" s="632"/>
      <c r="D67" s="611"/>
      <c r="E67" s="611"/>
      <c r="F67" s="611"/>
      <c r="G67" s="632"/>
      <c r="H67" s="633"/>
      <c r="I67" s="633"/>
      <c r="J67" s="633"/>
      <c r="K67" s="633"/>
      <c r="L67" s="633"/>
      <c r="M67" s="634"/>
      <c r="N67" s="1766"/>
      <c r="O67" s="1766"/>
      <c r="P67" s="1766"/>
      <c r="Q67" s="1767"/>
      <c r="R67" s="1768"/>
      <c r="S67" s="1768"/>
      <c r="T67" s="1768"/>
      <c r="U67" s="1768"/>
      <c r="V67" s="1768"/>
      <c r="W67" s="1768"/>
      <c r="X67" s="1768"/>
      <c r="Y67" s="1768"/>
      <c r="Z67" s="1768"/>
      <c r="AA67" s="1768"/>
      <c r="AB67" s="1768"/>
      <c r="AC67" s="1768"/>
    </row>
    <row r="68" spans="1:29" s="1131" customFormat="1" ht="15.75" thickTop="1">
      <c r="A68" s="627"/>
      <c r="B68" s="621">
        <f>B14</f>
        <v>111</v>
      </c>
      <c r="C68" s="80"/>
      <c r="D68" s="80"/>
      <c r="E68" s="80"/>
      <c r="F68" s="80"/>
      <c r="G68" s="80"/>
      <c r="H68" s="635"/>
      <c r="I68" s="635"/>
      <c r="J68" s="635"/>
      <c r="K68" s="635"/>
      <c r="L68" s="636"/>
      <c r="M68" s="637"/>
      <c r="N68" s="1766"/>
      <c r="O68" s="1766"/>
      <c r="P68" s="1770"/>
      <c r="Q68" s="1767"/>
      <c r="R68" s="1768"/>
      <c r="S68" s="1768"/>
      <c r="T68" s="1768"/>
      <c r="U68" s="1768"/>
      <c r="V68" s="1768"/>
      <c r="W68" s="1768"/>
      <c r="X68" s="1768"/>
      <c r="Y68" s="1768"/>
      <c r="Z68" s="1768"/>
      <c r="AA68" s="1768"/>
      <c r="AB68" s="1768"/>
      <c r="AC68" s="1768"/>
    </row>
    <row r="69" spans="1:29" s="1131" customFormat="1" ht="15.75" thickBot="1">
      <c r="A69" s="638"/>
      <c r="B69" s="639"/>
      <c r="C69" s="640"/>
      <c r="D69" s="640"/>
      <c r="E69" s="640"/>
      <c r="F69" s="640"/>
      <c r="G69" s="640"/>
      <c r="H69" s="641"/>
      <c r="I69" s="641"/>
      <c r="J69" s="641"/>
      <c r="K69" s="641"/>
      <c r="L69" s="641"/>
      <c r="M69" s="642"/>
      <c r="N69" s="1766"/>
      <c r="O69" s="1766"/>
      <c r="P69" s="1766"/>
      <c r="Q69" s="1767"/>
      <c r="R69" s="1768"/>
      <c r="S69" s="1768"/>
      <c r="T69" s="1768"/>
      <c r="U69" s="1768"/>
      <c r="V69" s="1768"/>
      <c r="W69" s="1768"/>
      <c r="X69" s="1768"/>
      <c r="Y69" s="1768"/>
      <c r="Z69" s="1768"/>
      <c r="AA69" s="1768"/>
      <c r="AB69" s="1768"/>
      <c r="AC69" s="1768"/>
    </row>
    <row r="70" spans="1:29">
      <c r="A70" s="605" t="s">
        <v>488</v>
      </c>
      <c r="B70" s="606" t="s">
        <v>533</v>
      </c>
      <c r="C70" s="143" t="s">
        <v>527</v>
      </c>
      <c r="D70" s="143" t="s">
        <v>528</v>
      </c>
      <c r="E70" s="143" t="s">
        <v>529</v>
      </c>
      <c r="F70" s="143" t="s">
        <v>530</v>
      </c>
      <c r="G70" s="143" t="s">
        <v>531</v>
      </c>
      <c r="H70" s="643"/>
      <c r="I70" s="643"/>
      <c r="J70" s="643"/>
      <c r="K70" s="644"/>
      <c r="L70" s="645"/>
      <c r="M70" s="646"/>
      <c r="N70" s="1764"/>
      <c r="O70" s="1764"/>
      <c r="P70" s="1771"/>
      <c r="Q70" s="1760"/>
      <c r="R70" s="1739"/>
      <c r="S70" s="1739"/>
      <c r="T70" s="1739"/>
      <c r="U70" s="1739"/>
      <c r="V70" s="1739"/>
      <c r="W70" s="1739"/>
      <c r="X70" s="1739"/>
      <c r="Y70" s="1739"/>
      <c r="Z70" s="1739"/>
      <c r="AA70" s="1739"/>
      <c r="AB70" s="1739"/>
      <c r="AC70" s="1739"/>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5"/>
      <c r="O71" s="1765"/>
      <c r="P71" s="1763"/>
      <c r="Q71" s="1760"/>
      <c r="R71" s="1739"/>
      <c r="S71" s="1739"/>
      <c r="T71" s="1739"/>
      <c r="U71" s="1739"/>
      <c r="V71" s="1739"/>
      <c r="W71" s="1739"/>
      <c r="X71" s="1739"/>
      <c r="Y71" s="1739"/>
      <c r="Z71" s="1739"/>
      <c r="AA71" s="1739"/>
      <c r="AB71" s="1739"/>
      <c r="AC71" s="1739"/>
    </row>
    <row r="72" spans="1:29" ht="15.75" thickTop="1">
      <c r="A72" s="480"/>
      <c r="B72" s="613" t="s">
        <v>534</v>
      </c>
      <c r="C72" s="647" t="s">
        <v>527</v>
      </c>
      <c r="D72" s="647" t="s">
        <v>528</v>
      </c>
      <c r="E72" s="647" t="s">
        <v>529</v>
      </c>
      <c r="F72" s="647" t="s">
        <v>530</v>
      </c>
      <c r="G72" s="647" t="s">
        <v>531</v>
      </c>
      <c r="H72" s="614"/>
      <c r="I72" s="614"/>
      <c r="J72" s="614"/>
      <c r="K72" s="615"/>
      <c r="L72" s="616"/>
      <c r="M72" s="617"/>
      <c r="N72" s="1764"/>
      <c r="O72" s="1764"/>
      <c r="P72" s="1763"/>
      <c r="Q72" s="1760"/>
      <c r="R72" s="1739"/>
      <c r="S72" s="1739"/>
      <c r="T72" s="1739"/>
      <c r="U72" s="1739"/>
      <c r="V72" s="1739"/>
      <c r="W72" s="1739"/>
      <c r="X72" s="1739"/>
      <c r="Y72" s="1739"/>
      <c r="Z72" s="1739"/>
      <c r="AA72" s="1739"/>
      <c r="AB72" s="1739"/>
      <c r="AC72" s="1739"/>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5"/>
      <c r="O73" s="1765"/>
      <c r="P73" s="1763"/>
      <c r="Q73" s="1760"/>
      <c r="R73" s="1739"/>
      <c r="S73" s="1739"/>
      <c r="T73" s="1739"/>
      <c r="U73" s="1739"/>
      <c r="V73" s="1739"/>
      <c r="W73" s="1739"/>
      <c r="X73" s="1739"/>
      <c r="Y73" s="1739"/>
      <c r="Z73" s="1739"/>
      <c r="AA73" s="1739"/>
      <c r="AB73" s="1739"/>
      <c r="AC73" s="1739"/>
    </row>
    <row r="74" spans="1:29" ht="15.75" thickTop="1">
      <c r="A74" s="480"/>
      <c r="B74" s="1552" t="s">
        <v>1838</v>
      </c>
      <c r="C74" s="647" t="s">
        <v>527</v>
      </c>
      <c r="D74" s="647" t="s">
        <v>528</v>
      </c>
      <c r="E74" s="647" t="s">
        <v>529</v>
      </c>
      <c r="F74" s="647" t="s">
        <v>530</v>
      </c>
      <c r="G74" s="647" t="s">
        <v>531</v>
      </c>
      <c r="H74" s="614"/>
      <c r="I74" s="614"/>
      <c r="J74" s="614"/>
      <c r="K74" s="615"/>
      <c r="L74" s="616"/>
      <c r="M74" s="617"/>
      <c r="N74" s="1764"/>
      <c r="O74" s="1764"/>
      <c r="P74" s="1763"/>
      <c r="Q74" s="1760"/>
      <c r="R74" s="1739"/>
      <c r="S74" s="1739"/>
      <c r="T74" s="1739"/>
      <c r="U74" s="1739"/>
      <c r="V74" s="1739"/>
      <c r="W74" s="1739"/>
      <c r="X74" s="1739"/>
      <c r="Y74" s="1739"/>
      <c r="Z74" s="1739"/>
      <c r="AA74" s="1739"/>
      <c r="AB74" s="1739"/>
      <c r="AC74" s="1739"/>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5"/>
      <c r="O75" s="1765"/>
      <c r="P75" s="1763"/>
      <c r="Q75" s="1760"/>
      <c r="R75" s="1739"/>
      <c r="S75" s="1739"/>
      <c r="T75" s="1739"/>
      <c r="U75" s="1739"/>
      <c r="V75" s="1739"/>
      <c r="W75" s="1739"/>
      <c r="X75" s="1739"/>
      <c r="Y75" s="1739"/>
      <c r="Z75" s="1739"/>
      <c r="AA75" s="1739"/>
      <c r="AB75" s="1739"/>
      <c r="AC75" s="1739"/>
    </row>
    <row r="76" spans="1:29" ht="15.75" thickTop="1">
      <c r="A76" s="480"/>
      <c r="B76" s="2053" t="s">
        <v>1839</v>
      </c>
      <c r="C76" s="2054" t="s">
        <v>1840</v>
      </c>
      <c r="D76" s="2054" t="s">
        <v>1841</v>
      </c>
      <c r="E76" s="2054" t="s">
        <v>1842</v>
      </c>
      <c r="F76" s="2054" t="s">
        <v>1843</v>
      </c>
      <c r="G76" s="2054" t="s">
        <v>1844</v>
      </c>
      <c r="H76" s="853"/>
      <c r="I76" s="853"/>
      <c r="J76" s="853"/>
      <c r="K76" s="853"/>
      <c r="L76" s="853"/>
      <c r="M76" s="507"/>
      <c r="N76" s="1765"/>
      <c r="O76" s="1765"/>
      <c r="P76" s="1763"/>
      <c r="Q76" s="1760"/>
      <c r="R76" s="1739"/>
      <c r="S76" s="1739"/>
      <c r="T76" s="1739"/>
      <c r="U76" s="1739"/>
      <c r="V76" s="1739"/>
      <c r="W76" s="1739"/>
      <c r="X76" s="1739"/>
      <c r="Y76" s="1739"/>
      <c r="Z76" s="1739"/>
      <c r="AA76" s="1739"/>
      <c r="AB76" s="1739"/>
      <c r="AC76" s="1739"/>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724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s="1057" customFormat="1" ht="15.75" thickTop="1">
      <c r="A80" s="484"/>
      <c r="B80" s="613">
        <f>B25</f>
        <v>111</v>
      </c>
      <c r="C80" s="628"/>
      <c r="D80" s="628"/>
      <c r="E80" s="628"/>
      <c r="F80" s="628"/>
      <c r="G80" s="628"/>
      <c r="H80" s="628"/>
      <c r="I80" s="628"/>
      <c r="J80" s="628"/>
      <c r="K80" s="628"/>
      <c r="L80" s="812"/>
      <c r="M80" s="813"/>
      <c r="N80" s="1763"/>
      <c r="O80" s="1763"/>
      <c r="P80" s="1763"/>
      <c r="Q80" s="1760"/>
      <c r="R80" s="1637"/>
      <c r="S80" s="1637"/>
      <c r="T80" s="1637"/>
      <c r="U80" s="1637"/>
      <c r="V80" s="1637"/>
      <c r="W80" s="1637"/>
      <c r="X80" s="1637"/>
      <c r="Y80" s="1637"/>
      <c r="Z80" s="1637"/>
      <c r="AA80" s="1637"/>
      <c r="AB80" s="1637"/>
      <c r="AC80" s="1637"/>
    </row>
    <row r="81" spans="1:29" s="1057" customFormat="1" ht="15.75" thickBot="1">
      <c r="A81" s="484"/>
      <c r="B81" s="618"/>
      <c r="C81" s="632"/>
      <c r="D81" s="611"/>
      <c r="E81" s="611"/>
      <c r="F81" s="611"/>
      <c r="G81" s="611"/>
      <c r="H81" s="611"/>
      <c r="I81" s="611"/>
      <c r="J81" s="611"/>
      <c r="K81" s="611"/>
      <c r="L81" s="611"/>
      <c r="M81" s="612"/>
      <c r="N81" s="1765"/>
      <c r="O81" s="1765"/>
      <c r="P81" s="1763"/>
      <c r="Q81" s="1760"/>
      <c r="R81" s="1637"/>
      <c r="S81" s="1637"/>
      <c r="T81" s="1637"/>
      <c r="U81" s="1637"/>
      <c r="V81" s="1637"/>
      <c r="W81" s="1637"/>
      <c r="X81" s="1637"/>
      <c r="Y81" s="1637"/>
      <c r="Z81" s="1637"/>
      <c r="AA81" s="1637"/>
      <c r="AB81" s="1637"/>
      <c r="AC81" s="1637"/>
    </row>
    <row r="82" spans="1:29" s="1057" customFormat="1" ht="15.75" thickTop="1">
      <c r="A82" s="484"/>
      <c r="B82" s="613">
        <f>B26</f>
        <v>111</v>
      </c>
      <c r="C82" s="628"/>
      <c r="D82" s="628"/>
      <c r="E82" s="628"/>
      <c r="F82" s="628"/>
      <c r="G82" s="628"/>
      <c r="H82" s="628"/>
      <c r="I82" s="628"/>
      <c r="J82" s="628"/>
      <c r="K82" s="628"/>
      <c r="L82" s="812"/>
      <c r="M82" s="813"/>
      <c r="N82" s="1763"/>
      <c r="O82" s="1763"/>
      <c r="P82" s="1763"/>
      <c r="Q82" s="1760"/>
      <c r="R82" s="1637"/>
      <c r="S82" s="1637"/>
      <c r="T82" s="1637"/>
      <c r="U82" s="1637"/>
      <c r="V82" s="1637"/>
      <c r="W82" s="1637"/>
      <c r="X82" s="1637"/>
      <c r="Y82" s="1637"/>
      <c r="Z82" s="1637"/>
      <c r="AA82" s="1637"/>
      <c r="AB82" s="1637"/>
      <c r="AC82" s="1637"/>
    </row>
    <row r="83" spans="1:29" s="1057" customFormat="1" ht="15.75" thickBot="1">
      <c r="A83" s="484"/>
      <c r="B83" s="618"/>
      <c r="C83" s="632"/>
      <c r="D83" s="611"/>
      <c r="E83" s="611"/>
      <c r="F83" s="611"/>
      <c r="G83" s="611"/>
      <c r="H83" s="611"/>
      <c r="I83" s="611"/>
      <c r="J83" s="611"/>
      <c r="K83" s="611"/>
      <c r="L83" s="611"/>
      <c r="M83" s="612"/>
      <c r="N83" s="1765"/>
      <c r="O83" s="1765"/>
      <c r="P83" s="1763"/>
      <c r="Q83" s="1760"/>
      <c r="R83" s="1637"/>
      <c r="S83" s="1637"/>
      <c r="T83" s="1637"/>
      <c r="U83" s="1637"/>
      <c r="V83" s="1637"/>
      <c r="W83" s="1637"/>
      <c r="X83" s="1637"/>
      <c r="Y83" s="1637"/>
      <c r="Z83" s="1637"/>
      <c r="AA83" s="1637"/>
      <c r="AB83" s="1637"/>
      <c r="AC83" s="1637"/>
    </row>
    <row r="84" spans="1:29" s="1131" customFormat="1" ht="15.75" thickTop="1">
      <c r="A84" s="627"/>
      <c r="B84" s="613">
        <f>B27</f>
        <v>111</v>
      </c>
      <c r="C84" s="628"/>
      <c r="D84" s="628"/>
      <c r="E84" s="628"/>
      <c r="F84" s="628"/>
      <c r="G84" s="628"/>
      <c r="H84" s="628"/>
      <c r="I84" s="628"/>
      <c r="J84" s="628"/>
      <c r="K84" s="628"/>
      <c r="L84" s="812"/>
      <c r="M84" s="813"/>
      <c r="N84" s="1766"/>
      <c r="O84" s="1766"/>
      <c r="P84" s="1766"/>
      <c r="Q84" s="1767"/>
      <c r="R84" s="1768"/>
      <c r="S84" s="1768"/>
      <c r="T84" s="1768"/>
      <c r="U84" s="1768"/>
      <c r="V84" s="1768"/>
      <c r="W84" s="1768"/>
      <c r="X84" s="1768"/>
      <c r="Y84" s="1768"/>
      <c r="Z84" s="1768"/>
      <c r="AA84" s="1768"/>
      <c r="AB84" s="1768"/>
      <c r="AC84" s="1768"/>
    </row>
    <row r="85" spans="1:29" s="1131" customFormat="1" ht="15.75" thickBot="1">
      <c r="A85" s="627"/>
      <c r="B85" s="618"/>
      <c r="C85" s="632"/>
      <c r="D85" s="611"/>
      <c r="E85" s="611"/>
      <c r="F85" s="611"/>
      <c r="G85" s="611"/>
      <c r="H85" s="611"/>
      <c r="I85" s="611"/>
      <c r="J85" s="611"/>
      <c r="K85" s="611"/>
      <c r="L85" s="611"/>
      <c r="M85" s="612"/>
      <c r="N85" s="1766"/>
      <c r="O85" s="1766"/>
      <c r="P85" s="1766"/>
      <c r="Q85" s="1767"/>
      <c r="R85" s="1768"/>
      <c r="S85" s="1768"/>
      <c r="T85" s="1768"/>
      <c r="U85" s="1768"/>
      <c r="V85" s="1768"/>
      <c r="W85" s="1768"/>
      <c r="X85" s="1768"/>
      <c r="Y85" s="1768"/>
      <c r="Z85" s="1768"/>
      <c r="AA85" s="1768"/>
      <c r="AB85" s="1768"/>
      <c r="AC85" s="1768"/>
    </row>
    <row r="86" spans="1:29" ht="15.75" thickTop="1">
      <c r="A86" s="480"/>
      <c r="B86" s="621">
        <f>B28</f>
        <v>111</v>
      </c>
      <c r="C86" s="80"/>
      <c r="D86" s="80"/>
      <c r="E86" s="80"/>
      <c r="F86" s="80"/>
      <c r="G86" s="660"/>
      <c r="H86" s="660"/>
      <c r="I86" s="660"/>
      <c r="J86" s="660"/>
      <c r="K86" s="661"/>
      <c r="L86" s="662"/>
      <c r="M86" s="663"/>
      <c r="N86" s="1764"/>
      <c r="O86" s="1764"/>
      <c r="P86" s="1763"/>
      <c r="Q86" s="1760"/>
      <c r="R86" s="1739"/>
      <c r="S86" s="1739"/>
      <c r="T86" s="1739"/>
      <c r="U86" s="1739"/>
      <c r="V86" s="1739"/>
      <c r="W86" s="1739"/>
      <c r="X86" s="1739"/>
      <c r="Y86" s="1739"/>
      <c r="Z86" s="1739"/>
      <c r="AA86" s="1739"/>
      <c r="AB86" s="1739"/>
      <c r="AC86" s="1739"/>
    </row>
    <row r="87" spans="1:29" ht="15.75" thickBot="1">
      <c r="A87" s="491"/>
      <c r="B87" s="639"/>
      <c r="C87" s="640"/>
      <c r="D87" s="640"/>
      <c r="E87" s="640"/>
      <c r="F87" s="640"/>
      <c r="G87" s="664"/>
      <c r="H87" s="664"/>
      <c r="I87" s="664"/>
      <c r="J87" s="664"/>
      <c r="K87" s="664"/>
      <c r="L87" s="664"/>
      <c r="M87" s="665"/>
      <c r="N87" s="1765"/>
      <c r="O87" s="1765"/>
      <c r="P87" s="1763"/>
      <c r="Q87" s="1760"/>
      <c r="R87" s="1739"/>
      <c r="S87" s="1739"/>
      <c r="T87" s="1739"/>
      <c r="U87" s="1739"/>
      <c r="V87" s="1739"/>
      <c r="W87" s="1739"/>
      <c r="X87" s="1739"/>
      <c r="Y87" s="1739"/>
      <c r="Z87" s="1739"/>
      <c r="AA87" s="1739"/>
      <c r="AB87" s="1739"/>
      <c r="AC87" s="1739"/>
    </row>
    <row r="88" spans="1:29">
      <c r="A88" s="605" t="s">
        <v>500</v>
      </c>
      <c r="B88" s="606" t="s">
        <v>687</v>
      </c>
      <c r="C88" s="545"/>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5"/>
      <c r="O89" s="1765"/>
      <c r="P89" s="1763"/>
      <c r="Q89" s="1760"/>
      <c r="R89" s="1739"/>
      <c r="S89" s="1739"/>
      <c r="T89" s="1739"/>
      <c r="U89" s="1739"/>
      <c r="V89" s="1739"/>
      <c r="W89" s="1739"/>
      <c r="X89" s="1739"/>
      <c r="Y89" s="1739"/>
      <c r="Z89" s="1739"/>
      <c r="AA89" s="1739"/>
      <c r="AB89" s="1739"/>
      <c r="AC89" s="1739"/>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3"/>
      <c r="O90" s="1763"/>
      <c r="P90" s="1763"/>
      <c r="Q90" s="1760"/>
      <c r="R90" s="1739"/>
      <c r="S90" s="1739"/>
      <c r="T90" s="1739"/>
      <c r="U90" s="1739"/>
      <c r="V90" s="1739"/>
      <c r="W90" s="1739"/>
      <c r="X90" s="1739"/>
      <c r="Y90" s="1739"/>
      <c r="Z90" s="1739"/>
      <c r="AA90" s="1739"/>
      <c r="AB90" s="1739"/>
      <c r="AC90" s="1739"/>
    </row>
    <row r="91" spans="1:29" s="1131" customFormat="1">
      <c r="A91" s="550"/>
      <c r="B91" s="666"/>
      <c r="C91" s="79"/>
      <c r="D91" s="79"/>
      <c r="E91" s="79"/>
      <c r="F91" s="79"/>
      <c r="G91" s="79"/>
      <c r="H91" s="79"/>
      <c r="I91" s="79"/>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1" customFormat="1" ht="15.75" thickBot="1">
      <c r="A92" s="627"/>
      <c r="B92" s="618"/>
      <c r="C92" s="632"/>
      <c r="D92" s="611"/>
      <c r="E92" s="611"/>
      <c r="F92" s="611"/>
      <c r="G92" s="611"/>
      <c r="H92" s="611"/>
      <c r="I92" s="611"/>
      <c r="J92" s="611"/>
      <c r="K92" s="611"/>
      <c r="L92" s="611"/>
      <c r="M92" s="612"/>
      <c r="N92" s="1765"/>
      <c r="O92" s="1765"/>
      <c r="P92" s="1766"/>
      <c r="Q92" s="1767"/>
      <c r="R92" s="1768"/>
      <c r="S92" s="1768"/>
      <c r="T92" s="1768"/>
      <c r="U92" s="1768"/>
      <c r="V92" s="1768"/>
      <c r="W92" s="1768"/>
      <c r="X92" s="1768"/>
      <c r="Y92" s="1768"/>
      <c r="Z92" s="1768"/>
      <c r="AA92" s="1768"/>
      <c r="AB92" s="1768"/>
      <c r="AC92" s="1768"/>
    </row>
    <row r="93" spans="1:29" ht="15" thickTop="1">
      <c r="A93" s="541"/>
      <c r="B93" s="613" t="s">
        <v>689</v>
      </c>
      <c r="C93" s="628"/>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1"/>
      <c r="B95" s="613" t="s">
        <v>691</v>
      </c>
      <c r="C95" s="628"/>
      <c r="D95" s="628"/>
      <c r="E95" s="628"/>
      <c r="F95" s="656"/>
      <c r="G95" s="656"/>
      <c r="H95" s="656"/>
      <c r="I95" s="656"/>
      <c r="J95" s="656"/>
      <c r="K95" s="657"/>
      <c r="L95" s="658"/>
      <c r="M95" s="659"/>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4"/>
      <c r="O97" s="1764"/>
      <c r="P97" s="1763"/>
      <c r="Q97" s="1760"/>
      <c r="R97" s="1739"/>
      <c r="S97" s="1739"/>
      <c r="T97" s="1739"/>
      <c r="U97" s="1739"/>
      <c r="V97" s="1739"/>
      <c r="W97" s="1739"/>
      <c r="X97" s="1739"/>
      <c r="Y97" s="1739"/>
      <c r="Z97" s="1739"/>
      <c r="AA97" s="1739"/>
      <c r="AB97" s="1739"/>
      <c r="AC97" s="1739"/>
    </row>
    <row r="98" spans="1:29">
      <c r="A98" s="541"/>
      <c r="B98" s="621"/>
      <c r="C98" s="815">
        <v>0.5</v>
      </c>
      <c r="D98" s="815">
        <v>0.6</v>
      </c>
      <c r="E98" s="815">
        <v>0.7</v>
      </c>
      <c r="F98" s="815">
        <v>0.8</v>
      </c>
      <c r="G98" s="815">
        <v>0.9</v>
      </c>
      <c r="H98" s="815">
        <v>1.0001</v>
      </c>
      <c r="I98" s="825"/>
      <c r="J98" s="825"/>
      <c r="K98" s="826"/>
      <c r="L98" s="827"/>
      <c r="M98" s="828"/>
      <c r="N98" s="1764"/>
      <c r="O98" s="1764"/>
      <c r="P98" s="1763"/>
      <c r="Q98" s="1760"/>
      <c r="R98" s="1739"/>
      <c r="S98" s="1739"/>
      <c r="T98" s="1739"/>
      <c r="U98" s="1739"/>
      <c r="V98" s="1739"/>
      <c r="W98" s="1739"/>
      <c r="X98" s="1739"/>
      <c r="Y98" s="1739"/>
      <c r="Z98" s="1739"/>
      <c r="AA98" s="1739"/>
      <c r="AB98" s="1739"/>
      <c r="AC98" s="1739"/>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5"/>
      <c r="O99" s="1765"/>
      <c r="P99" s="1763"/>
      <c r="Q99" s="1760"/>
      <c r="R99" s="1739"/>
      <c r="S99" s="1739"/>
      <c r="T99" s="1739"/>
      <c r="U99" s="1739"/>
      <c r="V99" s="1739"/>
      <c r="W99" s="1739"/>
      <c r="X99" s="1739"/>
      <c r="Y99" s="1739"/>
      <c r="Z99" s="1739"/>
      <c r="AA99" s="1739"/>
      <c r="AB99" s="1739"/>
      <c r="AC99" s="1739"/>
    </row>
    <row r="100" spans="1:29" s="1131" customFormat="1" ht="15" thickTop="1">
      <c r="A100" s="550"/>
      <c r="B100" s="613" t="s">
        <v>693</v>
      </c>
      <c r="C100" s="628"/>
      <c r="D100" s="628"/>
      <c r="E100" s="628"/>
      <c r="F100" s="628"/>
      <c r="G100" s="628"/>
      <c r="H100" s="656"/>
      <c r="I100" s="656"/>
      <c r="J100" s="656"/>
      <c r="K100" s="657"/>
      <c r="L100" s="658"/>
      <c r="M100" s="659"/>
      <c r="N100" s="1766"/>
      <c r="O100" s="1766"/>
      <c r="P100" s="1766"/>
      <c r="Q100" s="1767"/>
      <c r="R100" s="1768"/>
      <c r="S100" s="1768"/>
      <c r="T100" s="1768"/>
      <c r="U100" s="1768"/>
      <c r="V100" s="1768"/>
      <c r="W100" s="1768"/>
      <c r="X100" s="1768"/>
      <c r="Y100" s="1768"/>
      <c r="Z100" s="1768"/>
      <c r="AA100" s="1768"/>
      <c r="AB100" s="1768"/>
      <c r="AC100" s="1768"/>
    </row>
    <row r="101" spans="1:29" s="1131"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1"/>
      <c r="B102" s="1552" t="s">
        <v>1837</v>
      </c>
      <c r="C102" s="628"/>
      <c r="D102" s="628"/>
      <c r="E102" s="628"/>
      <c r="F102" s="628"/>
      <c r="G102" s="628"/>
      <c r="H102" s="656"/>
      <c r="I102" s="656"/>
      <c r="J102" s="656"/>
      <c r="K102" s="657"/>
      <c r="L102" s="658"/>
      <c r="M102" s="659"/>
      <c r="N102" s="1764"/>
      <c r="O102" s="1764"/>
      <c r="P102" s="1763"/>
      <c r="Q102" s="1760"/>
      <c r="R102" s="1739"/>
      <c r="S102" s="1739"/>
      <c r="T102" s="1739"/>
      <c r="U102" s="1739"/>
      <c r="V102" s="1739"/>
      <c r="W102" s="1739"/>
      <c r="X102" s="1739"/>
      <c r="Y102" s="1739"/>
      <c r="Z102" s="1739"/>
      <c r="AA102" s="1739"/>
      <c r="AB102" s="1739"/>
      <c r="AC102" s="1739"/>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1"/>
      <c r="B104" s="613" t="s">
        <v>695</v>
      </c>
      <c r="C104" s="628"/>
      <c r="D104" s="628"/>
      <c r="E104" s="628"/>
      <c r="F104" s="628"/>
      <c r="G104" s="628"/>
      <c r="H104" s="656"/>
      <c r="I104" s="656"/>
      <c r="J104" s="656"/>
      <c r="K104" s="657"/>
      <c r="L104" s="658"/>
      <c r="M104" s="659"/>
      <c r="N104" s="1764"/>
      <c r="O104" s="1764"/>
      <c r="P104" s="1763"/>
      <c r="Q104" s="1760"/>
      <c r="R104" s="1739"/>
      <c r="S104" s="1739"/>
      <c r="T104" s="1739"/>
      <c r="U104" s="1739"/>
      <c r="V104" s="1739"/>
      <c r="W104" s="1739"/>
      <c r="X104" s="1739"/>
      <c r="Y104" s="1739"/>
      <c r="Z104" s="1739"/>
      <c r="AA104" s="1739"/>
      <c r="AB104" s="1739"/>
      <c r="AC104" s="1739"/>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5"/>
      <c r="O105" s="1765"/>
      <c r="P105" s="1763"/>
      <c r="Q105" s="1760"/>
      <c r="R105" s="1739"/>
      <c r="S105" s="1739"/>
      <c r="T105" s="1739"/>
      <c r="U105" s="1739"/>
      <c r="V105" s="1739"/>
      <c r="W105" s="1739"/>
      <c r="X105" s="1739"/>
      <c r="Y105" s="1739"/>
      <c r="Z105" s="1739"/>
      <c r="AA105" s="1739"/>
      <c r="AB105" s="1739"/>
      <c r="AC105" s="1739"/>
    </row>
    <row r="106" spans="1:29" ht="27.75" thickTop="1">
      <c r="A106" s="541"/>
      <c r="B106" s="836" t="s">
        <v>731</v>
      </c>
      <c r="C106" s="647" t="s">
        <v>527</v>
      </c>
      <c r="D106" s="647" t="s">
        <v>528</v>
      </c>
      <c r="E106" s="647" t="s">
        <v>529</v>
      </c>
      <c r="F106" s="647" t="s">
        <v>530</v>
      </c>
      <c r="G106" s="647" t="s">
        <v>531</v>
      </c>
      <c r="H106" s="614"/>
      <c r="I106" s="614"/>
      <c r="J106" s="614"/>
      <c r="K106" s="615"/>
      <c r="L106" s="616"/>
      <c r="M106" s="617"/>
      <c r="N106" s="1765"/>
      <c r="O106" s="1765"/>
      <c r="P106" s="1765"/>
      <c r="Q106" s="1800"/>
      <c r="R106" s="1739"/>
      <c r="S106" s="1739"/>
      <c r="T106" s="1739"/>
      <c r="U106" s="1739"/>
      <c r="V106" s="1739"/>
      <c r="W106" s="1739"/>
      <c r="X106" s="1739"/>
      <c r="Y106" s="1739"/>
      <c r="Z106" s="1739"/>
      <c r="AA106" s="1739"/>
      <c r="AB106" s="1739"/>
      <c r="AC106" s="1739"/>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5"/>
      <c r="O107" s="1765"/>
      <c r="P107" s="1763"/>
      <c r="Q107" s="1760"/>
      <c r="R107" s="1739"/>
      <c r="S107" s="1739"/>
      <c r="T107" s="1739"/>
      <c r="U107" s="1739"/>
      <c r="V107" s="1739"/>
      <c r="W107" s="1739"/>
      <c r="X107" s="1739"/>
      <c r="Y107" s="1739"/>
      <c r="Z107" s="1739"/>
      <c r="AA107" s="1739"/>
      <c r="AB107" s="1739"/>
      <c r="AC107" s="1739"/>
    </row>
    <row r="108" spans="1:29" s="1131" customFormat="1" ht="15" thickTop="1">
      <c r="A108" s="550"/>
      <c r="B108" s="613">
        <f>B38</f>
        <v>111</v>
      </c>
      <c r="C108" s="628"/>
      <c r="D108" s="628"/>
      <c r="E108" s="628"/>
      <c r="F108" s="628"/>
      <c r="G108" s="628"/>
      <c r="H108" s="629"/>
      <c r="I108" s="629"/>
      <c r="J108" s="629"/>
      <c r="K108" s="629"/>
      <c r="L108" s="630"/>
      <c r="M108" s="631"/>
      <c r="N108" s="1766"/>
      <c r="O108" s="1766"/>
      <c r="P108" s="1766"/>
      <c r="Q108" s="1767"/>
      <c r="R108" s="1768"/>
      <c r="S108" s="1768"/>
      <c r="T108" s="1768"/>
      <c r="U108" s="1768"/>
      <c r="V108" s="1768"/>
      <c r="W108" s="1768"/>
      <c r="X108" s="1768"/>
      <c r="Y108" s="1768"/>
      <c r="Z108" s="1768"/>
      <c r="AA108" s="1768"/>
      <c r="AB108" s="1768"/>
      <c r="AC108" s="1768"/>
    </row>
    <row r="109" spans="1:29" s="1131" customFormat="1" ht="15.75" thickBot="1">
      <c r="A109" s="627"/>
      <c r="B109" s="610"/>
      <c r="C109" s="632"/>
      <c r="D109" s="611"/>
      <c r="E109" s="611"/>
      <c r="F109" s="611"/>
      <c r="G109" s="632"/>
      <c r="H109" s="633"/>
      <c r="I109" s="633"/>
      <c r="J109" s="633"/>
      <c r="K109" s="633"/>
      <c r="L109" s="633"/>
      <c r="M109" s="634"/>
      <c r="N109" s="1766"/>
      <c r="O109" s="1766"/>
      <c r="P109" s="1766"/>
      <c r="Q109" s="1767"/>
      <c r="R109" s="1768"/>
      <c r="S109" s="1768"/>
      <c r="T109" s="1768"/>
      <c r="U109" s="1768"/>
      <c r="V109" s="1768"/>
      <c r="W109" s="1768"/>
      <c r="X109" s="1768"/>
      <c r="Y109" s="1768"/>
      <c r="Z109" s="1768"/>
      <c r="AA109" s="1768"/>
      <c r="AB109" s="1768"/>
      <c r="AC109" s="1768"/>
    </row>
    <row r="110" spans="1:29" ht="15" thickTop="1">
      <c r="A110" s="541"/>
      <c r="B110" s="613">
        <f>B39</f>
        <v>111</v>
      </c>
      <c r="C110" s="628"/>
      <c r="D110" s="628"/>
      <c r="E110" s="628"/>
      <c r="F110" s="628"/>
      <c r="G110" s="628"/>
      <c r="H110" s="629"/>
      <c r="I110" s="629"/>
      <c r="J110" s="629"/>
      <c r="K110" s="629"/>
      <c r="L110" s="630"/>
      <c r="M110" s="631"/>
      <c r="N110" s="1764"/>
      <c r="O110" s="1764"/>
      <c r="P110" s="1763"/>
      <c r="Q110" s="1760"/>
      <c r="R110" s="1739"/>
      <c r="S110" s="1739"/>
      <c r="T110" s="1739"/>
      <c r="U110" s="1739"/>
      <c r="V110" s="1739"/>
      <c r="W110" s="1739"/>
      <c r="X110" s="1739"/>
      <c r="Y110" s="1739"/>
      <c r="Z110" s="1739"/>
      <c r="AA110" s="1739"/>
      <c r="AB110" s="1739"/>
      <c r="AC110" s="1739"/>
    </row>
    <row r="111" spans="1:29" ht="15.75" thickBot="1">
      <c r="A111" s="480"/>
      <c r="B111" s="618"/>
      <c r="C111" s="632"/>
      <c r="D111" s="611"/>
      <c r="E111" s="611"/>
      <c r="F111" s="611"/>
      <c r="G111" s="632"/>
      <c r="H111" s="633"/>
      <c r="I111" s="633"/>
      <c r="J111" s="633"/>
      <c r="K111" s="633"/>
      <c r="L111" s="633"/>
      <c r="M111" s="634"/>
      <c r="N111" s="1765"/>
      <c r="O111" s="1765"/>
      <c r="P111" s="1763"/>
      <c r="Q111" s="1760"/>
      <c r="R111" s="1739"/>
      <c r="S111" s="1739"/>
      <c r="T111" s="1739"/>
      <c r="U111" s="1739"/>
      <c r="V111" s="1739"/>
      <c r="W111" s="1739"/>
      <c r="X111" s="1739"/>
      <c r="Y111" s="1739"/>
      <c r="Z111" s="1739"/>
      <c r="AA111" s="1739"/>
      <c r="AB111" s="1739"/>
      <c r="AC111" s="1739"/>
    </row>
    <row r="112" spans="1:29" ht="15" thickTop="1">
      <c r="A112" s="541"/>
      <c r="B112" s="621">
        <f>B40</f>
        <v>111</v>
      </c>
      <c r="C112" s="80"/>
      <c r="D112" s="80"/>
      <c r="E112" s="80"/>
      <c r="F112" s="80"/>
      <c r="G112" s="660"/>
      <c r="H112" s="660"/>
      <c r="I112" s="660"/>
      <c r="J112" s="660"/>
      <c r="K112" s="80"/>
      <c r="L112" s="603"/>
      <c r="M112" s="663"/>
      <c r="N112" s="1764"/>
      <c r="O112" s="1764"/>
      <c r="P112" s="1763"/>
      <c r="Q112" s="1760"/>
      <c r="R112" s="1739"/>
      <c r="S112" s="1739"/>
      <c r="T112" s="1739"/>
      <c r="U112" s="1739"/>
      <c r="V112" s="1739"/>
      <c r="W112" s="1739"/>
      <c r="X112" s="1739"/>
      <c r="Y112" s="1739"/>
      <c r="Z112" s="1739"/>
      <c r="AA112" s="1739"/>
      <c r="AB112" s="1739"/>
      <c r="AC112" s="1739"/>
    </row>
    <row r="113" spans="1:29" ht="15.75" thickBot="1">
      <c r="A113" s="491"/>
      <c r="B113" s="639"/>
      <c r="C113" s="640"/>
      <c r="D113" s="640"/>
      <c r="E113" s="640"/>
      <c r="F113" s="640"/>
      <c r="G113" s="664"/>
      <c r="H113" s="664"/>
      <c r="I113" s="664"/>
      <c r="J113" s="664"/>
      <c r="K113" s="664"/>
      <c r="L113" s="664"/>
      <c r="M113" s="665"/>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1" t="s">
        <v>665</v>
      </c>
      <c r="B1" s="842"/>
      <c r="C1" s="453" t="s">
        <v>732</v>
      </c>
      <c r="D1" s="781"/>
      <c r="E1" s="455"/>
      <c r="F1" s="2115"/>
      <c r="G1" s="1325" t="s">
        <v>733</v>
      </c>
      <c r="H1" s="455"/>
      <c r="I1" s="455"/>
      <c r="J1" s="455"/>
      <c r="K1" s="456"/>
      <c r="L1" s="2712"/>
      <c r="M1" s="2713"/>
      <c r="N1" s="2713"/>
      <c r="O1" s="2713"/>
      <c r="P1" s="1737"/>
      <c r="Q1" s="1737"/>
      <c r="R1" s="1737"/>
      <c r="S1" s="1737"/>
      <c r="T1" s="1737"/>
      <c r="U1" s="1737"/>
      <c r="V1" s="1737"/>
      <c r="W1" s="1737"/>
      <c r="X1" s="1737"/>
      <c r="Y1" s="1737"/>
      <c r="Z1" s="1737"/>
      <c r="AA1" s="1737"/>
      <c r="AB1" s="1737"/>
      <c r="AC1" s="1671"/>
    </row>
    <row r="2" spans="1:29" s="1128" customFormat="1" ht="28.5" customHeight="1">
      <c r="A2" s="391" t="s">
        <v>734</v>
      </c>
      <c r="B2" s="782"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735</v>
      </c>
      <c r="B3" s="459" t="e">
        <f>C37</f>
        <v>#DIV/0!</v>
      </c>
      <c r="C3" s="784" t="s">
        <v>736</v>
      </c>
      <c r="D3" s="783">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4"/>
      <c r="AC3" s="1671"/>
    </row>
    <row r="4" spans="1:29" ht="15">
      <c r="A4" s="461" t="s">
        <v>737</v>
      </c>
      <c r="B4" s="462"/>
      <c r="C4" s="3648" t="s">
        <v>738</v>
      </c>
      <c r="D4" s="3649"/>
      <c r="E4" s="3688" t="s">
        <v>739</v>
      </c>
      <c r="F4" s="3689"/>
      <c r="G4" s="3648" t="s">
        <v>740</v>
      </c>
      <c r="H4" s="3649"/>
      <c r="I4" s="3648" t="s">
        <v>741</v>
      </c>
      <c r="J4" s="3649"/>
      <c r="K4" s="463" t="s">
        <v>742</v>
      </c>
      <c r="L4" s="1738"/>
      <c r="M4" s="1739"/>
      <c r="N4" s="1739"/>
      <c r="O4" s="1739"/>
      <c r="P4" s="3650" t="s">
        <v>743</v>
      </c>
      <c r="Q4" s="3651"/>
      <c r="R4" s="3656" t="s">
        <v>739</v>
      </c>
      <c r="S4" s="3657"/>
      <c r="T4" s="3656" t="s">
        <v>740</v>
      </c>
      <c r="U4" s="3657"/>
      <c r="V4" s="3643" t="s">
        <v>741</v>
      </c>
      <c r="W4" s="3643"/>
      <c r="X4" s="1299"/>
      <c r="Y4" s="3656" t="s">
        <v>743</v>
      </c>
      <c r="Z4" s="3657"/>
      <c r="AA4" s="3645" t="s">
        <v>739</v>
      </c>
      <c r="AB4" s="3646" t="s">
        <v>740</v>
      </c>
      <c r="AC4" s="3645" t="s">
        <v>741</v>
      </c>
    </row>
    <row r="5" spans="1:29" ht="15">
      <c r="A5" s="464"/>
      <c r="B5" s="465"/>
      <c r="C5" s="3664" t="s">
        <v>2185</v>
      </c>
      <c r="D5" s="3665"/>
      <c r="E5" s="3690" t="s">
        <v>2186</v>
      </c>
      <c r="F5" s="3691"/>
      <c r="G5" s="3664" t="s">
        <v>2187</v>
      </c>
      <c r="H5" s="3665"/>
      <c r="I5" s="3664" t="s">
        <v>2188</v>
      </c>
      <c r="J5" s="3665"/>
      <c r="K5" s="463"/>
      <c r="L5" s="1738"/>
      <c r="M5" s="1739"/>
      <c r="N5" s="1739"/>
      <c r="O5" s="1739"/>
      <c r="P5" s="3652"/>
      <c r="Q5" s="3653"/>
      <c r="R5" s="3658"/>
      <c r="S5" s="3659"/>
      <c r="T5" s="3658"/>
      <c r="U5" s="3659"/>
      <c r="V5" s="3643"/>
      <c r="W5" s="3643"/>
      <c r="X5" s="1299"/>
      <c r="Y5" s="3658"/>
      <c r="Z5" s="3659"/>
      <c r="AA5" s="3646"/>
      <c r="AB5" s="3646"/>
      <c r="AC5" s="3646"/>
    </row>
    <row r="6" spans="1:29" ht="15.75" thickBot="1">
      <c r="A6" s="466"/>
      <c r="B6" s="467"/>
      <c r="C6" s="3662" t="s">
        <v>2189</v>
      </c>
      <c r="D6" s="3663"/>
      <c r="E6" s="3686" t="s">
        <v>2189</v>
      </c>
      <c r="F6" s="3687"/>
      <c r="G6" s="3662" t="s">
        <v>2189</v>
      </c>
      <c r="H6" s="3663"/>
      <c r="I6" s="3662" t="s">
        <v>2189</v>
      </c>
      <c r="J6" s="3663"/>
      <c r="K6" s="463" t="s">
        <v>477</v>
      </c>
      <c r="L6" s="1738"/>
      <c r="M6" s="1739"/>
      <c r="N6" s="1739"/>
      <c r="O6" s="1739"/>
      <c r="P6" s="3654"/>
      <c r="Q6" s="3655"/>
      <c r="R6" s="3658"/>
      <c r="S6" s="3659"/>
      <c r="T6" s="3660"/>
      <c r="U6" s="3661"/>
      <c r="V6" s="3643"/>
      <c r="W6" s="3643"/>
      <c r="X6" s="1299"/>
      <c r="Y6" s="3660"/>
      <c r="Z6" s="3661"/>
      <c r="AA6" s="3647"/>
      <c r="AB6" s="3647"/>
      <c r="AC6" s="3647"/>
    </row>
    <row r="7" spans="1:29" s="1057" customFormat="1" ht="15.75" thickBot="1">
      <c r="A7" s="2205"/>
      <c r="B7" s="2212" t="s">
        <v>478</v>
      </c>
      <c r="C7" s="468">
        <f>'数据-取费表'!B2</f>
        <v>45617</v>
      </c>
      <c r="D7" s="469">
        <v>100</v>
      </c>
      <c r="E7" s="470"/>
      <c r="F7" s="471">
        <f>SUMIF(46:46,YEAR(E7)&amp;"-"&amp;MONTH(E7),47:47)</f>
        <v>0</v>
      </c>
      <c r="G7" s="472"/>
      <c r="H7" s="469">
        <f>SUMIF(46:46,YEAR(G7)&amp;"-"&amp;MONTH(G7),47:47)</f>
        <v>0</v>
      </c>
      <c r="I7" s="472"/>
      <c r="J7" s="469">
        <f>SUMIF(46:46,YEAR(I7)&amp;"-"&amp;MONTH(I7),47:47)</f>
        <v>0</v>
      </c>
      <c r="K7" s="88"/>
      <c r="L7" s="1740"/>
      <c r="M7" s="1637"/>
      <c r="N7" s="1637"/>
      <c r="O7" s="1637"/>
      <c r="P7" s="3673" t="s">
        <v>479</v>
      </c>
      <c r="Q7" s="3675"/>
      <c r="R7" s="1300" t="s">
        <v>5</v>
      </c>
      <c r="S7" s="1301">
        <f t="shared" ref="S7:S14" si="0">F7</f>
        <v>0</v>
      </c>
      <c r="T7" s="1300" t="s">
        <v>5</v>
      </c>
      <c r="U7" s="1301">
        <f t="shared" ref="U7:U14" si="1">H7</f>
        <v>0</v>
      </c>
      <c r="V7" s="1300" t="s">
        <v>5</v>
      </c>
      <c r="W7" s="1301">
        <f t="shared" ref="W7:W14" si="2">J7</f>
        <v>0</v>
      </c>
      <c r="X7" s="1302"/>
      <c r="Y7" s="3673" t="s">
        <v>479</v>
      </c>
      <c r="Z7" s="3674"/>
      <c r="AA7" s="994" t="e">
        <f>D7/F7</f>
        <v>#DIV/0!</v>
      </c>
      <c r="AB7" s="994" t="e">
        <f>D7/H7</f>
        <v>#DIV/0!</v>
      </c>
      <c r="AC7" s="994" t="e">
        <f>D7/J7</f>
        <v>#DIV/0!</v>
      </c>
    </row>
    <row r="8" spans="1:29" s="1057" customFormat="1" ht="15.75" thickBot="1">
      <c r="A8" s="2206"/>
      <c r="B8" s="2213" t="s">
        <v>480</v>
      </c>
      <c r="C8" s="473" t="s">
        <v>524</v>
      </c>
      <c r="D8" s="469">
        <v>100</v>
      </c>
      <c r="E8" s="473"/>
      <c r="F8" s="471">
        <f>SUMIF(49:49,E8,50:50)-SUMIF(49:49,C8,50:50)+100</f>
        <v>0</v>
      </c>
      <c r="G8" s="473"/>
      <c r="H8" s="469">
        <f>SUMIF(49:49,G8,50:50)-SUMIF(49:49,C8,50:50)+100</f>
        <v>0</v>
      </c>
      <c r="I8" s="473"/>
      <c r="J8" s="469">
        <f>SUMIF(49:49,I8,50:50)-SUMIF(49:49,C8,50:50)+100</f>
        <v>0</v>
      </c>
      <c r="K8" s="88"/>
      <c r="L8" s="1740"/>
      <c r="M8" s="1637"/>
      <c r="N8" s="1637"/>
      <c r="O8" s="1637"/>
      <c r="P8" s="3673" t="s">
        <v>482</v>
      </c>
      <c r="Q8" s="3674"/>
      <c r="R8" s="1300" t="s">
        <v>5</v>
      </c>
      <c r="S8" s="1301">
        <f t="shared" si="0"/>
        <v>0</v>
      </c>
      <c r="T8" s="1300" t="s">
        <v>5</v>
      </c>
      <c r="U8" s="1301">
        <f t="shared" si="1"/>
        <v>0</v>
      </c>
      <c r="V8" s="1300" t="s">
        <v>5</v>
      </c>
      <c r="W8" s="1301">
        <f t="shared" si="2"/>
        <v>0</v>
      </c>
      <c r="X8" s="1302"/>
      <c r="Y8" s="3673" t="s">
        <v>482</v>
      </c>
      <c r="Z8" s="3674"/>
      <c r="AA8" s="994" t="e">
        <f t="shared" ref="AA8:AA34" si="3">D8/F8</f>
        <v>#DIV/0!</v>
      </c>
      <c r="AB8" s="994" t="e">
        <f t="shared" ref="AB8:AB34" si="4">D8/H8</f>
        <v>#DIV/0!</v>
      </c>
      <c r="AC8" s="994" t="e">
        <f t="shared" ref="AC8:AC34" si="5">D8/J8</f>
        <v>#DIV/0!</v>
      </c>
    </row>
    <row r="9" spans="1:29" s="1057" customFormat="1" ht="15">
      <c r="A9" s="2207"/>
      <c r="B9" s="2214" t="s">
        <v>2036</v>
      </c>
      <c r="C9" s="789"/>
      <c r="D9" s="154">
        <v>100</v>
      </c>
      <c r="E9" s="791"/>
      <c r="F9" s="154">
        <f>SUMIF(51:51,E9,52:52)-SUMIF(51:51,C9,52:52)+100</f>
        <v>100</v>
      </c>
      <c r="G9" s="791"/>
      <c r="H9" s="154">
        <f>SUMIF(51:51,G9,52:52)-SUMIF(51:51,C9,52:52)+100</f>
        <v>100</v>
      </c>
      <c r="I9" s="791"/>
      <c r="J9" s="154">
        <f>SUMIF(51:51,I9,52:52)-SUMIF(51:51,C9,52:52)+100</f>
        <v>100</v>
      </c>
      <c r="K9" s="88"/>
      <c r="L9" s="1740"/>
      <c r="M9" s="1637"/>
      <c r="N9" s="1637"/>
      <c r="O9" s="1741"/>
      <c r="P9" s="3642" t="s">
        <v>484</v>
      </c>
      <c r="Q9" s="815" t="str">
        <f t="shared" ref="Q9:Q14" si="6">B9</f>
        <v>用途</v>
      </c>
      <c r="R9" s="1300" t="s">
        <v>5</v>
      </c>
      <c r="S9" s="1301">
        <f t="shared" si="0"/>
        <v>100</v>
      </c>
      <c r="T9" s="1300" t="s">
        <v>5</v>
      </c>
      <c r="U9" s="1301">
        <f t="shared" si="1"/>
        <v>100</v>
      </c>
      <c r="V9" s="1300" t="s">
        <v>5</v>
      </c>
      <c r="W9" s="1301">
        <f t="shared" si="2"/>
        <v>100</v>
      </c>
      <c r="X9" s="1302"/>
      <c r="Y9" s="3590" t="s">
        <v>485</v>
      </c>
      <c r="Z9" s="994" t="str">
        <f t="shared" ref="Z9:Z14" si="7">Q9</f>
        <v>用途</v>
      </c>
      <c r="AA9" s="994">
        <f t="shared" si="3"/>
        <v>1</v>
      </c>
      <c r="AB9" s="994">
        <f t="shared" si="4"/>
        <v>1</v>
      </c>
      <c r="AC9" s="994">
        <f t="shared" si="5"/>
        <v>1</v>
      </c>
    </row>
    <row r="10" spans="1:29" s="1130" customFormat="1" ht="27">
      <c r="A10" s="2208"/>
      <c r="B10" s="2213" t="s">
        <v>2037</v>
      </c>
      <c r="C10" s="3380"/>
      <c r="D10" s="233">
        <v>100</v>
      </c>
      <c r="E10" s="3380"/>
      <c r="F10" s="233">
        <f>SUMIF(53:53,E10,54:54)-SUMIF(53:53,C10,54:54)+100</f>
        <v>100</v>
      </c>
      <c r="G10" s="3381"/>
      <c r="H10" s="233">
        <f>SUMIF(53:53,G10,54:54)-SUMIF(53:53,C10,54:54)+100</f>
        <v>100</v>
      </c>
      <c r="I10" s="3380"/>
      <c r="J10" s="233">
        <f>SUMIF(53:53,I10,54:54)-SUMIF(53:53,C10,54:54)+100</f>
        <v>100</v>
      </c>
      <c r="K10" s="88"/>
      <c r="L10" s="1742"/>
      <c r="M10" s="1775"/>
      <c r="N10" s="1775"/>
      <c r="O10" s="1743"/>
      <c r="P10" s="3642"/>
      <c r="Q10" s="815" t="str">
        <f t="shared" si="6"/>
        <v>土地使用年限（年）</v>
      </c>
      <c r="R10" s="1300" t="s">
        <v>5</v>
      </c>
      <c r="S10" s="1301">
        <f t="shared" si="0"/>
        <v>100</v>
      </c>
      <c r="T10" s="1300" t="s">
        <v>5</v>
      </c>
      <c r="U10" s="1301">
        <f t="shared" si="1"/>
        <v>100</v>
      </c>
      <c r="V10" s="1300" t="s">
        <v>5</v>
      </c>
      <c r="W10" s="1301">
        <f t="shared" si="2"/>
        <v>100</v>
      </c>
      <c r="X10" s="1302"/>
      <c r="Y10" s="3590"/>
      <c r="Z10" s="994" t="str">
        <f t="shared" si="7"/>
        <v>土地使用年限（年）</v>
      </c>
      <c r="AA10" s="994">
        <f t="shared" si="3"/>
        <v>1</v>
      </c>
      <c r="AB10" s="994">
        <f t="shared" si="4"/>
        <v>1</v>
      </c>
      <c r="AC10" s="994">
        <f t="shared" si="5"/>
        <v>1</v>
      </c>
    </row>
    <row r="11" spans="1:29" ht="15">
      <c r="A11" s="2210"/>
      <c r="B11" s="2216">
        <v>111</v>
      </c>
      <c r="C11" s="476"/>
      <c r="D11" s="233">
        <v>100</v>
      </c>
      <c r="E11" s="803"/>
      <c r="F11" s="233">
        <f>SUMIF(55:55,E11,56:56)-SUMIF(55:55,C11,56:56)+100</f>
        <v>100</v>
      </c>
      <c r="G11" s="803"/>
      <c r="H11" s="233">
        <f>SUMIF(55:55,G11,56:56)-SUMIF(55:55,C11,56:56)+100</f>
        <v>100</v>
      </c>
      <c r="I11" s="803"/>
      <c r="J11" s="233">
        <f>SUMIF(55:55,I11,56:56)-SUMIF(55:55,C11,56:56)+100</f>
        <v>100</v>
      </c>
      <c r="K11" s="529"/>
      <c r="L11" s="1744"/>
      <c r="M11" s="1739"/>
      <c r="N11" s="1739"/>
      <c r="O11" s="1745"/>
      <c r="P11" s="3642"/>
      <c r="Q11" s="815">
        <f t="shared" si="6"/>
        <v>111</v>
      </c>
      <c r="R11" s="1300" t="s">
        <v>5</v>
      </c>
      <c r="S11" s="1301">
        <f t="shared" si="0"/>
        <v>100</v>
      </c>
      <c r="T11" s="1300" t="s">
        <v>5</v>
      </c>
      <c r="U11" s="1301">
        <f t="shared" si="1"/>
        <v>100</v>
      </c>
      <c r="V11" s="1300" t="s">
        <v>5</v>
      </c>
      <c r="W11" s="1301">
        <f t="shared" si="2"/>
        <v>100</v>
      </c>
      <c r="X11" s="1302"/>
      <c r="Y11" s="3590"/>
      <c r="Z11" s="994">
        <f t="shared" si="7"/>
        <v>111</v>
      </c>
      <c r="AA11" s="994">
        <f t="shared" si="3"/>
        <v>1</v>
      </c>
      <c r="AB11" s="994">
        <f t="shared" si="4"/>
        <v>1</v>
      </c>
      <c r="AC11" s="994">
        <f t="shared" si="5"/>
        <v>1</v>
      </c>
    </row>
    <row r="12" spans="1:29" s="1057" customFormat="1" ht="15">
      <c r="A12" s="2210"/>
      <c r="B12" s="2216">
        <v>111</v>
      </c>
      <c r="C12" s="476"/>
      <c r="D12" s="486">
        <v>100</v>
      </c>
      <c r="E12" s="803"/>
      <c r="F12" s="233">
        <f>SUMIF(57:57,E12,58:58)-SUMIF(57:57,C12,58:58)+100</f>
        <v>100</v>
      </c>
      <c r="G12" s="803"/>
      <c r="H12" s="233">
        <f>SUMIF(57:57,G12,58:58)-SUMIF(57:57,C12,58:58)+100</f>
        <v>100</v>
      </c>
      <c r="I12" s="803"/>
      <c r="J12" s="233">
        <f>SUMIF(57:57,I12,58:58)-SUMIF(57:57,C12,58:58)+100</f>
        <v>100</v>
      </c>
      <c r="K12" s="529"/>
      <c r="L12" s="1740"/>
      <c r="M12" s="1637"/>
      <c r="N12" s="1637"/>
      <c r="O12" s="1741"/>
      <c r="P12" s="3642"/>
      <c r="Q12" s="815">
        <f t="shared" si="6"/>
        <v>111</v>
      </c>
      <c r="R12" s="1300" t="s">
        <v>5</v>
      </c>
      <c r="S12" s="1301">
        <f t="shared" si="0"/>
        <v>100</v>
      </c>
      <c r="T12" s="1300" t="s">
        <v>5</v>
      </c>
      <c r="U12" s="1301">
        <f t="shared" si="1"/>
        <v>100</v>
      </c>
      <c r="V12" s="1300" t="s">
        <v>5</v>
      </c>
      <c r="W12" s="1301">
        <f t="shared" si="2"/>
        <v>100</v>
      </c>
      <c r="X12" s="1302"/>
      <c r="Y12" s="3590"/>
      <c r="Z12" s="994">
        <f t="shared" si="7"/>
        <v>111</v>
      </c>
      <c r="AA12" s="994">
        <f>D12/F12</f>
        <v>1</v>
      </c>
      <c r="AB12" s="994">
        <f>D12/H12</f>
        <v>1</v>
      </c>
      <c r="AC12" s="994">
        <f>D12/J12</f>
        <v>1</v>
      </c>
    </row>
    <row r="13" spans="1:29" ht="15.75" thickBot="1">
      <c r="A13" s="2211"/>
      <c r="B13" s="2217">
        <v>111</v>
      </c>
      <c r="C13" s="487"/>
      <c r="D13" s="488">
        <v>100</v>
      </c>
      <c r="E13" s="803"/>
      <c r="F13" s="233">
        <f>SUMIF(59:59,E13,60:60)-SUMIF(59:59,C13,60:60)+100</f>
        <v>100</v>
      </c>
      <c r="G13" s="803"/>
      <c r="H13" s="488">
        <f>SUMIF(59:59,G13,60:60)-SUMIF(59:59,C13,60:60)+100</f>
        <v>100</v>
      </c>
      <c r="I13" s="803"/>
      <c r="J13" s="488">
        <f>SUMIF(59:59,I13,60:60)-SUMIF(59:59,C13,60:60)+100</f>
        <v>100</v>
      </c>
      <c r="K13" s="529"/>
      <c r="L13" s="1746"/>
      <c r="M13" s="1739"/>
      <c r="N13" s="1739"/>
      <c r="O13" s="1745"/>
      <c r="P13" s="3642"/>
      <c r="Q13" s="815">
        <f t="shared" si="6"/>
        <v>111</v>
      </c>
      <c r="R13" s="1300" t="s">
        <v>5</v>
      </c>
      <c r="S13" s="1301">
        <f t="shared" si="0"/>
        <v>100</v>
      </c>
      <c r="T13" s="1300" t="s">
        <v>5</v>
      </c>
      <c r="U13" s="1301">
        <f t="shared" si="1"/>
        <v>100</v>
      </c>
      <c r="V13" s="1300" t="s">
        <v>5</v>
      </c>
      <c r="W13" s="1301">
        <f t="shared" si="2"/>
        <v>100</v>
      </c>
      <c r="X13" s="1302"/>
      <c r="Y13" s="3590"/>
      <c r="Z13" s="994">
        <f t="shared" si="7"/>
        <v>111</v>
      </c>
      <c r="AA13" s="994">
        <f t="shared" si="3"/>
        <v>1</v>
      </c>
      <c r="AB13" s="994">
        <f t="shared" si="4"/>
        <v>1</v>
      </c>
      <c r="AC13" s="994">
        <f t="shared" si="5"/>
        <v>1</v>
      </c>
    </row>
    <row r="14" spans="1:29" ht="15">
      <c r="A14" s="2203" t="s">
        <v>2034</v>
      </c>
      <c r="B14" s="150" t="s">
        <v>492</v>
      </c>
      <c r="C14" s="840">
        <f>IF(B1="工业",估价对象房地状况!G4,估价对象房地状况!C6)</f>
        <v>0</v>
      </c>
      <c r="D14" s="497">
        <v>100</v>
      </c>
      <c r="E14" s="498"/>
      <c r="F14" s="499">
        <f>SUMIF(61:61,E15,62:62)-SUMIF(61:61,C15,62:62)+100</f>
        <v>100</v>
      </c>
      <c r="G14" s="500"/>
      <c r="H14" s="497">
        <f>SUMIF(61:61,G15,62:62)-SUMIF(61:61,C15,62:62)+100</f>
        <v>100</v>
      </c>
      <c r="I14" s="498"/>
      <c r="J14" s="497">
        <f>SUMIF(61:61,I15,62:62)-SUMIF(61:61,C15,62:62)+100</f>
        <v>100</v>
      </c>
      <c r="K14" s="819"/>
      <c r="L14" s="1746"/>
      <c r="M14" s="1739"/>
      <c r="N14" s="1739"/>
      <c r="O14" s="1745"/>
      <c r="P14" s="3676" t="s">
        <v>489</v>
      </c>
      <c r="Q14" s="1303" t="str">
        <f t="shared" si="6"/>
        <v>交通便捷度</v>
      </c>
      <c r="R14" s="1304" t="s">
        <v>5</v>
      </c>
      <c r="S14" s="1305">
        <f t="shared" si="0"/>
        <v>100</v>
      </c>
      <c r="T14" s="1304" t="s">
        <v>5</v>
      </c>
      <c r="U14" s="1305">
        <f t="shared" si="1"/>
        <v>100</v>
      </c>
      <c r="V14" s="1304" t="s">
        <v>5</v>
      </c>
      <c r="W14" s="1305">
        <f t="shared" si="2"/>
        <v>100</v>
      </c>
      <c r="X14" s="1299"/>
      <c r="Y14" s="3676" t="s">
        <v>489</v>
      </c>
      <c r="Z14" s="1306" t="str">
        <f t="shared" si="7"/>
        <v>交通便捷度</v>
      </c>
      <c r="AA14" s="1306">
        <f t="shared" si="3"/>
        <v>1</v>
      </c>
      <c r="AB14" s="1306">
        <f t="shared" si="4"/>
        <v>1</v>
      </c>
      <c r="AC14" s="1306">
        <f t="shared" si="5"/>
        <v>1</v>
      </c>
    </row>
    <row r="15" spans="1:29" ht="15">
      <c r="A15" s="480"/>
      <c r="B15" s="797"/>
      <c r="C15" s="524"/>
      <c r="D15" s="503"/>
      <c r="E15" s="524"/>
      <c r="F15" s="505"/>
      <c r="G15" s="524"/>
      <c r="H15" s="507"/>
      <c r="I15" s="524"/>
      <c r="J15" s="503"/>
      <c r="K15" s="820"/>
      <c r="L15" s="1746"/>
      <c r="M15" s="1739"/>
      <c r="N15" s="1739"/>
      <c r="O15" s="1745"/>
      <c r="P15" s="3677"/>
      <c r="Q15" s="1303"/>
      <c r="R15" s="1304"/>
      <c r="S15" s="1305"/>
      <c r="T15" s="1304"/>
      <c r="U15" s="1305"/>
      <c r="V15" s="1304"/>
      <c r="W15" s="1305"/>
      <c r="X15" s="1299"/>
      <c r="Y15" s="3677"/>
      <c r="Z15" s="1306"/>
      <c r="AA15" s="1306">
        <v>1</v>
      </c>
      <c r="AB15" s="1306">
        <v>1</v>
      </c>
      <c r="AC15" s="1306">
        <v>1</v>
      </c>
    </row>
    <row r="16" spans="1:29" ht="15">
      <c r="A16" s="480"/>
      <c r="B16" s="2059" t="s">
        <v>1827</v>
      </c>
      <c r="C16" s="799">
        <f>IF(B1="工业",估价对象房地状况!G5,估价对象房地状况!C7)</f>
        <v>0</v>
      </c>
      <c r="D16" s="513">
        <v>100</v>
      </c>
      <c r="E16" s="518"/>
      <c r="F16" s="519">
        <f>SUMIF(63:63,E17,64:64)-SUMIF(63:63,C17,64:64)+100</f>
        <v>100</v>
      </c>
      <c r="G16" s="520"/>
      <c r="H16" s="513">
        <f>SUMIF(63:63,G17,64:64)-SUMIF(63:63,C17,64:64)+100</f>
        <v>100</v>
      </c>
      <c r="I16" s="518"/>
      <c r="J16" s="513">
        <f>SUMIF(63:63,I17,64:64)-SUMIF(63:63,C17,64:64)+100</f>
        <v>100</v>
      </c>
      <c r="K16" s="819"/>
      <c r="L16" s="1746"/>
      <c r="M16" s="1739"/>
      <c r="N16" s="1739"/>
      <c r="O16" s="1745"/>
      <c r="P16" s="3677"/>
      <c r="Q16" s="1303" t="str">
        <f>B16</f>
        <v>公共配套设施</v>
      </c>
      <c r="R16" s="1304" t="s">
        <v>5</v>
      </c>
      <c r="S16" s="1305">
        <f>F16</f>
        <v>100</v>
      </c>
      <c r="T16" s="1304" t="s">
        <v>5</v>
      </c>
      <c r="U16" s="1305">
        <f>H16</f>
        <v>100</v>
      </c>
      <c r="V16" s="1304" t="s">
        <v>5</v>
      </c>
      <c r="W16" s="1305">
        <f>J16</f>
        <v>100</v>
      </c>
      <c r="X16" s="1299"/>
      <c r="Y16" s="3677"/>
      <c r="Z16" s="1306" t="str">
        <f>Q16</f>
        <v>公共配套设施</v>
      </c>
      <c r="AA16" s="1306">
        <f t="shared" si="3"/>
        <v>1</v>
      </c>
      <c r="AB16" s="1306">
        <f t="shared" si="4"/>
        <v>1</v>
      </c>
      <c r="AC16" s="1306">
        <f t="shared" si="5"/>
        <v>1</v>
      </c>
    </row>
    <row r="17" spans="1:29" ht="15">
      <c r="A17" s="480"/>
      <c r="B17" s="514"/>
      <c r="C17" s="800"/>
      <c r="D17" s="503"/>
      <c r="E17" s="524"/>
      <c r="F17" s="505"/>
      <c r="G17" s="524"/>
      <c r="H17" s="503"/>
      <c r="I17" s="524"/>
      <c r="J17" s="503"/>
      <c r="K17" s="820"/>
      <c r="L17" s="1746"/>
      <c r="M17" s="1739"/>
      <c r="N17" s="1739"/>
      <c r="O17" s="1745"/>
      <c r="P17" s="3677"/>
      <c r="Q17" s="1303"/>
      <c r="R17" s="1304"/>
      <c r="S17" s="1305"/>
      <c r="T17" s="1304"/>
      <c r="U17" s="1305"/>
      <c r="V17" s="1304"/>
      <c r="W17" s="1305"/>
      <c r="X17" s="1299"/>
      <c r="Y17" s="3677"/>
      <c r="Z17" s="1306"/>
      <c r="AA17" s="1306">
        <v>1</v>
      </c>
      <c r="AB17" s="1306">
        <v>1</v>
      </c>
      <c r="AC17" s="1306">
        <v>1</v>
      </c>
    </row>
    <row r="18" spans="1:29" ht="15">
      <c r="A18" s="480"/>
      <c r="B18" s="2047" t="s">
        <v>1839</v>
      </c>
      <c r="C18" s="799" t="str">
        <f>IF(B1="工业",估价对象房地状况!G6,估价对象房地状况!C8)</f>
        <v>七通</v>
      </c>
      <c r="D18" s="507">
        <v>100</v>
      </c>
      <c r="E18" s="510"/>
      <c r="F18" s="511">
        <f>SUMIF(65:65,E19,66:66)-SUMIF(65:65,C19,66:66)+100</f>
        <v>100</v>
      </c>
      <c r="G18" s="512"/>
      <c r="H18" s="513">
        <f>SUMIF(65:65,G19,66:66)-SUMIF(65:65,C19,66:66)+100</f>
        <v>100</v>
      </c>
      <c r="I18" s="518"/>
      <c r="J18" s="513">
        <f>SUMIF(65:65,I19,66:66)-SUMIF(65:65,C19,66:66)+100</f>
        <v>100</v>
      </c>
      <c r="K18" s="819"/>
      <c r="L18" s="1746"/>
      <c r="M18" s="1739"/>
      <c r="N18" s="1739"/>
      <c r="O18" s="1745"/>
      <c r="P18" s="3677"/>
      <c r="Q18" s="1303" t="str">
        <f>B18</f>
        <v>基础设施水平</v>
      </c>
      <c r="R18" s="1304" t="s">
        <v>5</v>
      </c>
      <c r="S18" s="1305">
        <f>F18</f>
        <v>100</v>
      </c>
      <c r="T18" s="1304" t="s">
        <v>5</v>
      </c>
      <c r="U18" s="1305">
        <f>H18</f>
        <v>100</v>
      </c>
      <c r="V18" s="1304" t="s">
        <v>5</v>
      </c>
      <c r="W18" s="1305">
        <f>J18</f>
        <v>100</v>
      </c>
      <c r="X18" s="1299"/>
      <c r="Y18" s="3677"/>
      <c r="Z18" s="1306" t="str">
        <f>Q18</f>
        <v>基础设施水平</v>
      </c>
      <c r="AA18" s="1306">
        <f>D18/F18</f>
        <v>1</v>
      </c>
      <c r="AB18" s="1306">
        <f>D18/H18</f>
        <v>1</v>
      </c>
      <c r="AC18" s="1306">
        <f>D18/J18</f>
        <v>1</v>
      </c>
    </row>
    <row r="19" spans="1:29" ht="15">
      <c r="A19" s="480"/>
      <c r="B19" s="526"/>
      <c r="C19" s="800"/>
      <c r="D19" s="507"/>
      <c r="E19" s="800"/>
      <c r="F19" s="511"/>
      <c r="G19" s="800"/>
      <c r="H19" s="503"/>
      <c r="I19" s="524"/>
      <c r="J19" s="503"/>
      <c r="K19" s="2058"/>
      <c r="L19" s="1746"/>
      <c r="M19" s="1739"/>
      <c r="N19" s="1739"/>
      <c r="O19" s="1745"/>
      <c r="P19" s="3677"/>
      <c r="Q19" s="1303"/>
      <c r="R19" s="1304"/>
      <c r="S19" s="1305"/>
      <c r="T19" s="1304"/>
      <c r="U19" s="1305"/>
      <c r="V19" s="1304"/>
      <c r="W19" s="1305"/>
      <c r="X19" s="1299"/>
      <c r="Y19" s="3677"/>
      <c r="Z19" s="1306"/>
      <c r="AA19" s="1306">
        <v>1</v>
      </c>
      <c r="AB19" s="1306">
        <v>1</v>
      </c>
      <c r="AC19" s="1306">
        <v>1</v>
      </c>
    </row>
    <row r="20" spans="1:29" ht="15">
      <c r="A20" s="480"/>
      <c r="B20" s="675" t="s">
        <v>744</v>
      </c>
      <c r="C20" s="799">
        <f>IF(B1="工业",估价对象房地状况!G7,估价对象房地状况!C9)</f>
        <v>0</v>
      </c>
      <c r="D20" s="513">
        <v>100</v>
      </c>
      <c r="E20" s="518"/>
      <c r="F20" s="519">
        <f>SUMIF(67:67,E21,68:68)-SUMIF(67:67,C21,68:68)+100</f>
        <v>100</v>
      </c>
      <c r="G20" s="520"/>
      <c r="H20" s="507">
        <f>SUMIF(67:67,G21,68:68)-SUMIF(67:67,C21,68:68)+100</f>
        <v>100</v>
      </c>
      <c r="I20" s="510"/>
      <c r="J20" s="507">
        <f>SUMIF(67:67,I21,68:68)-SUMIF(67:67,C21,68:68)+100</f>
        <v>100</v>
      </c>
      <c r="K20" s="819"/>
      <c r="L20" s="1746"/>
      <c r="M20" s="1739"/>
      <c r="N20" s="1739"/>
      <c r="O20" s="1745"/>
      <c r="P20" s="3677"/>
      <c r="Q20" s="1303" t="str">
        <f>B20</f>
        <v>自然及人文环境</v>
      </c>
      <c r="R20" s="1304" t="s">
        <v>5</v>
      </c>
      <c r="S20" s="1305">
        <f>F20</f>
        <v>100</v>
      </c>
      <c r="T20" s="1304" t="s">
        <v>5</v>
      </c>
      <c r="U20" s="1305">
        <f>H20</f>
        <v>100</v>
      </c>
      <c r="V20" s="1304" t="s">
        <v>5</v>
      </c>
      <c r="W20" s="1305">
        <f>J20</f>
        <v>100</v>
      </c>
      <c r="X20" s="1299"/>
      <c r="Y20" s="3677"/>
      <c r="Z20" s="1306" t="str">
        <f>Q20</f>
        <v>自然及人文环境</v>
      </c>
      <c r="AA20" s="1306">
        <f t="shared" si="3"/>
        <v>1</v>
      </c>
      <c r="AB20" s="1306">
        <f t="shared" si="4"/>
        <v>1</v>
      </c>
      <c r="AC20" s="1306">
        <f t="shared" si="5"/>
        <v>1</v>
      </c>
    </row>
    <row r="21" spans="1:29" ht="15">
      <c r="A21" s="480"/>
      <c r="B21" s="542"/>
      <c r="C21" s="524"/>
      <c r="D21" s="503"/>
      <c r="E21" s="524"/>
      <c r="F21" s="505"/>
      <c r="G21" s="524"/>
      <c r="H21" s="503"/>
      <c r="I21" s="524"/>
      <c r="J21" s="503"/>
      <c r="K21" s="820"/>
      <c r="L21" s="1746"/>
      <c r="M21" s="1739"/>
      <c r="N21" s="1739"/>
      <c r="O21" s="1745"/>
      <c r="P21" s="3677"/>
      <c r="Q21" s="1303"/>
      <c r="R21" s="1304"/>
      <c r="S21" s="1305"/>
      <c r="T21" s="1304"/>
      <c r="U21" s="1305"/>
      <c r="V21" s="1304"/>
      <c r="W21" s="1305"/>
      <c r="X21" s="1299"/>
      <c r="Y21" s="3677"/>
      <c r="Z21" s="1306"/>
      <c r="AA21" s="1306">
        <v>1</v>
      </c>
      <c r="AB21" s="1306">
        <v>1</v>
      </c>
      <c r="AC21" s="1306">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6"/>
      <c r="M22" s="1739"/>
      <c r="N22" s="1739"/>
      <c r="O22" s="1745"/>
      <c r="P22" s="3677"/>
      <c r="Q22" s="1303" t="str">
        <f>B22</f>
        <v>楼层</v>
      </c>
      <c r="R22" s="1304" t="s">
        <v>5</v>
      </c>
      <c r="S22" s="1305">
        <f>F22</f>
        <v>100</v>
      </c>
      <c r="T22" s="1304" t="s">
        <v>5</v>
      </c>
      <c r="U22" s="1305">
        <f>H22</f>
        <v>100</v>
      </c>
      <c r="V22" s="1304" t="s">
        <v>5</v>
      </c>
      <c r="W22" s="1305">
        <f>J22</f>
        <v>100</v>
      </c>
      <c r="X22" s="1299"/>
      <c r="Y22" s="3677"/>
      <c r="Z22" s="1306" t="str">
        <f>Q22</f>
        <v>楼层</v>
      </c>
      <c r="AA22" s="1306">
        <f t="shared" si="3"/>
        <v>1</v>
      </c>
      <c r="AB22" s="1306">
        <f t="shared" si="4"/>
        <v>1</v>
      </c>
      <c r="AC22" s="1306">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6"/>
      <c r="M23" s="1739"/>
      <c r="N23" s="1739"/>
      <c r="O23" s="1745"/>
      <c r="P23" s="3677"/>
      <c r="Q23" s="1303">
        <f>B23</f>
        <v>111</v>
      </c>
      <c r="R23" s="1304" t="s">
        <v>5</v>
      </c>
      <c r="S23" s="1305">
        <f>F23</f>
        <v>100</v>
      </c>
      <c r="T23" s="1304" t="s">
        <v>5</v>
      </c>
      <c r="U23" s="1305">
        <f>H23</f>
        <v>100</v>
      </c>
      <c r="V23" s="1304" t="s">
        <v>5</v>
      </c>
      <c r="W23" s="1305">
        <f>J23</f>
        <v>100</v>
      </c>
      <c r="X23" s="1299"/>
      <c r="Y23" s="3677"/>
      <c r="Z23" s="1306">
        <f>Q23</f>
        <v>111</v>
      </c>
      <c r="AA23" s="1306">
        <f t="shared" si="3"/>
        <v>1</v>
      </c>
      <c r="AB23" s="1306">
        <f t="shared" si="4"/>
        <v>1</v>
      </c>
      <c r="AC23" s="1306">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6"/>
      <c r="M24" s="1739"/>
      <c r="N24" s="1739"/>
      <c r="O24" s="1745"/>
      <c r="P24" s="3677"/>
      <c r="Q24" s="1303">
        <f t="shared" ref="Q24:Q34" si="8">B24</f>
        <v>111</v>
      </c>
      <c r="R24" s="1304" t="s">
        <v>5</v>
      </c>
      <c r="S24" s="1305">
        <f>F24</f>
        <v>100</v>
      </c>
      <c r="T24" s="1304" t="s">
        <v>5</v>
      </c>
      <c r="U24" s="1305">
        <f>H24</f>
        <v>100</v>
      </c>
      <c r="V24" s="1304" t="s">
        <v>5</v>
      </c>
      <c r="W24" s="1305">
        <f>J24</f>
        <v>100</v>
      </c>
      <c r="X24" s="1299"/>
      <c r="Y24" s="3677"/>
      <c r="Z24" s="1306">
        <f>Q24</f>
        <v>111</v>
      </c>
      <c r="AA24" s="1306">
        <f t="shared" si="3"/>
        <v>1</v>
      </c>
      <c r="AB24" s="1306">
        <f t="shared" si="4"/>
        <v>1</v>
      </c>
      <c r="AC24" s="1306">
        <f t="shared" si="5"/>
        <v>1</v>
      </c>
    </row>
    <row r="25" spans="1:29" s="1057" customFormat="1" ht="15.75" thickBot="1">
      <c r="A25" s="484"/>
      <c r="B25" s="485">
        <v>111</v>
      </c>
      <c r="C25" s="858"/>
      <c r="D25" s="526">
        <v>100</v>
      </c>
      <c r="E25" s="858"/>
      <c r="F25" s="841">
        <f>SUMIF(75:75,E25,76:76)-SUMIF(75:75,C25,76:76)+100</f>
        <v>100</v>
      </c>
      <c r="G25" s="858"/>
      <c r="H25" s="526">
        <f>SUMIF(75:75,G25,76:76)-SUMIF(75:75,C25,76:76)+100</f>
        <v>100</v>
      </c>
      <c r="I25" s="858"/>
      <c r="J25" s="526">
        <f>SUMIF(75:75,I25,76:76)-SUMIF(75:75,C25,76:76)+100</f>
        <v>100</v>
      </c>
      <c r="K25" s="529"/>
      <c r="L25" s="1740"/>
      <c r="M25" s="1637"/>
      <c r="N25" s="1637"/>
      <c r="O25" s="1741"/>
      <c r="P25" s="3677"/>
      <c r="Q25" s="815">
        <f t="shared" si="8"/>
        <v>111</v>
      </c>
      <c r="R25" s="1300" t="s">
        <v>5</v>
      </c>
      <c r="S25" s="1301">
        <f>F25</f>
        <v>100</v>
      </c>
      <c r="T25" s="1300" t="s">
        <v>5</v>
      </c>
      <c r="U25" s="1301">
        <f>H25</f>
        <v>100</v>
      </c>
      <c r="V25" s="1300" t="s">
        <v>5</v>
      </c>
      <c r="W25" s="1301">
        <f>J25</f>
        <v>100</v>
      </c>
      <c r="X25" s="1302"/>
      <c r="Y25" s="3677"/>
      <c r="Z25" s="994">
        <f>Q25</f>
        <v>111</v>
      </c>
      <c r="AA25" s="1306">
        <f>D25/F25</f>
        <v>1</v>
      </c>
      <c r="AB25" s="1306">
        <f>D25/H25</f>
        <v>1</v>
      </c>
      <c r="AC25" s="1306">
        <f>D25/J25</f>
        <v>1</v>
      </c>
    </row>
    <row r="26" spans="1:29" ht="15">
      <c r="A26" s="2201" t="s">
        <v>2035</v>
      </c>
      <c r="B26" s="156" t="s">
        <v>748</v>
      </c>
      <c r="C26" s="802"/>
      <c r="D26" s="544">
        <v>100</v>
      </c>
      <c r="E26" s="802"/>
      <c r="F26" s="859">
        <f>SUMIF(77:77,E26,78:78)-SUMIF(77:77,C26,78:78)+100</f>
        <v>100</v>
      </c>
      <c r="G26" s="802"/>
      <c r="H26" s="544">
        <f>SUMIF(77:77,G26,78:78)-SUMIF(77:77,C26,78:78)+100</f>
        <v>100</v>
      </c>
      <c r="I26" s="802"/>
      <c r="J26" s="544">
        <f>SUMIF(77:77,I26,78:78)-SUMIF(77:77,C26,78:78)+100</f>
        <v>100</v>
      </c>
      <c r="K26" s="531"/>
      <c r="L26" s="1746"/>
      <c r="M26" s="1739"/>
      <c r="N26" s="1739"/>
      <c r="O26" s="1745"/>
      <c r="P26" s="3678" t="s">
        <v>761</v>
      </c>
      <c r="Q26" s="1303" t="str">
        <f t="shared" si="8"/>
        <v>公共部分装修</v>
      </c>
      <c r="R26" s="1304" t="s">
        <v>5</v>
      </c>
      <c r="S26" s="1305">
        <f t="shared" ref="S26:S34" si="9">F26</f>
        <v>100</v>
      </c>
      <c r="T26" s="1304" t="s">
        <v>5</v>
      </c>
      <c r="U26" s="1305">
        <f t="shared" ref="U26:U34" si="10">H26</f>
        <v>100</v>
      </c>
      <c r="V26" s="1304" t="s">
        <v>5</v>
      </c>
      <c r="W26" s="1305">
        <f t="shared" ref="W26:W34" si="11">J26</f>
        <v>100</v>
      </c>
      <c r="X26" s="1299"/>
      <c r="Y26" s="3679" t="s">
        <v>761</v>
      </c>
      <c r="Z26" s="1306" t="str">
        <f t="shared" ref="Z26:Z34" si="12">Q26</f>
        <v>公共部分装修</v>
      </c>
      <c r="AA26" s="1306">
        <f t="shared" si="3"/>
        <v>1</v>
      </c>
      <c r="AB26" s="1306">
        <f t="shared" si="4"/>
        <v>1</v>
      </c>
      <c r="AC26" s="1306">
        <f t="shared" si="5"/>
        <v>1</v>
      </c>
    </row>
    <row r="27" spans="1:29" s="1131" customFormat="1" ht="15">
      <c r="A27" s="550"/>
      <c r="B27" s="475" t="s">
        <v>749</v>
      </c>
      <c r="C27" s="805"/>
      <c r="D27" s="233">
        <v>100</v>
      </c>
      <c r="E27" s="806"/>
      <c r="F27" s="523" t="e">
        <f>LOOKUP(E27,80:80,81:81)-LOOKUP(C27,80:80,81:81)+100</f>
        <v>#N/A</v>
      </c>
      <c r="G27" s="807"/>
      <c r="H27" s="488" t="e">
        <f>LOOKUP(G27,80:80,81:81)-LOOKUP(C27,80:80,81:81)+100</f>
        <v>#N/A</v>
      </c>
      <c r="I27" s="807"/>
      <c r="J27" s="488" t="e">
        <f>LOOKUP(I27,80:80,81:81)-LOOKUP(C27,80:80,81:81)+100</f>
        <v>#N/A</v>
      </c>
      <c r="K27" s="531"/>
      <c r="L27" s="1744"/>
      <c r="M27" s="1768"/>
      <c r="N27" s="1768"/>
      <c r="O27" s="1747"/>
      <c r="P27" s="3679"/>
      <c r="Q27" s="816" t="str">
        <f t="shared" si="8"/>
        <v>成新率</v>
      </c>
      <c r="R27" s="1307" t="s">
        <v>5</v>
      </c>
      <c r="S27" s="1308" t="e">
        <f t="shared" si="9"/>
        <v>#N/A</v>
      </c>
      <c r="T27" s="1307" t="s">
        <v>5</v>
      </c>
      <c r="U27" s="1308" t="e">
        <f t="shared" si="10"/>
        <v>#N/A</v>
      </c>
      <c r="V27" s="1307" t="s">
        <v>5</v>
      </c>
      <c r="W27" s="1308" t="e">
        <f t="shared" si="11"/>
        <v>#N/A</v>
      </c>
      <c r="X27" s="1309"/>
      <c r="Y27" s="3679"/>
      <c r="Z27" s="1310" t="str">
        <f t="shared" si="12"/>
        <v>成新率</v>
      </c>
      <c r="AA27" s="1306" t="e">
        <f t="shared" si="3"/>
        <v>#N/A</v>
      </c>
      <c r="AB27" s="1306" t="e">
        <f t="shared" si="4"/>
        <v>#N/A</v>
      </c>
      <c r="AC27" s="1306"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6"/>
      <c r="M28" s="1739"/>
      <c r="N28" s="1739"/>
      <c r="O28" s="1745"/>
      <c r="P28" s="3679"/>
      <c r="Q28" s="1303" t="str">
        <f t="shared" si="8"/>
        <v>物业等级</v>
      </c>
      <c r="R28" s="1304" t="s">
        <v>5</v>
      </c>
      <c r="S28" s="1305">
        <f t="shared" si="9"/>
        <v>100</v>
      </c>
      <c r="T28" s="1304" t="s">
        <v>5</v>
      </c>
      <c r="U28" s="1305">
        <f t="shared" si="10"/>
        <v>100</v>
      </c>
      <c r="V28" s="1304" t="s">
        <v>5</v>
      </c>
      <c r="W28" s="1305">
        <f t="shared" si="11"/>
        <v>100</v>
      </c>
      <c r="X28" s="1299"/>
      <c r="Y28" s="3679"/>
      <c r="Z28" s="1306" t="str">
        <f t="shared" si="12"/>
        <v>物业等级</v>
      </c>
      <c r="AA28" s="1306">
        <f t="shared" si="3"/>
        <v>1</v>
      </c>
      <c r="AB28" s="1306">
        <f t="shared" si="4"/>
        <v>1</v>
      </c>
      <c r="AC28" s="1306">
        <f t="shared" si="5"/>
        <v>1</v>
      </c>
    </row>
    <row r="29" spans="1:29" ht="15">
      <c r="A29" s="541"/>
      <c r="B29" s="475" t="s">
        <v>762</v>
      </c>
      <c r="C29" s="850"/>
      <c r="D29" s="488">
        <v>100</v>
      </c>
      <c r="E29" s="850"/>
      <c r="F29" s="523">
        <f>SUMIF(84:84,E29,85:85)-SUMIF(84:84,C29,85:85)+100</f>
        <v>100</v>
      </c>
      <c r="G29" s="850"/>
      <c r="H29" s="488">
        <f>SUMIF(84:84,G29,85:85)-SUMIF(84:84,C29,85:85)+100</f>
        <v>100</v>
      </c>
      <c r="I29" s="850"/>
      <c r="J29" s="488">
        <f>SUMIF(84:84,I29,85:85)-SUMIF(84:84,C29,85:85)+100</f>
        <v>100</v>
      </c>
      <c r="K29" s="531"/>
      <c r="L29" s="1746"/>
      <c r="M29" s="1739"/>
      <c r="N29" s="1739"/>
      <c r="O29" s="1745"/>
      <c r="P29" s="3679"/>
      <c r="Q29" s="1303" t="str">
        <f t="shared" si="8"/>
        <v>有无电梯</v>
      </c>
      <c r="R29" s="1304" t="s">
        <v>5</v>
      </c>
      <c r="S29" s="1305">
        <f t="shared" si="9"/>
        <v>100</v>
      </c>
      <c r="T29" s="1304" t="s">
        <v>5</v>
      </c>
      <c r="U29" s="1305">
        <f t="shared" si="10"/>
        <v>100</v>
      </c>
      <c r="V29" s="1304" t="s">
        <v>5</v>
      </c>
      <c r="W29" s="1305">
        <f t="shared" si="11"/>
        <v>100</v>
      </c>
      <c r="X29" s="1299"/>
      <c r="Y29" s="3679"/>
      <c r="Z29" s="1306" t="str">
        <f t="shared" si="12"/>
        <v>有无电梯</v>
      </c>
      <c r="AA29" s="1306">
        <f t="shared" si="3"/>
        <v>1</v>
      </c>
      <c r="AB29" s="1306">
        <f t="shared" si="4"/>
        <v>1</v>
      </c>
      <c r="AC29" s="1306">
        <f t="shared" si="5"/>
        <v>1</v>
      </c>
    </row>
    <row r="30" spans="1:29" ht="15">
      <c r="A30" s="541"/>
      <c r="B30" s="475" t="s">
        <v>763</v>
      </c>
      <c r="C30" s="803"/>
      <c r="D30" s="488">
        <v>100</v>
      </c>
      <c r="E30" s="803"/>
      <c r="F30" s="523" t="e">
        <f>LOOKUP(E30,87:87,88:88)-LOOKUP(C30,87:87,88:88)+100</f>
        <v>#N/A</v>
      </c>
      <c r="G30" s="803"/>
      <c r="H30" s="488" t="e">
        <f>LOOKUP(G30,87:87,88:88)-LOOKUP(C30,87:87,88:88)+100</f>
        <v>#N/A</v>
      </c>
      <c r="I30" s="803"/>
      <c r="J30" s="488" t="e">
        <f>LOOKUP(I30,87:87,88:88)-LOOKUP(C30,87:87,88:88)+100</f>
        <v>#N/A</v>
      </c>
      <c r="K30" s="529"/>
      <c r="L30" s="1746"/>
      <c r="M30" s="1739"/>
      <c r="N30" s="1739"/>
      <c r="O30" s="1745"/>
      <c r="P30" s="3679"/>
      <c r="Q30" s="1303" t="str">
        <f t="shared" si="8"/>
        <v>建筑面积</v>
      </c>
      <c r="R30" s="1304" t="s">
        <v>5</v>
      </c>
      <c r="S30" s="1305" t="e">
        <f t="shared" si="9"/>
        <v>#N/A</v>
      </c>
      <c r="T30" s="1304" t="s">
        <v>5</v>
      </c>
      <c r="U30" s="1305" t="e">
        <f t="shared" si="10"/>
        <v>#N/A</v>
      </c>
      <c r="V30" s="1304" t="s">
        <v>5</v>
      </c>
      <c r="W30" s="1305" t="e">
        <f t="shared" si="11"/>
        <v>#N/A</v>
      </c>
      <c r="X30" s="1299"/>
      <c r="Y30" s="3679"/>
      <c r="Z30" s="1306" t="str">
        <f t="shared" si="12"/>
        <v>建筑面积</v>
      </c>
      <c r="AA30" s="1306" t="e">
        <f t="shared" si="3"/>
        <v>#N/A</v>
      </c>
      <c r="AB30" s="1306" t="e">
        <f t="shared" si="4"/>
        <v>#N/A</v>
      </c>
      <c r="AC30" s="1306" t="e">
        <f t="shared" si="5"/>
        <v>#N/A</v>
      </c>
    </row>
    <row r="31" spans="1:29" s="1057" customFormat="1" ht="15">
      <c r="A31" s="547"/>
      <c r="B31" s="475" t="s">
        <v>764</v>
      </c>
      <c r="C31" s="850"/>
      <c r="D31" s="233">
        <v>100</v>
      </c>
      <c r="E31" s="850"/>
      <c r="F31" s="523">
        <f>SUMIF(89:89,E31,90:90)-SUMIF(89:89,C31,90:90)+100</f>
        <v>100</v>
      </c>
      <c r="G31" s="850"/>
      <c r="H31" s="488">
        <f>SUMIF(89:89,G31,90:90)-SUMIF(89:89,C31,90:90)+100</f>
        <v>100</v>
      </c>
      <c r="I31" s="850"/>
      <c r="J31" s="488">
        <f>SUMIF(89:89,I31,90:90)-SUMIF(89:89,C31,90:90)+100</f>
        <v>100</v>
      </c>
      <c r="K31" s="531"/>
      <c r="L31" s="1740"/>
      <c r="M31" s="1637"/>
      <c r="N31" s="1637"/>
      <c r="O31" s="1741"/>
      <c r="P31" s="3679"/>
      <c r="Q31" s="815" t="str">
        <f t="shared" si="8"/>
        <v>是否封闭</v>
      </c>
      <c r="R31" s="1300" t="s">
        <v>5</v>
      </c>
      <c r="S31" s="1301">
        <f t="shared" si="9"/>
        <v>100</v>
      </c>
      <c r="T31" s="1300" t="s">
        <v>5</v>
      </c>
      <c r="U31" s="1301">
        <f t="shared" si="10"/>
        <v>100</v>
      </c>
      <c r="V31" s="1300" t="s">
        <v>5</v>
      </c>
      <c r="W31" s="1301">
        <f t="shared" si="11"/>
        <v>100</v>
      </c>
      <c r="X31" s="1302"/>
      <c r="Y31" s="3679"/>
      <c r="Z31" s="994" t="str">
        <f t="shared" si="12"/>
        <v>是否封闭</v>
      </c>
      <c r="AA31" s="994">
        <f t="shared" si="3"/>
        <v>1</v>
      </c>
      <c r="AB31" s="994">
        <f t="shared" si="4"/>
        <v>1</v>
      </c>
      <c r="AC31" s="994">
        <f t="shared" si="5"/>
        <v>1</v>
      </c>
    </row>
    <row r="32" spans="1:29" ht="15">
      <c r="A32" s="541"/>
      <c r="B32" s="485">
        <v>111</v>
      </c>
      <c r="C32" s="476"/>
      <c r="D32" s="488">
        <v>100</v>
      </c>
      <c r="E32" s="803"/>
      <c r="F32" s="523">
        <f>SUMIF(91:91,E32,92:92)-SUMIF(91:91,C32,92:92)+100</f>
        <v>100</v>
      </c>
      <c r="G32" s="803"/>
      <c r="H32" s="488">
        <f>SUMIF(91:91,G32,92:92)-SUMIF(91:91,C32,92:92)+100</f>
        <v>100</v>
      </c>
      <c r="I32" s="803"/>
      <c r="J32" s="488">
        <f>SUMIF(91:91,I32,92:92)-SUMIF(91:91,C32,92:92)+100</f>
        <v>100</v>
      </c>
      <c r="K32" s="529"/>
      <c r="L32" s="1746"/>
      <c r="M32" s="1739"/>
      <c r="N32" s="1739"/>
      <c r="O32" s="1745"/>
      <c r="P32" s="3679" t="s">
        <v>499</v>
      </c>
      <c r="Q32" s="1303">
        <f t="shared" si="8"/>
        <v>111</v>
      </c>
      <c r="R32" s="1304" t="s">
        <v>5</v>
      </c>
      <c r="S32" s="1305">
        <f t="shared" si="9"/>
        <v>100</v>
      </c>
      <c r="T32" s="1304" t="s">
        <v>5</v>
      </c>
      <c r="U32" s="1305">
        <f t="shared" si="10"/>
        <v>100</v>
      </c>
      <c r="V32" s="1304" t="s">
        <v>5</v>
      </c>
      <c r="W32" s="1305">
        <f t="shared" si="11"/>
        <v>100</v>
      </c>
      <c r="X32" s="1299"/>
      <c r="Y32" s="3679" t="s">
        <v>499</v>
      </c>
      <c r="Z32" s="1306">
        <f t="shared" si="12"/>
        <v>111</v>
      </c>
      <c r="AA32" s="1306">
        <f t="shared" si="3"/>
        <v>1</v>
      </c>
      <c r="AB32" s="1306">
        <f t="shared" si="4"/>
        <v>1</v>
      </c>
      <c r="AC32" s="1306">
        <f t="shared" si="5"/>
        <v>1</v>
      </c>
    </row>
    <row r="33" spans="1:29" ht="15">
      <c r="A33" s="541"/>
      <c r="B33" s="485">
        <v>111</v>
      </c>
      <c r="C33" s="476"/>
      <c r="D33" s="488">
        <v>100</v>
      </c>
      <c r="E33" s="803"/>
      <c r="F33" s="523">
        <f>SUMIF(93:93,E33,94:94)-SUMIF(93:93,C33,94:94)+100</f>
        <v>100</v>
      </c>
      <c r="G33" s="803"/>
      <c r="H33" s="488">
        <f>SUMIF(93:93,G33,94:94)-SUMIF(93:93,C33,94:94)+100</f>
        <v>100</v>
      </c>
      <c r="I33" s="803"/>
      <c r="J33" s="488">
        <f>SUMIF(93:93,I33,94:94)-SUMIF(93:93,C33,94:94)+100</f>
        <v>100</v>
      </c>
      <c r="K33" s="529"/>
      <c r="L33" s="1746"/>
      <c r="M33" s="1739"/>
      <c r="N33" s="1739"/>
      <c r="O33" s="1745"/>
      <c r="P33" s="3679"/>
      <c r="Q33" s="1303">
        <f t="shared" si="8"/>
        <v>111</v>
      </c>
      <c r="R33" s="1304" t="s">
        <v>5</v>
      </c>
      <c r="S33" s="1305">
        <f t="shared" si="9"/>
        <v>100</v>
      </c>
      <c r="T33" s="1304" t="s">
        <v>5</v>
      </c>
      <c r="U33" s="1305">
        <f t="shared" si="10"/>
        <v>100</v>
      </c>
      <c r="V33" s="1304" t="s">
        <v>5</v>
      </c>
      <c r="W33" s="1305">
        <f t="shared" si="11"/>
        <v>100</v>
      </c>
      <c r="X33" s="1299"/>
      <c r="Y33" s="3679"/>
      <c r="Z33" s="1306">
        <f t="shared" si="12"/>
        <v>111</v>
      </c>
      <c r="AA33" s="1306">
        <f t="shared" si="3"/>
        <v>1</v>
      </c>
      <c r="AB33" s="1306">
        <f t="shared" si="4"/>
        <v>1</v>
      </c>
      <c r="AC33" s="1306">
        <f t="shared" si="5"/>
        <v>1</v>
      </c>
    </row>
    <row r="34" spans="1:29" ht="15.75" thickBot="1">
      <c r="A34" s="808"/>
      <c r="B34" s="492">
        <v>111</v>
      </c>
      <c r="C34" s="493"/>
      <c r="D34" s="494">
        <v>100</v>
      </c>
      <c r="E34" s="860"/>
      <c r="F34" s="794">
        <f>SUMIF(95:95,E34,96:96)-SUMIF(95:95,C34,96:96)+100</f>
        <v>100</v>
      </c>
      <c r="G34" s="860"/>
      <c r="H34" s="494">
        <f>SUMIF(95:95,G34,96:96)-SUMIF(95:95,C34,96:96)+100</f>
        <v>100</v>
      </c>
      <c r="I34" s="860"/>
      <c r="J34" s="494">
        <f>SUMIF(95:95,I34,96:96)-SUMIF(95:95,C34,96:96)+100</f>
        <v>100</v>
      </c>
      <c r="K34" s="529"/>
      <c r="L34" s="1746"/>
      <c r="M34" s="1739"/>
      <c r="N34" s="1739"/>
      <c r="O34" s="1745"/>
      <c r="P34" s="3679"/>
      <c r="Q34" s="1303">
        <f t="shared" si="8"/>
        <v>111</v>
      </c>
      <c r="R34" s="1304" t="s">
        <v>5</v>
      </c>
      <c r="S34" s="1305">
        <f t="shared" si="9"/>
        <v>100</v>
      </c>
      <c r="T34" s="1304" t="s">
        <v>5</v>
      </c>
      <c r="U34" s="1305">
        <f t="shared" si="10"/>
        <v>100</v>
      </c>
      <c r="V34" s="1304" t="s">
        <v>5</v>
      </c>
      <c r="W34" s="1305">
        <f t="shared" si="11"/>
        <v>100</v>
      </c>
      <c r="X34" s="1299"/>
      <c r="Y34" s="3679"/>
      <c r="Z34" s="1306">
        <f t="shared" si="12"/>
        <v>111</v>
      </c>
      <c r="AA34" s="1306">
        <f t="shared" si="3"/>
        <v>1</v>
      </c>
      <c r="AB34" s="1306">
        <f t="shared" si="4"/>
        <v>1</v>
      </c>
      <c r="AC34" s="1306">
        <f t="shared" si="5"/>
        <v>1</v>
      </c>
    </row>
    <row r="35" spans="1:29" ht="15">
      <c r="A35" s="554" t="s">
        <v>683</v>
      </c>
      <c r="B35" s="809"/>
      <c r="C35" s="2078" t="s">
        <v>0</v>
      </c>
      <c r="D35" s="557"/>
      <c r="E35" s="558"/>
      <c r="F35" s="559"/>
      <c r="G35" s="560"/>
      <c r="H35" s="561"/>
      <c r="I35" s="558"/>
      <c r="J35" s="561"/>
      <c r="K35" s="1332"/>
      <c r="L35" s="1748"/>
      <c r="M35" s="1739"/>
      <c r="N35" s="1739"/>
      <c r="O35" s="1739"/>
      <c r="P35" s="3642" t="str">
        <f>A35</f>
        <v>成交单价（元/平方米）</v>
      </c>
      <c r="Q35" s="3642"/>
      <c r="R35" s="3643">
        <f>E35</f>
        <v>0</v>
      </c>
      <c r="S35" s="3643"/>
      <c r="T35" s="3643">
        <f>G35</f>
        <v>0</v>
      </c>
      <c r="U35" s="3643"/>
      <c r="V35" s="3643">
        <f>I35</f>
        <v>0</v>
      </c>
      <c r="W35" s="3643"/>
      <c r="X35" s="797"/>
      <c r="Y35" s="1311"/>
      <c r="Z35" s="797"/>
      <c r="AA35" s="797"/>
      <c r="AB35" s="797"/>
      <c r="AC35" s="797"/>
    </row>
    <row r="36" spans="1:29" ht="15.75" thickBot="1">
      <c r="A36" s="562" t="s">
        <v>2040</v>
      </c>
      <c r="B36" s="810"/>
      <c r="C36" s="2079" t="e">
        <f>R37</f>
        <v>#DIV/0!</v>
      </c>
      <c r="D36" s="2546" t="s">
        <v>2255</v>
      </c>
      <c r="E36" s="2080" t="e">
        <f>R36</f>
        <v>#DIV/0!</v>
      </c>
      <c r="F36" s="2547"/>
      <c r="G36" s="2079" t="e">
        <f>T36</f>
        <v>#DIV/0!</v>
      </c>
      <c r="H36" s="2547"/>
      <c r="I36" s="2080" t="e">
        <f>V36</f>
        <v>#DIV/0!</v>
      </c>
      <c r="J36" s="2547"/>
      <c r="K36" s="2554">
        <f>F36+H36+J36</f>
        <v>0</v>
      </c>
      <c r="L36" s="1748"/>
      <c r="M36" s="1739"/>
      <c r="N36" s="1739"/>
      <c r="O36" s="1739"/>
      <c r="P36" s="3642" t="str">
        <f>A36</f>
        <v>比较价格（元/平方米）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797"/>
      <c r="Y36" s="797"/>
      <c r="Z36" s="797"/>
      <c r="AA36" s="797"/>
      <c r="AB36" s="797"/>
      <c r="AC36" s="797"/>
    </row>
    <row r="37" spans="1:29" ht="15.75" thickBot="1">
      <c r="A37" s="566" t="s">
        <v>2191</v>
      </c>
      <c r="B37" s="567"/>
      <c r="C37" s="467" t="e">
        <f>R37</f>
        <v>#DIV/0!</v>
      </c>
      <c r="D37" s="467"/>
      <c r="E37" s="467"/>
      <c r="F37" s="467"/>
      <c r="G37" s="467"/>
      <c r="H37" s="467"/>
      <c r="I37" s="467"/>
      <c r="J37" s="467"/>
      <c r="K37" s="1333"/>
      <c r="L37" s="1748"/>
      <c r="M37" s="1739"/>
      <c r="N37" s="1739"/>
      <c r="O37" s="1739"/>
      <c r="P37" s="3680" t="str">
        <f>A37</f>
        <v>估价对象XX用房的比较价格（楼面单价，元/平方米）</v>
      </c>
      <c r="Q37" s="3681"/>
      <c r="R37" s="3697" t="e">
        <f>IF(F1="售价",ROUND(IF(D36="简单平均",AVERAGE(R36:W36),R36*F36+T36*H36+V36*J36),0),ROUND(IF(D36="简单平均",AVERAGE(R36:V36),R36*F36+T36*H36+V36*J36),1))</f>
        <v>#DIV/0!</v>
      </c>
      <c r="S37" s="3697"/>
      <c r="T37" s="3697"/>
      <c r="U37" s="3697"/>
      <c r="V37" s="3697"/>
      <c r="W37" s="3697"/>
      <c r="X37" s="797"/>
      <c r="Y37" s="797"/>
      <c r="Z37" s="797"/>
      <c r="AA37" s="797"/>
      <c r="AB37" s="797"/>
      <c r="AC37" s="797"/>
    </row>
    <row r="38" spans="1:29">
      <c r="A38" s="2715"/>
      <c r="B38" s="2715"/>
      <c r="C38" s="2715"/>
      <c r="D38" s="2715"/>
      <c r="E38" s="2715"/>
      <c r="F38" s="2715"/>
      <c r="G38" s="2717"/>
      <c r="H38" s="2715"/>
      <c r="I38" s="2715"/>
      <c r="J38" s="2715"/>
      <c r="K38" s="2718"/>
      <c r="L38" s="1752"/>
      <c r="M38" s="1739"/>
      <c r="N38" s="1739"/>
      <c r="O38" s="1739"/>
      <c r="P38" s="1739"/>
      <c r="Q38" s="1739"/>
      <c r="R38" s="1739"/>
      <c r="S38" s="1739"/>
      <c r="T38" s="1739"/>
      <c r="U38" s="1739"/>
      <c r="V38" s="1739"/>
      <c r="W38" s="1739"/>
      <c r="X38" s="1739"/>
      <c r="Y38" s="1739"/>
      <c r="Z38" s="1739"/>
      <c r="AA38" s="1739"/>
      <c r="AB38" s="1739"/>
      <c r="AC38" s="1739"/>
    </row>
    <row r="39" spans="1:29">
      <c r="A39" s="2715"/>
      <c r="B39" s="2715"/>
      <c r="C39" s="2715"/>
      <c r="D39" s="2715"/>
      <c r="E39" s="2715"/>
      <c r="F39" s="2715"/>
      <c r="G39" s="2715"/>
      <c r="H39" s="2715"/>
      <c r="I39" s="2715"/>
      <c r="J39" s="2715"/>
      <c r="K39" s="2718"/>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5"/>
      <c r="B40" s="2715"/>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8"/>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5"/>
      <c r="B41" s="2715"/>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8"/>
      <c r="L41" s="1752"/>
      <c r="M41" s="1739"/>
      <c r="N41" s="1739"/>
      <c r="O41" s="1739"/>
      <c r="P41" s="1739"/>
      <c r="Q41" s="1739"/>
      <c r="R41" s="1739"/>
      <c r="S41" s="1739"/>
      <c r="T41" s="1739"/>
      <c r="U41" s="1739"/>
      <c r="V41" s="1739"/>
      <c r="W41" s="1739"/>
      <c r="X41" s="1739"/>
      <c r="Y41" s="1739"/>
      <c r="Z41" s="1739"/>
      <c r="AA41" s="1739"/>
      <c r="AB41" s="1739"/>
      <c r="AC41" s="1739"/>
    </row>
    <row r="42" spans="1:29" s="1136" customFormat="1" ht="13.5" customHeight="1">
      <c r="A42" s="2716"/>
      <c r="B42" s="2716"/>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19"/>
      <c r="L42" s="1755"/>
      <c r="M42" s="1749"/>
      <c r="N42" s="1749"/>
      <c r="O42" s="1749"/>
      <c r="P42" s="1749"/>
      <c r="Q42" s="1749"/>
      <c r="R42" s="1749"/>
      <c r="S42" s="1749"/>
      <c r="T42" s="1749"/>
      <c r="U42" s="1749"/>
      <c r="V42" s="1749"/>
      <c r="W42" s="1749"/>
      <c r="X42" s="1749"/>
      <c r="Y42" s="1749"/>
      <c r="Z42" s="1749"/>
      <c r="AA42" s="1749"/>
      <c r="AB42" s="1749"/>
      <c r="AC42" s="1749"/>
    </row>
    <row r="43" spans="1:29" s="1136"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1.75" thickBot="1">
      <c r="A45" s="1314" t="s">
        <v>522</v>
      </c>
      <c r="B45" s="797"/>
      <c r="C45" s="1313"/>
      <c r="D45" s="1313"/>
      <c r="E45" s="1313"/>
      <c r="F45" s="1315"/>
      <c r="G45" s="1315"/>
      <c r="H45" s="1313"/>
      <c r="I45" s="1313"/>
      <c r="J45" s="1313"/>
      <c r="K45" s="1316"/>
      <c r="L45" s="1312"/>
      <c r="M45" s="1313"/>
      <c r="N45" s="1759"/>
      <c r="O45" s="1759"/>
      <c r="P45" s="1759"/>
      <c r="Q45" s="1760"/>
      <c r="R45" s="1739"/>
      <c r="S45" s="1739"/>
      <c r="T45" s="1739"/>
      <c r="U45" s="1739"/>
      <c r="V45" s="1739"/>
      <c r="W45" s="1739"/>
      <c r="X45" s="1739"/>
      <c r="Y45" s="1739"/>
      <c r="Z45" s="1739"/>
      <c r="AA45" s="1739"/>
      <c r="AB45" s="1739"/>
      <c r="AC45" s="1739"/>
    </row>
    <row r="46" spans="1:29" s="1138" customFormat="1" ht="15">
      <c r="A46" s="590" t="s">
        <v>478</v>
      </c>
      <c r="B46" s="591"/>
      <c r="C46" s="2110" t="str">
        <f>YEAR(C7)&amp;"-"&amp;MONTH(C7)</f>
        <v>2024-11</v>
      </c>
      <c r="D46" s="2112">
        <f>EDATE(C46,-1)</f>
        <v>45566</v>
      </c>
      <c r="E46" s="2112">
        <f t="shared" ref="E46:O46" si="13">EDATE(D46,-1)</f>
        <v>45536</v>
      </c>
      <c r="F46" s="2112">
        <f t="shared" si="13"/>
        <v>45505</v>
      </c>
      <c r="G46" s="2112">
        <f t="shared" si="13"/>
        <v>45474</v>
      </c>
      <c r="H46" s="2112">
        <f t="shared" si="13"/>
        <v>45444</v>
      </c>
      <c r="I46" s="2112">
        <f t="shared" si="13"/>
        <v>45413</v>
      </c>
      <c r="J46" s="2112">
        <f t="shared" si="13"/>
        <v>45383</v>
      </c>
      <c r="K46" s="2112">
        <f t="shared" si="13"/>
        <v>45352</v>
      </c>
      <c r="L46" s="2112">
        <f t="shared" si="13"/>
        <v>45323</v>
      </c>
      <c r="M46" s="2112">
        <f t="shared" si="13"/>
        <v>45292</v>
      </c>
      <c r="N46" s="2112">
        <f t="shared" si="13"/>
        <v>45261</v>
      </c>
      <c r="O46" s="2112">
        <f t="shared" si="13"/>
        <v>45231</v>
      </c>
      <c r="P46" s="1762"/>
      <c r="Q46" s="1762"/>
      <c r="R46" s="1762"/>
      <c r="S46" s="1762"/>
      <c r="T46" s="1762"/>
      <c r="U46" s="1762"/>
      <c r="V46" s="1762"/>
      <c r="W46" s="1762"/>
      <c r="X46" s="1762"/>
      <c r="Y46" s="1762"/>
      <c r="Z46" s="1762"/>
      <c r="AA46" s="1762"/>
      <c r="AB46" s="1762"/>
      <c r="AC46" s="1762"/>
    </row>
    <row r="47" spans="1:29" s="1057" customFormat="1" ht="15">
      <c r="A47" s="525"/>
      <c r="B47" s="592"/>
      <c r="C47" s="593">
        <v>100</v>
      </c>
      <c r="D47" s="594"/>
      <c r="E47" s="594"/>
      <c r="F47" s="594"/>
      <c r="G47" s="594"/>
      <c r="H47" s="594"/>
      <c r="I47" s="594"/>
      <c r="J47" s="594"/>
      <c r="K47" s="594"/>
      <c r="L47" s="594"/>
      <c r="M47" s="485"/>
      <c r="N47" s="594"/>
      <c r="O47" s="595"/>
      <c r="P47" s="1760"/>
      <c r="Q47" s="1637"/>
      <c r="R47" s="1637"/>
      <c r="S47" s="1637"/>
      <c r="T47" s="1637"/>
      <c r="U47" s="1637"/>
      <c r="V47" s="1637"/>
      <c r="W47" s="1637"/>
      <c r="X47" s="1637"/>
      <c r="Y47" s="1637"/>
      <c r="Z47" s="1637"/>
      <c r="AA47" s="1637"/>
      <c r="AB47" s="1637"/>
      <c r="AC47" s="1637"/>
    </row>
    <row r="48" spans="1:29" s="1057" customFormat="1" ht="15.75" thickBot="1">
      <c r="A48" s="260" t="s">
        <v>523</v>
      </c>
      <c r="B48" s="596"/>
      <c r="C48" s="597"/>
      <c r="D48" s="598"/>
      <c r="E48" s="598"/>
      <c r="F48" s="598"/>
      <c r="G48" s="598"/>
      <c r="H48" s="598"/>
      <c r="I48" s="598"/>
      <c r="J48" s="598"/>
      <c r="K48" s="598"/>
      <c r="L48" s="598"/>
      <c r="M48" s="599"/>
      <c r="N48" s="598"/>
      <c r="O48" s="600"/>
      <c r="P48" s="1760"/>
      <c r="Q48" s="1760"/>
      <c r="R48" s="1637"/>
      <c r="S48" s="1637"/>
      <c r="T48" s="1637"/>
      <c r="U48" s="1637"/>
      <c r="V48" s="1637"/>
      <c r="W48" s="1637"/>
      <c r="X48" s="1637"/>
      <c r="Y48" s="1637"/>
      <c r="Z48" s="1637"/>
      <c r="AA48" s="1637"/>
      <c r="AB48" s="1637"/>
      <c r="AC48" s="1637"/>
    </row>
    <row r="49" spans="1:29" s="1057" customFormat="1" ht="15">
      <c r="A49" s="601" t="s">
        <v>480</v>
      </c>
      <c r="B49" s="592"/>
      <c r="C49" s="602" t="s">
        <v>524</v>
      </c>
      <c r="D49" s="80"/>
      <c r="E49" s="80"/>
      <c r="F49" s="80"/>
      <c r="G49" s="80"/>
      <c r="H49" s="80"/>
      <c r="I49" s="80"/>
      <c r="J49" s="80"/>
      <c r="K49" s="80"/>
      <c r="L49" s="603"/>
      <c r="M49" s="604"/>
      <c r="N49" s="1763"/>
      <c r="O49" s="1763"/>
      <c r="P49" s="1644"/>
      <c r="Q49" s="1760"/>
      <c r="R49" s="1637"/>
      <c r="S49" s="1637"/>
      <c r="T49" s="1637"/>
      <c r="U49" s="1637"/>
      <c r="V49" s="1637"/>
      <c r="W49" s="1637"/>
      <c r="X49" s="1637"/>
      <c r="Y49" s="1637"/>
      <c r="Z49" s="1637"/>
      <c r="AA49" s="1637"/>
      <c r="AB49" s="1637"/>
      <c r="AC49" s="1637"/>
    </row>
    <row r="50" spans="1:29" s="1057" customFormat="1" ht="15.75" thickBot="1">
      <c r="A50" s="601"/>
      <c r="B50" s="592"/>
      <c r="C50" s="593">
        <v>100</v>
      </c>
      <c r="D50" s="594"/>
      <c r="E50" s="594"/>
      <c r="F50" s="594"/>
      <c r="G50" s="594"/>
      <c r="H50" s="594"/>
      <c r="I50" s="594"/>
      <c r="J50" s="594"/>
      <c r="K50" s="594"/>
      <c r="L50" s="594"/>
      <c r="M50" s="595"/>
      <c r="N50" s="1763"/>
      <c r="O50" s="1763"/>
      <c r="P50" s="1760"/>
      <c r="Q50" s="1760"/>
      <c r="R50" s="1637"/>
      <c r="S50" s="1637"/>
      <c r="T50" s="1637"/>
      <c r="U50" s="1637"/>
      <c r="V50" s="1637"/>
      <c r="W50" s="1637"/>
      <c r="X50" s="1637"/>
      <c r="Y50" s="1637"/>
      <c r="Z50" s="1637"/>
      <c r="AA50" s="1637"/>
      <c r="AB50" s="1637"/>
      <c r="AC50" s="1637"/>
    </row>
    <row r="51" spans="1:29">
      <c r="A51" s="605" t="s">
        <v>525</v>
      </c>
      <c r="B51" s="606" t="s">
        <v>483</v>
      </c>
      <c r="C51" s="643">
        <f>C9</f>
        <v>0</v>
      </c>
      <c r="D51" s="545"/>
      <c r="E51" s="545"/>
      <c r="F51" s="545"/>
      <c r="G51" s="545"/>
      <c r="H51" s="545"/>
      <c r="I51" s="545"/>
      <c r="J51" s="545"/>
      <c r="K51" s="607"/>
      <c r="L51" s="608"/>
      <c r="M51" s="609"/>
      <c r="N51" s="1764"/>
      <c r="O51" s="1764"/>
      <c r="P51" s="1763"/>
      <c r="Q51" s="1760"/>
      <c r="R51" s="1739"/>
      <c r="S51" s="1739"/>
      <c r="T51" s="1739"/>
      <c r="U51" s="1739"/>
      <c r="V51" s="1739"/>
      <c r="W51" s="1739"/>
      <c r="X51" s="1739"/>
      <c r="Y51" s="1739"/>
      <c r="Z51" s="1739"/>
      <c r="AA51" s="1739"/>
      <c r="AB51" s="1739"/>
      <c r="AC51" s="1739"/>
    </row>
    <row r="52" spans="1:29" ht="15.75" thickBot="1">
      <c r="A52" s="480"/>
      <c r="B52" s="610"/>
      <c r="C52" s="611">
        <v>100</v>
      </c>
      <c r="D52" s="611"/>
      <c r="E52" s="611"/>
      <c r="F52" s="611"/>
      <c r="G52" s="611"/>
      <c r="H52" s="611"/>
      <c r="I52" s="611"/>
      <c r="J52" s="611"/>
      <c r="K52" s="611"/>
      <c r="L52" s="611"/>
      <c r="M52" s="612"/>
      <c r="N52" s="1765"/>
      <c r="O52" s="1765"/>
      <c r="P52" s="1763"/>
      <c r="Q52" s="1760"/>
      <c r="R52" s="1739"/>
      <c r="S52" s="1739"/>
      <c r="T52" s="1739"/>
      <c r="U52" s="1739"/>
      <c r="V52" s="1739"/>
      <c r="W52" s="1739"/>
      <c r="X52" s="1739"/>
      <c r="Y52" s="1739"/>
      <c r="Z52" s="1739"/>
      <c r="AA52" s="1739"/>
      <c r="AB52" s="1739"/>
      <c r="AC52" s="1739"/>
    </row>
    <row r="53" spans="1:29" ht="27.75" thickTop="1">
      <c r="A53" s="480"/>
      <c r="B53" s="613" t="s">
        <v>486</v>
      </c>
      <c r="C53" s="656"/>
      <c r="D53" s="656"/>
      <c r="E53" s="656"/>
      <c r="F53" s="656"/>
      <c r="G53" s="656"/>
      <c r="H53" s="656"/>
      <c r="I53" s="656"/>
      <c r="J53" s="656"/>
      <c r="K53" s="657"/>
      <c r="L53" s="658"/>
      <c r="M53" s="659"/>
      <c r="N53" s="1764"/>
      <c r="O53" s="1764"/>
      <c r="P53" s="1763"/>
      <c r="Q53" s="1760"/>
      <c r="R53" s="1739"/>
      <c r="S53" s="1739"/>
      <c r="T53" s="1739"/>
      <c r="U53" s="1739"/>
      <c r="V53" s="1739"/>
      <c r="W53" s="1739"/>
      <c r="X53" s="1739"/>
      <c r="Y53" s="1739"/>
      <c r="Z53" s="1739"/>
      <c r="AA53" s="1739"/>
      <c r="AB53" s="1739"/>
      <c r="AC53" s="1739"/>
    </row>
    <row r="54" spans="1:29" ht="15.75" thickBot="1">
      <c r="A54" s="480"/>
      <c r="B54" s="618"/>
      <c r="C54" s="611"/>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15.75" thickTop="1">
      <c r="A55" s="480"/>
      <c r="B55" s="853">
        <f>B11</f>
        <v>111</v>
      </c>
      <c r="C55" s="489"/>
      <c r="D55" s="489"/>
      <c r="E55" s="489"/>
      <c r="F55" s="489"/>
      <c r="G55" s="489"/>
      <c r="H55" s="489"/>
      <c r="I55" s="489"/>
      <c r="J55" s="489"/>
      <c r="K55" s="624"/>
      <c r="L55" s="625"/>
      <c r="M55" s="626"/>
      <c r="N55" s="1764"/>
      <c r="O55" s="1764"/>
      <c r="P55" s="1763"/>
      <c r="Q55" s="1760"/>
      <c r="R55" s="1739"/>
      <c r="S55" s="1739"/>
      <c r="T55" s="1739"/>
      <c r="U55" s="1739"/>
      <c r="V55" s="1739"/>
      <c r="W55" s="1739"/>
      <c r="X55" s="1739"/>
      <c r="Y55" s="1739"/>
      <c r="Z55" s="1739"/>
      <c r="AA55" s="1739"/>
      <c r="AB55" s="1739"/>
      <c r="AC55" s="1739"/>
    </row>
    <row r="56" spans="1:29" ht="15.75" thickBot="1">
      <c r="A56" s="480"/>
      <c r="B56" s="610"/>
      <c r="C56" s="632"/>
      <c r="D56" s="611"/>
      <c r="E56" s="611"/>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s="1131" customFormat="1" ht="15.75" thickTop="1">
      <c r="A57" s="627"/>
      <c r="B57" s="613">
        <f>B12</f>
        <v>111</v>
      </c>
      <c r="C57" s="489"/>
      <c r="D57" s="489"/>
      <c r="E57" s="489"/>
      <c r="F57" s="489"/>
      <c r="G57" s="628"/>
      <c r="H57" s="629"/>
      <c r="I57" s="629"/>
      <c r="J57" s="629"/>
      <c r="K57" s="629"/>
      <c r="L57" s="630"/>
      <c r="M57" s="631"/>
      <c r="N57" s="1766"/>
      <c r="O57" s="1766"/>
      <c r="P57" s="1766"/>
      <c r="Q57" s="1767"/>
      <c r="R57" s="1768"/>
      <c r="S57" s="1768"/>
      <c r="T57" s="1768"/>
      <c r="U57" s="1768"/>
      <c r="V57" s="1768"/>
      <c r="W57" s="1768"/>
      <c r="X57" s="1768"/>
      <c r="Y57" s="1768"/>
      <c r="Z57" s="1768"/>
      <c r="AA57" s="1768"/>
      <c r="AB57" s="1768"/>
      <c r="AC57" s="1768"/>
    </row>
    <row r="58" spans="1:29" s="1131" customFormat="1" ht="15.75" thickBot="1">
      <c r="A58" s="627"/>
      <c r="B58" s="618"/>
      <c r="C58" s="632"/>
      <c r="D58" s="611"/>
      <c r="E58" s="611"/>
      <c r="F58" s="611"/>
      <c r="G58" s="611"/>
      <c r="H58" s="611"/>
      <c r="I58" s="611"/>
      <c r="J58" s="611"/>
      <c r="K58" s="611"/>
      <c r="L58" s="611"/>
      <c r="M58" s="612"/>
      <c r="N58" s="1765"/>
      <c r="O58" s="1765"/>
      <c r="P58" s="1766"/>
      <c r="Q58" s="1767"/>
      <c r="R58" s="1768"/>
      <c r="S58" s="1768"/>
      <c r="T58" s="1768"/>
      <c r="U58" s="1768"/>
      <c r="V58" s="1768"/>
      <c r="W58" s="1768"/>
      <c r="X58" s="1768"/>
      <c r="Y58" s="1768"/>
      <c r="Z58" s="1768"/>
      <c r="AA58" s="1768"/>
      <c r="AB58" s="1768"/>
      <c r="AC58" s="1768"/>
    </row>
    <row r="59" spans="1:29" s="1131" customFormat="1" ht="15.75" thickTop="1">
      <c r="A59" s="627"/>
      <c r="B59" s="613">
        <f>B13</f>
        <v>111</v>
      </c>
      <c r="C59" s="489"/>
      <c r="D59" s="489"/>
      <c r="E59" s="489"/>
      <c r="F59" s="489"/>
      <c r="G59" s="628"/>
      <c r="H59" s="629"/>
      <c r="I59" s="629"/>
      <c r="J59" s="629"/>
      <c r="K59" s="629"/>
      <c r="L59" s="630"/>
      <c r="M59" s="631"/>
      <c r="N59" s="1766"/>
      <c r="O59" s="1766"/>
      <c r="P59" s="1768"/>
      <c r="Q59" s="1769"/>
      <c r="R59" s="1768"/>
      <c r="S59" s="1768"/>
      <c r="T59" s="1768"/>
      <c r="U59" s="1768"/>
      <c r="V59" s="1768"/>
      <c r="W59" s="1768"/>
      <c r="X59" s="1768"/>
      <c r="Y59" s="1768"/>
      <c r="Z59" s="1768"/>
      <c r="AA59" s="1768"/>
      <c r="AB59" s="1768"/>
      <c r="AC59" s="1768"/>
    </row>
    <row r="60" spans="1:29" s="1131" customFormat="1" ht="15.75" thickBot="1">
      <c r="A60" s="627"/>
      <c r="B60" s="618"/>
      <c r="C60" s="632"/>
      <c r="D60" s="632"/>
      <c r="E60" s="632"/>
      <c r="F60" s="632"/>
      <c r="G60" s="632"/>
      <c r="H60" s="633"/>
      <c r="I60" s="633"/>
      <c r="J60" s="633"/>
      <c r="K60" s="633"/>
      <c r="L60" s="633"/>
      <c r="M60" s="634"/>
      <c r="N60" s="1766"/>
      <c r="O60" s="1766"/>
      <c r="P60" s="1766"/>
      <c r="Q60" s="1767"/>
      <c r="R60" s="1768"/>
      <c r="S60" s="1768"/>
      <c r="T60" s="1768"/>
      <c r="U60" s="1768"/>
      <c r="V60" s="1768"/>
      <c r="W60" s="1768"/>
      <c r="X60" s="1768"/>
      <c r="Y60" s="1768"/>
      <c r="Z60" s="1768"/>
      <c r="AA60" s="1768"/>
      <c r="AB60" s="1768"/>
      <c r="AC60" s="1768"/>
    </row>
    <row r="61" spans="1:29" ht="15" thickTop="1">
      <c r="A61" s="605" t="s">
        <v>488</v>
      </c>
      <c r="B61" s="606" t="s">
        <v>534</v>
      </c>
      <c r="C61" s="143" t="s">
        <v>527</v>
      </c>
      <c r="D61" s="143" t="s">
        <v>528</v>
      </c>
      <c r="E61" s="143" t="s">
        <v>529</v>
      </c>
      <c r="F61" s="143" t="s">
        <v>530</v>
      </c>
      <c r="G61" s="143" t="s">
        <v>531</v>
      </c>
      <c r="H61" s="643"/>
      <c r="I61" s="643"/>
      <c r="J61" s="643"/>
      <c r="K61" s="644"/>
      <c r="L61" s="645"/>
      <c r="M61" s="646"/>
      <c r="N61" s="1764"/>
      <c r="O61" s="1764"/>
      <c r="P61" s="1771"/>
      <c r="Q61" s="1760"/>
      <c r="R61" s="1739"/>
      <c r="S61" s="1739"/>
      <c r="T61" s="1739"/>
      <c r="U61" s="1739"/>
      <c r="V61" s="1739"/>
      <c r="W61" s="1739"/>
      <c r="X61" s="1739"/>
      <c r="Y61" s="1739"/>
      <c r="Z61" s="1739"/>
      <c r="AA61" s="1739"/>
      <c r="AB61" s="1739"/>
      <c r="AC61" s="1739"/>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5"/>
      <c r="O62" s="1765"/>
      <c r="P62" s="1763"/>
      <c r="Q62" s="1760"/>
      <c r="R62" s="1739"/>
      <c r="S62" s="1739"/>
      <c r="T62" s="1739"/>
      <c r="U62" s="1739"/>
      <c r="V62" s="1739"/>
      <c r="W62" s="1739"/>
      <c r="X62" s="1739"/>
      <c r="Y62" s="1739"/>
      <c r="Z62" s="1739"/>
      <c r="AA62" s="1739"/>
      <c r="AB62" s="1739"/>
      <c r="AC62" s="1739"/>
    </row>
    <row r="63" spans="1:29" ht="15.75" thickTop="1">
      <c r="A63" s="480"/>
      <c r="B63" s="1552" t="s">
        <v>1838</v>
      </c>
      <c r="C63" s="647" t="s">
        <v>527</v>
      </c>
      <c r="D63" s="647" t="s">
        <v>528</v>
      </c>
      <c r="E63" s="647" t="s">
        <v>529</v>
      </c>
      <c r="F63" s="647" t="s">
        <v>530</v>
      </c>
      <c r="G63" s="647" t="s">
        <v>531</v>
      </c>
      <c r="H63" s="614"/>
      <c r="I63" s="614"/>
      <c r="J63" s="614"/>
      <c r="K63" s="615"/>
      <c r="L63" s="616"/>
      <c r="M63" s="617"/>
      <c r="N63" s="1764"/>
      <c r="O63" s="1764"/>
      <c r="P63" s="1763"/>
      <c r="Q63" s="1760"/>
      <c r="R63" s="1739"/>
      <c r="S63" s="1739"/>
      <c r="T63" s="1739"/>
      <c r="U63" s="1739"/>
      <c r="V63" s="1739"/>
      <c r="W63" s="1739"/>
      <c r="X63" s="1739"/>
      <c r="Y63" s="1739"/>
      <c r="Z63" s="1739"/>
      <c r="AA63" s="1739"/>
      <c r="AB63" s="1739"/>
      <c r="AC63" s="1739"/>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5.75" thickTop="1">
      <c r="A65" s="480"/>
      <c r="B65" s="2053" t="s">
        <v>1839</v>
      </c>
      <c r="C65" s="2054" t="s">
        <v>1840</v>
      </c>
      <c r="D65" s="2054" t="s">
        <v>1841</v>
      </c>
      <c r="E65" s="2054" t="s">
        <v>1842</v>
      </c>
      <c r="F65" s="2054" t="s">
        <v>1843</v>
      </c>
      <c r="G65" s="2054" t="s">
        <v>1844</v>
      </c>
      <c r="H65" s="614"/>
      <c r="I65" s="614"/>
      <c r="J65" s="614"/>
      <c r="K65" s="614"/>
      <c r="L65" s="614"/>
      <c r="M65" s="2057"/>
      <c r="N65" s="1765"/>
      <c r="O65" s="1765"/>
      <c r="P65" s="1763"/>
      <c r="Q65" s="1760"/>
      <c r="R65" s="1739"/>
      <c r="S65" s="1739"/>
      <c r="T65" s="1739"/>
      <c r="U65" s="1739"/>
      <c r="V65" s="1739"/>
      <c r="W65" s="1739"/>
      <c r="X65" s="1739"/>
      <c r="Y65" s="1739"/>
      <c r="Z65" s="1739"/>
      <c r="AA65" s="1739"/>
      <c r="AB65" s="1739"/>
      <c r="AC65" s="1739"/>
    </row>
    <row r="66" spans="1:29" ht="15.75" thickBot="1">
      <c r="A66" s="480"/>
      <c r="B66" s="621"/>
      <c r="C66" s="619">
        <v>100</v>
      </c>
      <c r="D66" s="619">
        <f>C66-$K18</f>
        <v>100</v>
      </c>
      <c r="E66" s="619">
        <f>D66-$K18</f>
        <v>100</v>
      </c>
      <c r="F66" s="619">
        <f>E66-$K18</f>
        <v>100</v>
      </c>
      <c r="G66" s="619">
        <f>F66-$K18</f>
        <v>100</v>
      </c>
      <c r="H66" s="853"/>
      <c r="I66" s="853"/>
      <c r="J66" s="853"/>
      <c r="K66" s="853"/>
      <c r="L66" s="853"/>
      <c r="M66" s="507"/>
      <c r="N66" s="1765"/>
      <c r="O66" s="1765"/>
      <c r="P66" s="1763"/>
      <c r="Q66" s="1760"/>
      <c r="R66" s="1739"/>
      <c r="S66" s="1739"/>
      <c r="T66" s="1739"/>
      <c r="U66" s="1739"/>
      <c r="V66" s="1739"/>
      <c r="W66" s="1739"/>
      <c r="X66" s="1739"/>
      <c r="Y66" s="1739"/>
      <c r="Z66" s="1739"/>
      <c r="AA66" s="1739"/>
      <c r="AB66" s="1739"/>
      <c r="AC66" s="1739"/>
    </row>
    <row r="67" spans="1:29" ht="15.75" thickTop="1">
      <c r="A67" s="480"/>
      <c r="B67" s="613" t="s">
        <v>684</v>
      </c>
      <c r="C67" s="647" t="s">
        <v>527</v>
      </c>
      <c r="D67" s="647" t="s">
        <v>528</v>
      </c>
      <c r="E67" s="647" t="s">
        <v>529</v>
      </c>
      <c r="F67" s="647" t="s">
        <v>530</v>
      </c>
      <c r="G67" s="647" t="s">
        <v>531</v>
      </c>
      <c r="H67" s="614"/>
      <c r="I67" s="614"/>
      <c r="J67" s="614"/>
      <c r="K67" s="615"/>
      <c r="L67" s="616"/>
      <c r="M67" s="617"/>
      <c r="N67" s="1764"/>
      <c r="O67" s="1764"/>
      <c r="P67" s="1763"/>
      <c r="Q67" s="1760"/>
      <c r="R67" s="1739"/>
      <c r="S67" s="1739"/>
      <c r="T67" s="1739"/>
      <c r="U67" s="1739"/>
      <c r="V67" s="1739"/>
      <c r="W67" s="1739"/>
      <c r="X67" s="1739"/>
      <c r="Y67" s="1739"/>
      <c r="Z67" s="1739"/>
      <c r="AA67" s="1739"/>
      <c r="AB67" s="1739"/>
      <c r="AC67" s="1739"/>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5"/>
      <c r="O68" s="1765"/>
      <c r="P68" s="1763"/>
      <c r="Q68" s="1760"/>
      <c r="R68" s="1739"/>
      <c r="S68" s="1739"/>
      <c r="T68" s="1739"/>
      <c r="U68" s="1739"/>
      <c r="V68" s="1739"/>
      <c r="W68" s="1739"/>
      <c r="X68" s="1739"/>
      <c r="Y68" s="1739"/>
      <c r="Z68" s="1739"/>
      <c r="AA68" s="1739"/>
      <c r="AB68" s="1739"/>
      <c r="AC68" s="1739"/>
    </row>
    <row r="69" spans="1:29" ht="15.75" thickTop="1">
      <c r="A69" s="480"/>
      <c r="B69" s="613" t="s">
        <v>685</v>
      </c>
      <c r="C69" s="628"/>
      <c r="D69" s="628"/>
      <c r="E69" s="628"/>
      <c r="F69" s="628"/>
      <c r="G69" s="628"/>
      <c r="H69" s="656"/>
      <c r="I69" s="656"/>
      <c r="J69" s="656"/>
      <c r="K69" s="657"/>
      <c r="L69" s="658"/>
      <c r="M69" s="659"/>
      <c r="N69" s="1764"/>
      <c r="O69" s="1764"/>
      <c r="P69" s="1763"/>
      <c r="Q69" s="1760"/>
      <c r="R69" s="1739"/>
      <c r="S69" s="1739"/>
      <c r="T69" s="1739"/>
      <c r="U69" s="1739"/>
      <c r="V69" s="1739"/>
      <c r="W69" s="1739"/>
      <c r="X69" s="1739"/>
      <c r="Y69" s="1739"/>
      <c r="Z69" s="1739"/>
      <c r="AA69" s="1739"/>
      <c r="AB69" s="1739"/>
      <c r="AC69" s="1739"/>
    </row>
    <row r="70" spans="1:29" ht="15.75" thickBot="1">
      <c r="A70" s="480"/>
      <c r="B70" s="618"/>
      <c r="C70" s="619">
        <v>100</v>
      </c>
      <c r="D70" s="619">
        <f>C70-$K22</f>
        <v>100</v>
      </c>
      <c r="E70" s="619"/>
      <c r="F70" s="619"/>
      <c r="G70" s="619"/>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s="1057" customFormat="1" ht="15.75" thickTop="1">
      <c r="A71" s="484"/>
      <c r="B71" s="613">
        <f>B23</f>
        <v>111</v>
      </c>
      <c r="C71" s="489"/>
      <c r="D71" s="489"/>
      <c r="E71" s="489"/>
      <c r="F71" s="489"/>
      <c r="G71" s="628"/>
      <c r="H71" s="628"/>
      <c r="I71" s="628"/>
      <c r="J71" s="628"/>
      <c r="K71" s="628"/>
      <c r="L71" s="812"/>
      <c r="M71" s="813"/>
      <c r="N71" s="1763"/>
      <c r="O71" s="1763"/>
      <c r="P71" s="1763"/>
      <c r="Q71" s="1760"/>
      <c r="R71" s="1637"/>
      <c r="S71" s="1637"/>
      <c r="T71" s="1637"/>
      <c r="U71" s="1637"/>
      <c r="V71" s="1637"/>
      <c r="W71" s="1637"/>
      <c r="X71" s="1637"/>
      <c r="Y71" s="1637"/>
      <c r="Z71" s="1637"/>
      <c r="AA71" s="1637"/>
      <c r="AB71" s="1637"/>
      <c r="AC71" s="1637"/>
    </row>
    <row r="72" spans="1:29" s="1057" customFormat="1" ht="15.75" thickBot="1">
      <c r="A72" s="484"/>
      <c r="B72" s="618"/>
      <c r="C72" s="632"/>
      <c r="D72" s="611"/>
      <c r="E72" s="611"/>
      <c r="F72" s="611"/>
      <c r="G72" s="611"/>
      <c r="H72" s="611"/>
      <c r="I72" s="611"/>
      <c r="J72" s="611"/>
      <c r="K72" s="611"/>
      <c r="L72" s="611"/>
      <c r="M72" s="612"/>
      <c r="N72" s="1765"/>
      <c r="O72" s="1765"/>
      <c r="P72" s="1763"/>
      <c r="Q72" s="1760"/>
      <c r="R72" s="1637"/>
      <c r="S72" s="1637"/>
      <c r="T72" s="1637"/>
      <c r="U72" s="1637"/>
      <c r="V72" s="1637"/>
      <c r="W72" s="1637"/>
      <c r="X72" s="1637"/>
      <c r="Y72" s="1637"/>
      <c r="Z72" s="1637"/>
      <c r="AA72" s="1637"/>
      <c r="AB72" s="1637"/>
      <c r="AC72" s="1637"/>
    </row>
    <row r="73" spans="1:29" s="1057" customFormat="1" ht="15.75" thickTop="1">
      <c r="A73" s="484"/>
      <c r="B73" s="613">
        <f>B24</f>
        <v>111</v>
      </c>
      <c r="C73" s="489"/>
      <c r="D73" s="489"/>
      <c r="E73" s="489"/>
      <c r="F73" s="489"/>
      <c r="G73" s="628"/>
      <c r="H73" s="628"/>
      <c r="I73" s="628"/>
      <c r="J73" s="628"/>
      <c r="K73" s="628"/>
      <c r="L73" s="628"/>
      <c r="M73" s="813"/>
      <c r="N73" s="1763"/>
      <c r="O73" s="1763"/>
      <c r="P73" s="1763"/>
      <c r="Q73" s="1760"/>
      <c r="R73" s="1637"/>
      <c r="S73" s="1637"/>
      <c r="T73" s="1637"/>
      <c r="U73" s="1637"/>
      <c r="V73" s="1637"/>
      <c r="W73" s="1637"/>
      <c r="X73" s="1637"/>
      <c r="Y73" s="1637"/>
      <c r="Z73" s="1637"/>
      <c r="AA73" s="1637"/>
      <c r="AB73" s="1637"/>
      <c r="AC73" s="1637"/>
    </row>
    <row r="74" spans="1:29" s="1057" customFormat="1" ht="15.7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131" customFormat="1" ht="15.75" thickTop="1">
      <c r="A75" s="627"/>
      <c r="B75" s="613">
        <f>B25</f>
        <v>111</v>
      </c>
      <c r="C75" s="489"/>
      <c r="D75" s="489"/>
      <c r="E75" s="489"/>
      <c r="F75" s="489"/>
      <c r="G75" s="628"/>
      <c r="H75" s="629"/>
      <c r="I75" s="629"/>
      <c r="J75" s="629"/>
      <c r="K75" s="629"/>
      <c r="L75" s="630"/>
      <c r="M75" s="631"/>
      <c r="N75" s="1766"/>
      <c r="O75" s="1766"/>
      <c r="P75" s="1766"/>
      <c r="Q75" s="1767"/>
      <c r="R75" s="1768"/>
      <c r="S75" s="1768"/>
      <c r="T75" s="1768"/>
      <c r="U75" s="1768"/>
      <c r="V75" s="1768"/>
      <c r="W75" s="1768"/>
      <c r="X75" s="1768"/>
      <c r="Y75" s="1768"/>
      <c r="Z75" s="1768"/>
      <c r="AA75" s="1768"/>
      <c r="AB75" s="1768"/>
      <c r="AC75" s="1768"/>
    </row>
    <row r="76" spans="1:29" s="1131" customFormat="1" ht="15.75" thickBot="1">
      <c r="A76" s="627"/>
      <c r="B76" s="618"/>
      <c r="C76" s="632"/>
      <c r="D76" s="632"/>
      <c r="E76" s="632"/>
      <c r="F76" s="632"/>
      <c r="G76" s="611"/>
      <c r="H76" s="611"/>
      <c r="I76" s="611"/>
      <c r="J76" s="611"/>
      <c r="K76" s="611"/>
      <c r="L76" s="611"/>
      <c r="M76" s="612"/>
      <c r="N76" s="1766"/>
      <c r="O76" s="1766"/>
      <c r="P76" s="1766"/>
      <c r="Q76" s="1767"/>
      <c r="R76" s="1768"/>
      <c r="S76" s="1768"/>
      <c r="T76" s="1768"/>
      <c r="U76" s="1768"/>
      <c r="V76" s="1768"/>
      <c r="W76" s="1768"/>
      <c r="X76" s="1768"/>
      <c r="Y76" s="1768"/>
      <c r="Z76" s="1768"/>
      <c r="AA76" s="1768"/>
      <c r="AB76" s="1768"/>
      <c r="AC76" s="1768"/>
    </row>
    <row r="77" spans="1:29" ht="15" thickTop="1">
      <c r="A77" s="605" t="s">
        <v>500</v>
      </c>
      <c r="B77" s="606" t="s">
        <v>691</v>
      </c>
      <c r="C77" s="628"/>
      <c r="D77" s="628"/>
      <c r="E77" s="545"/>
      <c r="F77" s="545"/>
      <c r="G77" s="545"/>
      <c r="H77" s="545"/>
      <c r="I77" s="545"/>
      <c r="J77" s="545"/>
      <c r="K77" s="607"/>
      <c r="L77" s="608"/>
      <c r="M77" s="609"/>
      <c r="N77" s="1764"/>
      <c r="O77" s="1764"/>
      <c r="P77" s="1763"/>
      <c r="Q77" s="1760"/>
      <c r="R77" s="1739"/>
      <c r="S77" s="1739"/>
      <c r="T77" s="1739"/>
      <c r="U77" s="1739"/>
      <c r="V77" s="1739"/>
      <c r="W77" s="1739"/>
      <c r="X77" s="1739"/>
      <c r="Y77" s="1739"/>
      <c r="Z77" s="1739"/>
      <c r="AA77" s="1739"/>
      <c r="AB77" s="1739"/>
      <c r="AC77" s="1739"/>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5"/>
      <c r="O78" s="1765"/>
      <c r="P78" s="1763"/>
      <c r="Q78" s="1760"/>
      <c r="R78" s="1739"/>
      <c r="S78" s="1739"/>
      <c r="T78" s="1739"/>
      <c r="U78" s="1739"/>
      <c r="V78" s="1739"/>
      <c r="W78" s="1739"/>
      <c r="X78" s="1739"/>
      <c r="Y78" s="1739"/>
      <c r="Z78" s="1739"/>
      <c r="AA78" s="1739"/>
      <c r="AB78" s="1739"/>
      <c r="AC78" s="1739"/>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3"/>
      <c r="O79" s="1763"/>
      <c r="P79" s="1763"/>
      <c r="Q79" s="1760"/>
      <c r="R79" s="1739"/>
      <c r="S79" s="1739"/>
      <c r="T79" s="1739"/>
      <c r="U79" s="1739"/>
      <c r="V79" s="1739"/>
      <c r="W79" s="1739"/>
      <c r="X79" s="1739"/>
      <c r="Y79" s="1739"/>
      <c r="Z79" s="1739"/>
      <c r="AA79" s="1739"/>
      <c r="AB79" s="1739"/>
      <c r="AC79" s="1739"/>
    </row>
    <row r="80" spans="1:29" ht="15">
      <c r="A80" s="480"/>
      <c r="B80" s="621"/>
      <c r="C80" s="815">
        <v>0.5</v>
      </c>
      <c r="D80" s="815">
        <v>0.6</v>
      </c>
      <c r="E80" s="815">
        <v>0.7</v>
      </c>
      <c r="F80" s="815">
        <v>0.8</v>
      </c>
      <c r="G80" s="815">
        <v>0.9</v>
      </c>
      <c r="H80" s="815">
        <v>1.0001</v>
      </c>
      <c r="I80" s="853"/>
      <c r="J80" s="853"/>
      <c r="K80" s="861"/>
      <c r="L80" s="862"/>
      <c r="M80" s="863"/>
      <c r="N80" s="1763"/>
      <c r="O80" s="1763"/>
      <c r="P80" s="1763"/>
      <c r="Q80" s="1760"/>
      <c r="R80" s="1739"/>
      <c r="S80" s="1739"/>
      <c r="T80" s="1739"/>
      <c r="U80" s="1739"/>
      <c r="V80" s="1739"/>
      <c r="W80" s="1739"/>
      <c r="X80" s="1739"/>
      <c r="Y80" s="1739"/>
      <c r="Z80" s="1739"/>
      <c r="AA80" s="1739"/>
      <c r="AB80" s="1739"/>
      <c r="AC80" s="1739"/>
    </row>
    <row r="81" spans="1:29" s="1131"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1"/>
      <c r="B82" s="621" t="s">
        <v>757</v>
      </c>
      <c r="C82" s="628"/>
      <c r="D82" s="628"/>
      <c r="E82" s="656"/>
      <c r="F82" s="656"/>
      <c r="G82" s="656"/>
      <c r="H82" s="656"/>
      <c r="I82" s="656"/>
      <c r="J82" s="656"/>
      <c r="K82" s="657"/>
      <c r="L82" s="658"/>
      <c r="M82" s="659"/>
      <c r="N82" s="1764"/>
      <c r="O82" s="1764"/>
      <c r="P82" s="1763"/>
      <c r="Q82" s="1760"/>
      <c r="R82" s="1739"/>
      <c r="S82" s="1739"/>
      <c r="T82" s="1739"/>
      <c r="U82" s="1739"/>
      <c r="V82" s="1739"/>
      <c r="W82" s="1739"/>
      <c r="X82" s="1739"/>
      <c r="Y82" s="1739"/>
      <c r="Z82" s="1739"/>
      <c r="AA82" s="1739"/>
      <c r="AB82" s="1739"/>
      <c r="AC82" s="1739"/>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1"/>
      <c r="B84" s="613" t="s">
        <v>765</v>
      </c>
      <c r="C84" s="628"/>
      <c r="D84" s="628"/>
      <c r="E84" s="628"/>
      <c r="F84" s="628"/>
      <c r="G84" s="628"/>
      <c r="H84" s="628"/>
      <c r="I84" s="656"/>
      <c r="J84" s="656"/>
      <c r="K84" s="657"/>
      <c r="L84" s="658"/>
      <c r="M84" s="659"/>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4"/>
      <c r="O86" s="1764"/>
      <c r="P86" s="1763"/>
      <c r="Q86" s="1760"/>
      <c r="R86" s="1739"/>
      <c r="S86" s="1739"/>
      <c r="T86" s="1739"/>
      <c r="U86" s="1739"/>
      <c r="V86" s="1739"/>
      <c r="W86" s="1739"/>
      <c r="X86" s="1739"/>
      <c r="Y86" s="1739"/>
      <c r="Z86" s="1739"/>
      <c r="AA86" s="1739"/>
      <c r="AB86" s="1739"/>
      <c r="AC86" s="1739"/>
    </row>
    <row r="87" spans="1:29">
      <c r="A87" s="541"/>
      <c r="B87" s="621"/>
      <c r="C87" s="79"/>
      <c r="D87" s="79"/>
      <c r="E87" s="79"/>
      <c r="F87" s="79"/>
      <c r="G87" s="79"/>
      <c r="H87" s="79"/>
      <c r="I87" s="79"/>
      <c r="J87" s="667"/>
      <c r="K87" s="667"/>
      <c r="L87" s="668"/>
      <c r="M87" s="669"/>
      <c r="N87" s="1764"/>
      <c r="O87" s="1764"/>
      <c r="P87" s="1763"/>
      <c r="Q87" s="1760"/>
      <c r="R87" s="1739"/>
      <c r="S87" s="1739"/>
      <c r="T87" s="1739"/>
      <c r="U87" s="1739"/>
      <c r="V87" s="1739"/>
      <c r="W87" s="1739"/>
      <c r="X87" s="1739"/>
      <c r="Y87" s="1739"/>
      <c r="Z87" s="1739"/>
      <c r="AA87" s="1739"/>
      <c r="AB87" s="1739"/>
      <c r="AC87" s="1739"/>
    </row>
    <row r="88" spans="1:29" ht="15.75" thickBot="1">
      <c r="A88" s="480"/>
      <c r="B88" s="618"/>
      <c r="C88" s="632"/>
      <c r="D88" s="611"/>
      <c r="E88" s="611"/>
      <c r="F88" s="611"/>
      <c r="G88" s="611"/>
      <c r="H88" s="611"/>
      <c r="I88" s="611"/>
      <c r="J88" s="611"/>
      <c r="K88" s="611"/>
      <c r="L88" s="611"/>
      <c r="M88" s="611"/>
      <c r="N88" s="1765"/>
      <c r="O88" s="1765"/>
      <c r="P88" s="1763"/>
      <c r="Q88" s="1760"/>
      <c r="R88" s="1739"/>
      <c r="S88" s="1739"/>
      <c r="T88" s="1739"/>
      <c r="U88" s="1739"/>
      <c r="V88" s="1739"/>
      <c r="W88" s="1739"/>
      <c r="X88" s="1739"/>
      <c r="Y88" s="1739"/>
      <c r="Z88" s="1739"/>
      <c r="AA88" s="1739"/>
      <c r="AB88" s="1739"/>
      <c r="AC88" s="1739"/>
    </row>
    <row r="89" spans="1:29" s="1131" customFormat="1" ht="15" thickTop="1">
      <c r="A89" s="550"/>
      <c r="B89" s="613" t="s">
        <v>767</v>
      </c>
      <c r="C89" s="628"/>
      <c r="D89" s="628"/>
      <c r="E89" s="628"/>
      <c r="F89" s="628"/>
      <c r="G89" s="628"/>
      <c r="H89" s="628"/>
      <c r="I89" s="628"/>
      <c r="J89" s="628"/>
      <c r="K89" s="628"/>
      <c r="L89" s="628"/>
      <c r="M89" s="813"/>
      <c r="N89" s="1766"/>
      <c r="O89" s="1766"/>
      <c r="P89" s="1766"/>
      <c r="Q89" s="1767"/>
      <c r="R89" s="1768"/>
      <c r="S89" s="1768"/>
      <c r="T89" s="1768"/>
      <c r="U89" s="1768"/>
      <c r="V89" s="1768"/>
      <c r="W89" s="1768"/>
      <c r="X89" s="1768"/>
      <c r="Y89" s="1768"/>
      <c r="Z89" s="1768"/>
      <c r="AA89" s="1768"/>
      <c r="AB89" s="1768"/>
      <c r="AC89" s="1768"/>
    </row>
    <row r="90" spans="1:29" s="1131" customFormat="1" ht="15.75" thickBot="1">
      <c r="A90" s="627"/>
      <c r="B90" s="618"/>
      <c r="C90" s="632"/>
      <c r="D90" s="611"/>
      <c r="E90" s="611"/>
      <c r="F90" s="611"/>
      <c r="G90" s="611"/>
      <c r="H90" s="611"/>
      <c r="I90" s="611"/>
      <c r="J90" s="611"/>
      <c r="K90" s="611"/>
      <c r="L90" s="611"/>
      <c r="M90" s="612"/>
      <c r="N90" s="1766"/>
      <c r="O90" s="1766"/>
      <c r="P90" s="1766"/>
      <c r="Q90" s="1767"/>
      <c r="R90" s="1768"/>
      <c r="S90" s="1768"/>
      <c r="T90" s="1768"/>
      <c r="U90" s="1768"/>
      <c r="V90" s="1768"/>
      <c r="W90" s="1768"/>
      <c r="X90" s="1768"/>
      <c r="Y90" s="1768"/>
      <c r="Z90" s="1768"/>
      <c r="AA90" s="1768"/>
      <c r="AB90" s="1768"/>
      <c r="AC90" s="1768"/>
    </row>
    <row r="91" spans="1:29" ht="15" thickTop="1">
      <c r="A91" s="541"/>
      <c r="B91" s="613">
        <f>B32</f>
        <v>111</v>
      </c>
      <c r="C91" s="489"/>
      <c r="D91" s="489"/>
      <c r="E91" s="489"/>
      <c r="F91" s="489"/>
      <c r="G91" s="628"/>
      <c r="H91" s="629"/>
      <c r="I91" s="629"/>
      <c r="J91" s="629"/>
      <c r="K91" s="629"/>
      <c r="L91" s="630"/>
      <c r="M91" s="631"/>
      <c r="N91" s="1764"/>
      <c r="O91" s="1764"/>
      <c r="P91" s="1763"/>
      <c r="Q91" s="1760"/>
      <c r="R91" s="1739"/>
      <c r="S91" s="1739"/>
      <c r="T91" s="1739"/>
      <c r="U91" s="1739"/>
      <c r="V91" s="1739"/>
      <c r="W91" s="1739"/>
      <c r="X91" s="1739"/>
      <c r="Y91" s="1739"/>
      <c r="Z91" s="1739"/>
      <c r="AA91" s="1739"/>
      <c r="AB91" s="1739"/>
      <c r="AC91" s="1739"/>
    </row>
    <row r="92" spans="1:29" ht="15.75" thickBot="1">
      <c r="A92" s="480"/>
      <c r="B92" s="618"/>
      <c r="C92" s="632"/>
      <c r="D92" s="611"/>
      <c r="E92" s="611"/>
      <c r="F92" s="611"/>
      <c r="G92" s="632"/>
      <c r="H92" s="633"/>
      <c r="I92" s="633"/>
      <c r="J92" s="633"/>
      <c r="K92" s="633"/>
      <c r="L92" s="633"/>
      <c r="M92" s="634"/>
      <c r="N92" s="1765"/>
      <c r="O92" s="1765"/>
      <c r="P92" s="1763"/>
      <c r="Q92" s="1760"/>
      <c r="R92" s="1739"/>
      <c r="S92" s="1739"/>
      <c r="T92" s="1739"/>
      <c r="U92" s="1739"/>
      <c r="V92" s="1739"/>
      <c r="W92" s="1739"/>
      <c r="X92" s="1739"/>
      <c r="Y92" s="1739"/>
      <c r="Z92" s="1739"/>
      <c r="AA92" s="1739"/>
      <c r="AB92" s="1739"/>
      <c r="AC92" s="1739"/>
    </row>
    <row r="93" spans="1:29" ht="15" thickTop="1">
      <c r="A93" s="541"/>
      <c r="B93" s="613">
        <f>B33</f>
        <v>111</v>
      </c>
      <c r="C93" s="489"/>
      <c r="D93" s="489"/>
      <c r="E93" s="489"/>
      <c r="F93" s="489"/>
      <c r="G93" s="628"/>
      <c r="H93" s="629"/>
      <c r="I93" s="629"/>
      <c r="J93" s="629"/>
      <c r="K93" s="629"/>
      <c r="L93" s="630"/>
      <c r="M93" s="631"/>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32"/>
      <c r="D94" s="611"/>
      <c r="E94" s="611"/>
      <c r="F94" s="611"/>
      <c r="G94" s="632"/>
      <c r="H94" s="633"/>
      <c r="I94" s="633"/>
      <c r="J94" s="633"/>
      <c r="K94" s="633"/>
      <c r="L94" s="633"/>
      <c r="M94" s="634"/>
      <c r="N94" s="1765"/>
      <c r="O94" s="1765"/>
      <c r="P94" s="1763"/>
      <c r="Q94" s="1760"/>
      <c r="R94" s="1739"/>
      <c r="S94" s="1739"/>
      <c r="T94" s="1739"/>
      <c r="U94" s="1739"/>
      <c r="V94" s="1739"/>
      <c r="W94" s="1739"/>
      <c r="X94" s="1739"/>
      <c r="Y94" s="1739"/>
      <c r="Z94" s="1739"/>
      <c r="AA94" s="1739"/>
      <c r="AB94" s="1739"/>
      <c r="AC94" s="1739"/>
    </row>
    <row r="95" spans="1:29" ht="15" thickTop="1">
      <c r="A95" s="541"/>
      <c r="B95" s="836">
        <f>B34</f>
        <v>111</v>
      </c>
      <c r="C95" s="489"/>
      <c r="D95" s="489"/>
      <c r="E95" s="489"/>
      <c r="F95" s="489"/>
      <c r="G95" s="628"/>
      <c r="H95" s="629"/>
      <c r="I95" s="629"/>
      <c r="J95" s="629"/>
      <c r="K95" s="629"/>
      <c r="L95" s="630"/>
      <c r="M95" s="631"/>
      <c r="N95" s="1765"/>
      <c r="O95" s="1765"/>
      <c r="P95" s="1765"/>
      <c r="Q95" s="1800"/>
      <c r="R95" s="1739"/>
      <c r="S95" s="1739"/>
      <c r="T95" s="1739"/>
      <c r="U95" s="1739"/>
      <c r="V95" s="1739"/>
      <c r="W95" s="1739"/>
      <c r="X95" s="1739"/>
      <c r="Y95" s="1739"/>
      <c r="Z95" s="1739"/>
      <c r="AA95" s="1739"/>
      <c r="AB95" s="1739"/>
      <c r="AC95" s="1739"/>
    </row>
    <row r="96" spans="1:29" ht="15.75" thickBot="1">
      <c r="A96" s="480"/>
      <c r="B96" s="618"/>
      <c r="C96" s="632"/>
      <c r="D96" s="632"/>
      <c r="E96" s="632"/>
      <c r="F96" s="632"/>
      <c r="G96" s="632"/>
      <c r="H96" s="633"/>
      <c r="I96" s="633"/>
      <c r="J96" s="633"/>
      <c r="K96" s="633"/>
      <c r="L96" s="633"/>
      <c r="M96" s="634"/>
      <c r="N96" s="1765"/>
      <c r="O96" s="1765"/>
      <c r="P96" s="1763"/>
      <c r="Q96" s="1760"/>
      <c r="R96" s="1739"/>
      <c r="S96" s="1739"/>
      <c r="T96" s="1739"/>
      <c r="U96" s="1739"/>
      <c r="V96" s="1739"/>
      <c r="W96" s="1739"/>
      <c r="X96" s="1739"/>
      <c r="Y96" s="1739"/>
      <c r="Z96" s="1739"/>
      <c r="AA96" s="1739"/>
      <c r="AB96" s="1739"/>
      <c r="AC96" s="1739"/>
    </row>
    <row r="97" spans="1:29" ht="1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5"/>
    <col min="36" max="16384" width="9" style="1042"/>
  </cols>
  <sheetData>
    <row r="1" spans="1:45" s="235" customFormat="1" ht="14.25" customHeight="1" thickBot="1">
      <c r="A1" s="337"/>
      <c r="B1" s="1825" t="s">
        <v>1658</v>
      </c>
      <c r="C1" s="3783" t="s">
        <v>1659</v>
      </c>
      <c r="D1" s="3784"/>
      <c r="E1" s="3784"/>
      <c r="F1" s="3784"/>
      <c r="G1" s="3784"/>
      <c r="H1" s="3784"/>
      <c r="I1" s="3784"/>
      <c r="J1" s="3784"/>
      <c r="K1" s="3784"/>
      <c r="L1" s="3784"/>
      <c r="M1" s="3784"/>
      <c r="N1" s="3784"/>
      <c r="O1" s="3784"/>
      <c r="P1" s="3784"/>
      <c r="Q1" s="3784"/>
      <c r="R1" s="3784"/>
      <c r="S1" s="3785"/>
      <c r="T1" s="1825" t="s">
        <v>1660</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4" t="s">
        <v>1661</v>
      </c>
      <c r="C2" s="24"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7" t="str">
        <f>S3&amp;"(含)"&amp;"-"</f>
        <v>(含)-</v>
      </c>
      <c r="T2" s="866"/>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7"/>
      <c r="C3" s="868"/>
      <c r="D3" s="10"/>
      <c r="E3" s="10"/>
      <c r="F3" s="10"/>
      <c r="G3" s="10"/>
      <c r="H3" s="10"/>
      <c r="I3" s="10"/>
      <c r="J3" s="869"/>
      <c r="K3" s="869"/>
      <c r="L3" s="870"/>
      <c r="M3" s="1830"/>
      <c r="N3" s="1831"/>
      <c r="O3" s="10"/>
      <c r="P3" s="10"/>
      <c r="Q3" s="10"/>
      <c r="R3" s="10"/>
      <c r="S3" s="1832"/>
      <c r="T3" s="871"/>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5"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1" t="s">
        <v>2184</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5"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3" t="s">
        <v>2183</v>
      </c>
      <c r="C7" s="1616"/>
      <c r="D7" s="1617"/>
      <c r="E7" s="1617"/>
      <c r="F7" s="1617"/>
      <c r="G7" s="1617"/>
      <c r="H7" s="1617"/>
      <c r="I7" s="1617"/>
      <c r="J7" s="1617"/>
      <c r="K7" s="1617"/>
      <c r="L7" s="1617"/>
      <c r="M7" s="1850"/>
      <c r="N7" s="1851"/>
      <c r="O7" s="1852"/>
      <c r="P7" s="1852"/>
      <c r="Q7" s="1853"/>
      <c r="R7" s="1854"/>
      <c r="S7" s="1855"/>
      <c r="T7" s="872"/>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5"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3" t="s">
        <v>2182</v>
      </c>
      <c r="C9" s="1616"/>
      <c r="D9" s="1617"/>
      <c r="E9" s="1617"/>
      <c r="F9" s="1617"/>
      <c r="G9" s="1617"/>
      <c r="H9" s="1617"/>
      <c r="I9" s="1617"/>
      <c r="J9" s="1617"/>
      <c r="K9" s="1617"/>
      <c r="L9" s="1618"/>
      <c r="M9" s="1850"/>
      <c r="N9" s="1851"/>
      <c r="O9" s="1852"/>
      <c r="P9" s="1852"/>
      <c r="Q9" s="1853"/>
      <c r="R9" s="1854"/>
      <c r="S9" s="1855"/>
      <c r="T9" s="872"/>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5" thickBot="1">
      <c r="A10" s="1842"/>
      <c r="B10" s="2342"/>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1" t="s">
        <v>2195</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5"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1" t="s">
        <v>2181</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5"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1" t="s">
        <v>2180</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5"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1662</v>
      </c>
      <c r="B17" s="1867" t="s">
        <v>1663</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5"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5"/>
      <c r="B19" s="864"/>
      <c r="C19" s="1635"/>
      <c r="D19" s="1635"/>
      <c r="E19" s="1635"/>
      <c r="F19" s="1635"/>
      <c r="G19" s="1635"/>
      <c r="H19" s="1635"/>
      <c r="I19" s="1635"/>
      <c r="J19" s="1635"/>
      <c r="K19" s="1635"/>
      <c r="L19" s="1635"/>
      <c r="M19" s="1635"/>
      <c r="N19" s="1635"/>
      <c r="O19" s="1635"/>
      <c r="P19" s="1635"/>
      <c r="Q19" s="1635"/>
      <c r="R19" s="1635"/>
      <c r="S19" s="1633"/>
    </row>
    <row r="20" spans="1:45" ht="15.75">
      <c r="A20" s="873" t="s">
        <v>768</v>
      </c>
      <c r="B20" s="708">
        <f>S22</f>
        <v>0</v>
      </c>
      <c r="C20" s="1635"/>
      <c r="D20" s="1635"/>
      <c r="E20" s="1635"/>
      <c r="F20" s="1635"/>
      <c r="G20" s="1635"/>
      <c r="H20" s="1635"/>
      <c r="I20" s="1635"/>
      <c r="J20" s="1635"/>
      <c r="K20" s="1635"/>
      <c r="L20" s="1635"/>
      <c r="M20" s="1635"/>
      <c r="N20" s="1635"/>
      <c r="O20" s="1635"/>
      <c r="P20" s="1635"/>
      <c r="Q20" s="1635"/>
      <c r="R20" s="1635"/>
      <c r="S20" s="1633"/>
    </row>
    <row r="21" spans="1:45" ht="15.75">
      <c r="A21" s="873" t="str">
        <f>IF(B23="土地面积","地面单价","楼面单价")</f>
        <v>楼面单价</v>
      </c>
      <c r="B21" s="708" t="e">
        <f>R22</f>
        <v>#DIV/0!</v>
      </c>
      <c r="C21" s="1635"/>
      <c r="D21" s="1635"/>
      <c r="E21" s="1635"/>
      <c r="F21" s="1635"/>
      <c r="G21" s="1635"/>
      <c r="H21" s="1635"/>
      <c r="I21" s="1635"/>
      <c r="J21" s="1635"/>
      <c r="K21" s="1635"/>
      <c r="L21" s="1635"/>
      <c r="M21" s="1635"/>
      <c r="N21" s="1635"/>
      <c r="O21" s="1635"/>
      <c r="P21" s="1635"/>
      <c r="Q21" s="1635"/>
      <c r="R21" s="1635"/>
      <c r="S21" s="1633"/>
    </row>
    <row r="22" spans="1:45">
      <c r="A22" s="732" t="s">
        <v>769</v>
      </c>
      <c r="B22" s="49">
        <f>SUM(B24:B10000)</f>
        <v>0</v>
      </c>
      <c r="C22" s="3780" t="s">
        <v>14</v>
      </c>
      <c r="D22" s="3781"/>
      <c r="E22" s="3781"/>
      <c r="F22" s="3781"/>
      <c r="G22" s="3781"/>
      <c r="H22" s="3781"/>
      <c r="I22" s="3781"/>
      <c r="J22" s="3781"/>
      <c r="K22" s="3781"/>
      <c r="L22" s="3781"/>
      <c r="M22" s="3781"/>
      <c r="N22" s="3781"/>
      <c r="O22" s="3781"/>
      <c r="P22" s="3781"/>
      <c r="Q22" s="3782"/>
      <c r="R22" s="49" t="e">
        <f>ROUND(S22*10000/B22,0)</f>
        <v>#DIV/0!</v>
      </c>
      <c r="S22" s="49">
        <f>SUM(S24:S10000)</f>
        <v>0</v>
      </c>
    </row>
    <row r="23" spans="1:45" s="1334" customFormat="1" ht="24">
      <c r="A23" s="14" t="s">
        <v>770</v>
      </c>
      <c r="B23" s="2415"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5" customFormat="1">
      <c r="A24" s="874" t="s">
        <v>774</v>
      </c>
      <c r="B24" s="874"/>
      <c r="C24" s="2770">
        <v>1</v>
      </c>
      <c r="D24" s="2771"/>
      <c r="E24" s="2770">
        <v>1</v>
      </c>
      <c r="F24" s="2771"/>
      <c r="G24" s="2770">
        <v>1</v>
      </c>
      <c r="H24" s="2771"/>
      <c r="I24" s="2770">
        <v>1</v>
      </c>
      <c r="J24" s="2771"/>
      <c r="K24" s="2770">
        <v>1</v>
      </c>
      <c r="L24" s="2771"/>
      <c r="M24" s="2770">
        <v>1</v>
      </c>
      <c r="N24" s="2771"/>
      <c r="O24" s="2770">
        <v>1</v>
      </c>
      <c r="P24" s="2771"/>
      <c r="Q24" s="2770">
        <v>1</v>
      </c>
      <c r="R24" s="874"/>
      <c r="S24" s="875">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7"/>
      <c r="B25" s="126"/>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c r="Q25" s="49">
        <f>(SUMIF($17:$17,P25,$18:$18)-SUMIF($17:$17,$P$24,$18:$18)+100)/100</f>
        <v>1</v>
      </c>
      <c r="R25" s="49">
        <f>IF(B25="",0,ROUND($R$24*C25*E25*G25*I25*K25*M25*O25*Q25,0))</f>
        <v>0</v>
      </c>
      <c r="S25" s="732">
        <f t="shared" si="6"/>
        <v>0</v>
      </c>
    </row>
    <row r="26" spans="1:45">
      <c r="A26" s="877"/>
      <c r="B26" s="126"/>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c r="Q26" s="49">
        <f t="shared" ref="Q26:Q89" si="14">(SUMIF($17:$17,P26,$18:$18)-SUMIF($17:$17,$P$24,$18:$18)+100)/100</f>
        <v>1</v>
      </c>
      <c r="R26" s="49">
        <f t="shared" ref="R26:R89" si="15">IF(B26="",0,ROUND($R$24*C26*E26*G26*I26*K26*M26*O26*Q26,0))</f>
        <v>0</v>
      </c>
      <c r="S26" s="732">
        <f t="shared" si="6"/>
        <v>0</v>
      </c>
    </row>
    <row r="27" spans="1:45">
      <c r="A27" s="877"/>
      <c r="B27" s="126"/>
      <c r="C27" s="49">
        <f t="shared" si="7"/>
        <v>1</v>
      </c>
      <c r="D27" s="876"/>
      <c r="E27" s="49">
        <f t="shared" si="8"/>
        <v>1</v>
      </c>
      <c r="F27" s="876"/>
      <c r="G27" s="49">
        <f t="shared" si="9"/>
        <v>1</v>
      </c>
      <c r="H27" s="876"/>
      <c r="I27" s="49">
        <f t="shared" si="10"/>
        <v>1</v>
      </c>
      <c r="J27" s="876"/>
      <c r="K27" s="49">
        <f t="shared" si="11"/>
        <v>1</v>
      </c>
      <c r="L27" s="876"/>
      <c r="M27" s="49">
        <f t="shared" si="12"/>
        <v>1</v>
      </c>
      <c r="N27" s="876"/>
      <c r="O27" s="49">
        <f t="shared" si="13"/>
        <v>1</v>
      </c>
      <c r="P27" s="876"/>
      <c r="Q27" s="49">
        <f t="shared" si="14"/>
        <v>1</v>
      </c>
      <c r="R27" s="49">
        <f t="shared" si="15"/>
        <v>0</v>
      </c>
      <c r="S27" s="732">
        <f t="shared" si="6"/>
        <v>0</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1</v>
      </c>
      <c r="R28" s="49">
        <f t="shared" si="15"/>
        <v>0</v>
      </c>
      <c r="S28" s="732">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1</v>
      </c>
      <c r="R29" s="49">
        <f t="shared" si="15"/>
        <v>0</v>
      </c>
      <c r="S29" s="732">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1</v>
      </c>
      <c r="R30" s="49">
        <f t="shared" si="15"/>
        <v>0</v>
      </c>
      <c r="S30" s="732">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1</v>
      </c>
      <c r="R31" s="49">
        <f t="shared" si="15"/>
        <v>0</v>
      </c>
      <c r="S31" s="732">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1</v>
      </c>
      <c r="R32" s="49">
        <f t="shared" si="15"/>
        <v>0</v>
      </c>
      <c r="S32" s="732">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1</v>
      </c>
      <c r="R33" s="49">
        <f t="shared" si="15"/>
        <v>0</v>
      </c>
      <c r="S33" s="732">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1</v>
      </c>
      <c r="R34" s="49">
        <f t="shared" si="15"/>
        <v>0</v>
      </c>
      <c r="S34" s="732">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1</v>
      </c>
      <c r="R35" s="49">
        <f t="shared" si="15"/>
        <v>0</v>
      </c>
      <c r="S35" s="732">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1</v>
      </c>
      <c r="R36" s="49">
        <f t="shared" si="15"/>
        <v>0</v>
      </c>
      <c r="S36" s="732">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1</v>
      </c>
      <c r="R37" s="49">
        <f t="shared" si="15"/>
        <v>0</v>
      </c>
      <c r="S37" s="732">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1</v>
      </c>
      <c r="R38" s="49">
        <f t="shared" si="15"/>
        <v>0</v>
      </c>
      <c r="S38" s="732">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1</v>
      </c>
      <c r="R39" s="49">
        <f t="shared" si="15"/>
        <v>0</v>
      </c>
      <c r="S39" s="732">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1</v>
      </c>
      <c r="R40" s="49">
        <f t="shared" si="15"/>
        <v>0</v>
      </c>
      <c r="S40" s="732">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1</v>
      </c>
      <c r="R41" s="49">
        <f t="shared" si="15"/>
        <v>0</v>
      </c>
      <c r="S41" s="732">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1</v>
      </c>
      <c r="R42" s="49">
        <f t="shared" si="15"/>
        <v>0</v>
      </c>
      <c r="S42" s="732">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1</v>
      </c>
      <c r="R43" s="49">
        <f t="shared" si="15"/>
        <v>0</v>
      </c>
      <c r="S43" s="732">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1</v>
      </c>
      <c r="R44" s="49">
        <f t="shared" si="15"/>
        <v>0</v>
      </c>
      <c r="S44" s="732">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1</v>
      </c>
      <c r="R45" s="49">
        <f t="shared" si="15"/>
        <v>0</v>
      </c>
      <c r="S45" s="732">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1</v>
      </c>
      <c r="R46" s="49">
        <f t="shared" si="15"/>
        <v>0</v>
      </c>
      <c r="S46" s="732">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1</v>
      </c>
      <c r="R47" s="49">
        <f t="shared" si="15"/>
        <v>0</v>
      </c>
      <c r="S47" s="732">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1</v>
      </c>
      <c r="R48" s="49">
        <f t="shared" si="15"/>
        <v>0</v>
      </c>
      <c r="S48" s="732">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1</v>
      </c>
      <c r="R49" s="49">
        <f t="shared" si="15"/>
        <v>0</v>
      </c>
      <c r="S49" s="732">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1</v>
      </c>
      <c r="R50" s="49">
        <f t="shared" si="15"/>
        <v>0</v>
      </c>
      <c r="S50" s="732">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1</v>
      </c>
      <c r="R51" s="49">
        <f t="shared" si="15"/>
        <v>0</v>
      </c>
      <c r="S51" s="732">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1</v>
      </c>
      <c r="R52" s="49">
        <f t="shared" si="15"/>
        <v>0</v>
      </c>
      <c r="S52" s="732">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1</v>
      </c>
      <c r="R53" s="49">
        <f t="shared" si="15"/>
        <v>0</v>
      </c>
      <c r="S53" s="732">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1</v>
      </c>
      <c r="R54" s="49">
        <f t="shared" si="15"/>
        <v>0</v>
      </c>
      <c r="S54" s="732">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1</v>
      </c>
      <c r="R55" s="49">
        <f t="shared" si="15"/>
        <v>0</v>
      </c>
      <c r="S55" s="732">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1</v>
      </c>
      <c r="R56" s="49">
        <f t="shared" si="15"/>
        <v>0</v>
      </c>
      <c r="S56" s="732">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1</v>
      </c>
      <c r="R57" s="49">
        <f t="shared" si="15"/>
        <v>0</v>
      </c>
      <c r="S57" s="732">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1</v>
      </c>
      <c r="R58" s="49">
        <f t="shared" si="15"/>
        <v>0</v>
      </c>
      <c r="S58" s="732">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1</v>
      </c>
      <c r="R59" s="49">
        <f t="shared" si="15"/>
        <v>0</v>
      </c>
      <c r="S59" s="732">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1</v>
      </c>
      <c r="R60" s="49">
        <f t="shared" si="15"/>
        <v>0</v>
      </c>
      <c r="S60" s="732">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1</v>
      </c>
      <c r="R61" s="49">
        <f t="shared" si="15"/>
        <v>0</v>
      </c>
      <c r="S61" s="732">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1</v>
      </c>
      <c r="R62" s="49">
        <f t="shared" si="15"/>
        <v>0</v>
      </c>
      <c r="S62" s="732">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1</v>
      </c>
      <c r="R63" s="49">
        <f t="shared" si="15"/>
        <v>0</v>
      </c>
      <c r="S63" s="732">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1</v>
      </c>
      <c r="R64" s="49">
        <f t="shared" si="15"/>
        <v>0</v>
      </c>
      <c r="S64" s="732">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1</v>
      </c>
      <c r="R65" s="49">
        <f t="shared" si="15"/>
        <v>0</v>
      </c>
      <c r="S65" s="732">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1</v>
      </c>
      <c r="R66" s="49">
        <f t="shared" si="15"/>
        <v>0</v>
      </c>
      <c r="S66" s="732">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1</v>
      </c>
      <c r="R67" s="49">
        <f t="shared" si="15"/>
        <v>0</v>
      </c>
      <c r="S67" s="732">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1</v>
      </c>
      <c r="R68" s="49">
        <f t="shared" si="15"/>
        <v>0</v>
      </c>
      <c r="S68" s="732">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1</v>
      </c>
      <c r="R69" s="49">
        <f t="shared" si="15"/>
        <v>0</v>
      </c>
      <c r="S69" s="732">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1</v>
      </c>
      <c r="R70" s="49">
        <f t="shared" si="15"/>
        <v>0</v>
      </c>
      <c r="S70" s="732">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1</v>
      </c>
      <c r="R71" s="49">
        <f t="shared" si="15"/>
        <v>0</v>
      </c>
      <c r="S71" s="732">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1</v>
      </c>
      <c r="R72" s="49">
        <f t="shared" si="15"/>
        <v>0</v>
      </c>
      <c r="S72" s="732">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1</v>
      </c>
      <c r="R73" s="49">
        <f t="shared" si="15"/>
        <v>0</v>
      </c>
      <c r="S73" s="732">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1</v>
      </c>
      <c r="R74" s="49">
        <f t="shared" si="15"/>
        <v>0</v>
      </c>
      <c r="S74" s="732">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1</v>
      </c>
      <c r="R75" s="49">
        <f t="shared" si="15"/>
        <v>0</v>
      </c>
      <c r="S75" s="732">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1</v>
      </c>
      <c r="R76" s="49">
        <f t="shared" si="15"/>
        <v>0</v>
      </c>
      <c r="S76" s="732">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1</v>
      </c>
      <c r="R77" s="49">
        <f t="shared" si="15"/>
        <v>0</v>
      </c>
      <c r="S77" s="732">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1</v>
      </c>
      <c r="R78" s="49">
        <f t="shared" si="15"/>
        <v>0</v>
      </c>
      <c r="S78" s="732">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1</v>
      </c>
      <c r="R79" s="49">
        <f t="shared" si="15"/>
        <v>0</v>
      </c>
      <c r="S79" s="732">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1</v>
      </c>
      <c r="R80" s="49">
        <f t="shared" si="15"/>
        <v>0</v>
      </c>
      <c r="S80" s="732">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1</v>
      </c>
      <c r="R81" s="49">
        <f t="shared" si="15"/>
        <v>0</v>
      </c>
      <c r="S81" s="732">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1</v>
      </c>
      <c r="R82" s="49">
        <f t="shared" si="15"/>
        <v>0</v>
      </c>
      <c r="S82" s="732">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1</v>
      </c>
      <c r="R83" s="49">
        <f t="shared" si="15"/>
        <v>0</v>
      </c>
      <c r="S83" s="732">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1</v>
      </c>
      <c r="R84" s="49">
        <f t="shared" si="15"/>
        <v>0</v>
      </c>
      <c r="S84" s="732">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1</v>
      </c>
      <c r="R85" s="49">
        <f t="shared" si="15"/>
        <v>0</v>
      </c>
      <c r="S85" s="732">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1</v>
      </c>
      <c r="R86" s="49">
        <f t="shared" si="15"/>
        <v>0</v>
      </c>
      <c r="S86" s="732">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1</v>
      </c>
      <c r="R87" s="49">
        <f t="shared" si="15"/>
        <v>0</v>
      </c>
      <c r="S87" s="732">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1</v>
      </c>
      <c r="R88" s="49">
        <f t="shared" si="15"/>
        <v>0</v>
      </c>
      <c r="S88" s="732">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1</v>
      </c>
      <c r="R89" s="49">
        <f t="shared" si="15"/>
        <v>0</v>
      </c>
      <c r="S89" s="732">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1</v>
      </c>
      <c r="R90" s="49">
        <f t="shared" ref="R90:R153" si="26">IF(B90="",0,ROUND($R$24*C90*E90*G90*I90*K90*M90*O90*Q90,0))</f>
        <v>0</v>
      </c>
      <c r="S90" s="732">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1</v>
      </c>
      <c r="R91" s="49">
        <f t="shared" si="26"/>
        <v>0</v>
      </c>
      <c r="S91" s="732">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1</v>
      </c>
      <c r="R92" s="49">
        <f t="shared" si="26"/>
        <v>0</v>
      </c>
      <c r="S92" s="732">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1</v>
      </c>
      <c r="R93" s="49">
        <f t="shared" si="26"/>
        <v>0</v>
      </c>
      <c r="S93" s="732">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1</v>
      </c>
      <c r="R94" s="49">
        <f t="shared" si="26"/>
        <v>0</v>
      </c>
      <c r="S94" s="732">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1</v>
      </c>
      <c r="R95" s="49">
        <f t="shared" si="26"/>
        <v>0</v>
      </c>
      <c r="S95" s="732">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1</v>
      </c>
      <c r="R96" s="49">
        <f t="shared" si="26"/>
        <v>0</v>
      </c>
      <c r="S96" s="732">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1</v>
      </c>
      <c r="R97" s="49">
        <f t="shared" si="26"/>
        <v>0</v>
      </c>
      <c r="S97" s="732">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1</v>
      </c>
      <c r="R98" s="49">
        <f t="shared" si="26"/>
        <v>0</v>
      </c>
      <c r="S98" s="732">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1</v>
      </c>
      <c r="R99" s="49">
        <f t="shared" si="26"/>
        <v>0</v>
      </c>
      <c r="S99" s="732">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1</v>
      </c>
      <c r="R100" s="49">
        <f t="shared" si="26"/>
        <v>0</v>
      </c>
      <c r="S100" s="732">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1</v>
      </c>
      <c r="R101" s="49">
        <f t="shared" si="26"/>
        <v>0</v>
      </c>
      <c r="S101" s="732">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1</v>
      </c>
      <c r="R102" s="49">
        <f t="shared" si="26"/>
        <v>0</v>
      </c>
      <c r="S102" s="732">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1</v>
      </c>
      <c r="R103" s="49">
        <f t="shared" si="26"/>
        <v>0</v>
      </c>
      <c r="S103" s="732">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1</v>
      </c>
      <c r="R104" s="49">
        <f t="shared" si="26"/>
        <v>0</v>
      </c>
      <c r="S104" s="732">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1</v>
      </c>
      <c r="R105" s="49">
        <f t="shared" si="26"/>
        <v>0</v>
      </c>
      <c r="S105" s="732">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1</v>
      </c>
      <c r="R106" s="49">
        <f t="shared" si="26"/>
        <v>0</v>
      </c>
      <c r="S106" s="732">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1</v>
      </c>
      <c r="R107" s="49">
        <f t="shared" si="26"/>
        <v>0</v>
      </c>
      <c r="S107" s="732">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1</v>
      </c>
      <c r="R108" s="49">
        <f t="shared" si="26"/>
        <v>0</v>
      </c>
      <c r="S108" s="732">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1</v>
      </c>
      <c r="R109" s="49">
        <f t="shared" si="26"/>
        <v>0</v>
      </c>
      <c r="S109" s="732">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1</v>
      </c>
      <c r="R110" s="49">
        <f t="shared" si="26"/>
        <v>0</v>
      </c>
      <c r="S110" s="732">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1</v>
      </c>
      <c r="R111" s="49">
        <f t="shared" si="26"/>
        <v>0</v>
      </c>
      <c r="S111" s="732">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1</v>
      </c>
      <c r="R112" s="49">
        <f t="shared" si="26"/>
        <v>0</v>
      </c>
      <c r="S112" s="732">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1</v>
      </c>
      <c r="R113" s="49">
        <f t="shared" si="26"/>
        <v>0</v>
      </c>
      <c r="S113" s="732">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1</v>
      </c>
      <c r="R114" s="49">
        <f t="shared" si="26"/>
        <v>0</v>
      </c>
      <c r="S114" s="732">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1</v>
      </c>
      <c r="R115" s="49">
        <f t="shared" si="26"/>
        <v>0</v>
      </c>
      <c r="S115" s="732">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1</v>
      </c>
      <c r="R116" s="49">
        <f t="shared" si="26"/>
        <v>0</v>
      </c>
      <c r="S116" s="732">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1</v>
      </c>
      <c r="R117" s="49">
        <f t="shared" si="26"/>
        <v>0</v>
      </c>
      <c r="S117" s="732">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1</v>
      </c>
      <c r="R118" s="49">
        <f t="shared" si="26"/>
        <v>0</v>
      </c>
      <c r="S118" s="732">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1</v>
      </c>
      <c r="R119" s="49">
        <f t="shared" si="26"/>
        <v>0</v>
      </c>
      <c r="S119" s="732">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1</v>
      </c>
      <c r="R120" s="49">
        <f t="shared" si="26"/>
        <v>0</v>
      </c>
      <c r="S120" s="732">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1</v>
      </c>
      <c r="R121" s="49">
        <f t="shared" si="26"/>
        <v>0</v>
      </c>
      <c r="S121" s="732">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1</v>
      </c>
      <c r="R122" s="49">
        <f t="shared" si="26"/>
        <v>0</v>
      </c>
      <c r="S122" s="732">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1</v>
      </c>
      <c r="R123" s="49">
        <f t="shared" si="26"/>
        <v>0</v>
      </c>
      <c r="S123" s="732">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1</v>
      </c>
      <c r="R124" s="49">
        <f t="shared" si="26"/>
        <v>0</v>
      </c>
      <c r="S124" s="732">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1</v>
      </c>
      <c r="R125" s="49">
        <f t="shared" si="26"/>
        <v>0</v>
      </c>
      <c r="S125" s="732">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1</v>
      </c>
      <c r="R126" s="49">
        <f t="shared" si="26"/>
        <v>0</v>
      </c>
      <c r="S126" s="732">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1</v>
      </c>
      <c r="R127" s="49">
        <f t="shared" si="26"/>
        <v>0</v>
      </c>
      <c r="S127" s="732">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1</v>
      </c>
      <c r="R128" s="49">
        <f t="shared" si="26"/>
        <v>0</v>
      </c>
      <c r="S128" s="732">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1</v>
      </c>
      <c r="R129" s="49">
        <f t="shared" si="26"/>
        <v>0</v>
      </c>
      <c r="S129" s="732">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1</v>
      </c>
      <c r="R130" s="49">
        <f t="shared" si="26"/>
        <v>0</v>
      </c>
      <c r="S130" s="732">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1</v>
      </c>
      <c r="R131" s="49">
        <f t="shared" si="26"/>
        <v>0</v>
      </c>
      <c r="S131" s="732">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1</v>
      </c>
      <c r="R132" s="49">
        <f t="shared" si="26"/>
        <v>0</v>
      </c>
      <c r="S132" s="732">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1</v>
      </c>
      <c r="R133" s="49">
        <f t="shared" si="26"/>
        <v>0</v>
      </c>
      <c r="S133" s="732">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1</v>
      </c>
      <c r="R134" s="49">
        <f t="shared" si="26"/>
        <v>0</v>
      </c>
      <c r="S134" s="732">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1</v>
      </c>
      <c r="R135" s="49">
        <f t="shared" si="26"/>
        <v>0</v>
      </c>
      <c r="S135" s="732">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1</v>
      </c>
      <c r="R136" s="49">
        <f t="shared" si="26"/>
        <v>0</v>
      </c>
      <c r="S136" s="732">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1</v>
      </c>
      <c r="R137" s="49">
        <f t="shared" si="26"/>
        <v>0</v>
      </c>
      <c r="S137" s="732">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1</v>
      </c>
      <c r="R138" s="49">
        <f t="shared" si="26"/>
        <v>0</v>
      </c>
      <c r="S138" s="732">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1</v>
      </c>
      <c r="R139" s="49">
        <f t="shared" si="26"/>
        <v>0</v>
      </c>
      <c r="S139" s="732">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1</v>
      </c>
      <c r="R140" s="49">
        <f t="shared" si="26"/>
        <v>0</v>
      </c>
      <c r="S140" s="732">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1</v>
      </c>
      <c r="R141" s="49">
        <f t="shared" si="26"/>
        <v>0</v>
      </c>
      <c r="S141" s="732">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1</v>
      </c>
      <c r="R142" s="49">
        <f t="shared" si="26"/>
        <v>0</v>
      </c>
      <c r="S142" s="732">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1</v>
      </c>
      <c r="R143" s="49">
        <f t="shared" si="26"/>
        <v>0</v>
      </c>
      <c r="S143" s="732">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1</v>
      </c>
      <c r="R144" s="49">
        <f t="shared" si="26"/>
        <v>0</v>
      </c>
      <c r="S144" s="732">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1</v>
      </c>
      <c r="R145" s="49">
        <f t="shared" si="26"/>
        <v>0</v>
      </c>
      <c r="S145" s="732">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1</v>
      </c>
      <c r="R146" s="49">
        <f t="shared" si="26"/>
        <v>0</v>
      </c>
      <c r="S146" s="732">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1</v>
      </c>
      <c r="R147" s="49">
        <f t="shared" si="26"/>
        <v>0</v>
      </c>
      <c r="S147" s="732">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1</v>
      </c>
      <c r="R148" s="49">
        <f t="shared" si="26"/>
        <v>0</v>
      </c>
      <c r="S148" s="732">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1</v>
      </c>
      <c r="R149" s="49">
        <f t="shared" si="26"/>
        <v>0</v>
      </c>
      <c r="S149" s="732">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1</v>
      </c>
      <c r="R150" s="49">
        <f t="shared" si="26"/>
        <v>0</v>
      </c>
      <c r="S150" s="732">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1</v>
      </c>
      <c r="R151" s="49">
        <f t="shared" si="26"/>
        <v>0</v>
      </c>
      <c r="S151" s="732">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1</v>
      </c>
      <c r="R152" s="49">
        <f t="shared" si="26"/>
        <v>0</v>
      </c>
      <c r="S152" s="732">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1</v>
      </c>
      <c r="R153" s="49">
        <f t="shared" si="26"/>
        <v>0</v>
      </c>
      <c r="S153" s="732">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1</v>
      </c>
      <c r="R154" s="49">
        <f t="shared" ref="R154:R217" si="36">IF(B154="",0,ROUND($R$24*C154*E154*G154*I154*K154*M154*O154*Q154,0))</f>
        <v>0</v>
      </c>
      <c r="S154" s="732">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1</v>
      </c>
      <c r="R155" s="49">
        <f t="shared" si="36"/>
        <v>0</v>
      </c>
      <c r="S155" s="732">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1</v>
      </c>
      <c r="R156" s="49">
        <f t="shared" si="36"/>
        <v>0</v>
      </c>
      <c r="S156" s="732">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1</v>
      </c>
      <c r="R157" s="49">
        <f t="shared" si="36"/>
        <v>0</v>
      </c>
      <c r="S157" s="732">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1</v>
      </c>
      <c r="R158" s="49">
        <f t="shared" si="36"/>
        <v>0</v>
      </c>
      <c r="S158" s="732">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1</v>
      </c>
      <c r="R159" s="49">
        <f t="shared" si="36"/>
        <v>0</v>
      </c>
      <c r="S159" s="732">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1</v>
      </c>
      <c r="R160" s="49">
        <f t="shared" si="36"/>
        <v>0</v>
      </c>
      <c r="S160" s="732">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1</v>
      </c>
      <c r="R161" s="49">
        <f t="shared" si="36"/>
        <v>0</v>
      </c>
      <c r="S161" s="732">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1</v>
      </c>
      <c r="R162" s="49">
        <f t="shared" si="36"/>
        <v>0</v>
      </c>
      <c r="S162" s="732">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1</v>
      </c>
      <c r="R163" s="49">
        <f t="shared" si="36"/>
        <v>0</v>
      </c>
      <c r="S163" s="732">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1</v>
      </c>
      <c r="R164" s="49">
        <f t="shared" si="36"/>
        <v>0</v>
      </c>
      <c r="S164" s="732">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1</v>
      </c>
      <c r="R165" s="49">
        <f t="shared" si="36"/>
        <v>0</v>
      </c>
      <c r="S165" s="732">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1</v>
      </c>
      <c r="R166" s="49">
        <f t="shared" si="36"/>
        <v>0</v>
      </c>
      <c r="S166" s="732">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1</v>
      </c>
      <c r="R167" s="49">
        <f t="shared" si="36"/>
        <v>0</v>
      </c>
      <c r="S167" s="732">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1</v>
      </c>
      <c r="R168" s="49">
        <f t="shared" si="36"/>
        <v>0</v>
      </c>
      <c r="S168" s="732">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1</v>
      </c>
      <c r="R169" s="49">
        <f t="shared" si="36"/>
        <v>0</v>
      </c>
      <c r="S169" s="732">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1</v>
      </c>
      <c r="R170" s="49">
        <f t="shared" si="36"/>
        <v>0</v>
      </c>
      <c r="S170" s="732">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1</v>
      </c>
      <c r="R171" s="49">
        <f t="shared" si="36"/>
        <v>0</v>
      </c>
      <c r="S171" s="732">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1</v>
      </c>
      <c r="R172" s="49">
        <f t="shared" si="36"/>
        <v>0</v>
      </c>
      <c r="S172" s="732">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1</v>
      </c>
      <c r="R173" s="49">
        <f t="shared" si="36"/>
        <v>0</v>
      </c>
      <c r="S173" s="732">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1</v>
      </c>
      <c r="R174" s="49">
        <f t="shared" si="36"/>
        <v>0</v>
      </c>
      <c r="S174" s="732">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1</v>
      </c>
      <c r="R175" s="49">
        <f t="shared" si="36"/>
        <v>0</v>
      </c>
      <c r="S175" s="732">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1</v>
      </c>
      <c r="R176" s="49">
        <f t="shared" si="36"/>
        <v>0</v>
      </c>
      <c r="S176" s="732">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1</v>
      </c>
      <c r="R177" s="49">
        <f t="shared" si="36"/>
        <v>0</v>
      </c>
      <c r="S177" s="732">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1</v>
      </c>
      <c r="R178" s="49">
        <f t="shared" si="36"/>
        <v>0</v>
      </c>
      <c r="S178" s="732">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1</v>
      </c>
      <c r="R179" s="49">
        <f t="shared" si="36"/>
        <v>0</v>
      </c>
      <c r="S179" s="732">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1</v>
      </c>
      <c r="R180" s="49">
        <f t="shared" si="36"/>
        <v>0</v>
      </c>
      <c r="S180" s="732">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1</v>
      </c>
      <c r="R181" s="49">
        <f t="shared" si="36"/>
        <v>0</v>
      </c>
      <c r="S181" s="732">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1</v>
      </c>
      <c r="R182" s="49">
        <f t="shared" si="36"/>
        <v>0</v>
      </c>
      <c r="S182" s="732">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1</v>
      </c>
      <c r="R183" s="49">
        <f t="shared" si="36"/>
        <v>0</v>
      </c>
      <c r="S183" s="732">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1</v>
      </c>
      <c r="R184" s="49">
        <f t="shared" si="36"/>
        <v>0</v>
      </c>
      <c r="S184" s="732">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1</v>
      </c>
      <c r="R185" s="49">
        <f t="shared" si="36"/>
        <v>0</v>
      </c>
      <c r="S185" s="732">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1</v>
      </c>
      <c r="R186" s="49">
        <f t="shared" si="36"/>
        <v>0</v>
      </c>
      <c r="S186" s="732">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1</v>
      </c>
      <c r="R187" s="49">
        <f t="shared" si="36"/>
        <v>0</v>
      </c>
      <c r="S187" s="732">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1</v>
      </c>
      <c r="R188" s="49">
        <f t="shared" si="36"/>
        <v>0</v>
      </c>
      <c r="S188" s="732">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1</v>
      </c>
      <c r="R189" s="49">
        <f t="shared" si="36"/>
        <v>0</v>
      </c>
      <c r="S189" s="732">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1</v>
      </c>
      <c r="R190" s="49">
        <f t="shared" si="36"/>
        <v>0</v>
      </c>
      <c r="S190" s="732">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1</v>
      </c>
      <c r="R191" s="49">
        <f t="shared" si="36"/>
        <v>0</v>
      </c>
      <c r="S191" s="732">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1</v>
      </c>
      <c r="R192" s="49">
        <f t="shared" si="36"/>
        <v>0</v>
      </c>
      <c r="S192" s="732">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1</v>
      </c>
      <c r="R193" s="49">
        <f t="shared" si="36"/>
        <v>0</v>
      </c>
      <c r="S193" s="732">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1</v>
      </c>
      <c r="R194" s="49">
        <f t="shared" si="36"/>
        <v>0</v>
      </c>
      <c r="S194" s="732">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1</v>
      </c>
      <c r="R195" s="49">
        <f t="shared" si="36"/>
        <v>0</v>
      </c>
      <c r="S195" s="732">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1</v>
      </c>
      <c r="R196" s="49">
        <f t="shared" si="36"/>
        <v>0</v>
      </c>
      <c r="S196" s="732">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1</v>
      </c>
      <c r="R197" s="49">
        <f t="shared" si="36"/>
        <v>0</v>
      </c>
      <c r="S197" s="732">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1</v>
      </c>
      <c r="R198" s="49">
        <f t="shared" si="36"/>
        <v>0</v>
      </c>
      <c r="S198" s="732">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1</v>
      </c>
      <c r="R199" s="49">
        <f t="shared" si="36"/>
        <v>0</v>
      </c>
      <c r="S199" s="732">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1</v>
      </c>
      <c r="R200" s="49">
        <f t="shared" si="36"/>
        <v>0</v>
      </c>
      <c r="S200" s="732">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1</v>
      </c>
      <c r="R201" s="49">
        <f t="shared" si="36"/>
        <v>0</v>
      </c>
      <c r="S201" s="732">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1</v>
      </c>
      <c r="R202" s="49">
        <f t="shared" si="36"/>
        <v>0</v>
      </c>
      <c r="S202" s="732">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1</v>
      </c>
      <c r="R203" s="49">
        <f t="shared" si="36"/>
        <v>0</v>
      </c>
      <c r="S203" s="732">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1</v>
      </c>
      <c r="R204" s="49">
        <f t="shared" si="36"/>
        <v>0</v>
      </c>
      <c r="S204" s="732">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1</v>
      </c>
      <c r="R205" s="49">
        <f t="shared" si="36"/>
        <v>0</v>
      </c>
      <c r="S205" s="732">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1</v>
      </c>
      <c r="R206" s="49">
        <f t="shared" si="36"/>
        <v>0</v>
      </c>
      <c r="S206" s="732">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1</v>
      </c>
      <c r="R207" s="49">
        <f t="shared" si="36"/>
        <v>0</v>
      </c>
      <c r="S207" s="732">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1</v>
      </c>
      <c r="R208" s="49">
        <f t="shared" si="36"/>
        <v>0</v>
      </c>
      <c r="S208" s="732">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1</v>
      </c>
      <c r="R209" s="49">
        <f t="shared" si="36"/>
        <v>0</v>
      </c>
      <c r="S209" s="732">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1</v>
      </c>
      <c r="R210" s="49">
        <f t="shared" si="36"/>
        <v>0</v>
      </c>
      <c r="S210" s="732">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1</v>
      </c>
      <c r="R211" s="49">
        <f t="shared" si="36"/>
        <v>0</v>
      </c>
      <c r="S211" s="732">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1</v>
      </c>
      <c r="R212" s="49">
        <f t="shared" si="36"/>
        <v>0</v>
      </c>
      <c r="S212" s="732">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1</v>
      </c>
      <c r="R213" s="49">
        <f t="shared" si="36"/>
        <v>0</v>
      </c>
      <c r="S213" s="732">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1</v>
      </c>
      <c r="R214" s="49">
        <f t="shared" si="36"/>
        <v>0</v>
      </c>
      <c r="S214" s="732">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1</v>
      </c>
      <c r="R215" s="49">
        <f t="shared" si="36"/>
        <v>0</v>
      </c>
      <c r="S215" s="732">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1</v>
      </c>
      <c r="R216" s="49">
        <f t="shared" si="36"/>
        <v>0</v>
      </c>
      <c r="S216" s="732">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1</v>
      </c>
      <c r="R217" s="49">
        <f t="shared" si="36"/>
        <v>0</v>
      </c>
      <c r="S217" s="732">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1</v>
      </c>
      <c r="R218" s="49">
        <f t="shared" ref="R218:R281" si="46">IF(B218="",0,ROUND($R$24*C218*E218*G218*I218*K218*M218*O218*Q218,0))</f>
        <v>0</v>
      </c>
      <c r="S218" s="732">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1</v>
      </c>
      <c r="R219" s="49">
        <f t="shared" si="46"/>
        <v>0</v>
      </c>
      <c r="S219" s="732">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1</v>
      </c>
      <c r="R220" s="49">
        <f t="shared" si="46"/>
        <v>0</v>
      </c>
      <c r="S220" s="732">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1</v>
      </c>
      <c r="R221" s="49">
        <f t="shared" si="46"/>
        <v>0</v>
      </c>
      <c r="S221" s="732">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1</v>
      </c>
      <c r="R222" s="49">
        <f t="shared" si="46"/>
        <v>0</v>
      </c>
      <c r="S222" s="732">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1</v>
      </c>
      <c r="R223" s="49">
        <f t="shared" si="46"/>
        <v>0</v>
      </c>
      <c r="S223" s="732">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1</v>
      </c>
      <c r="R224" s="49">
        <f t="shared" si="46"/>
        <v>0</v>
      </c>
      <c r="S224" s="732">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1</v>
      </c>
      <c r="R225" s="49">
        <f t="shared" si="46"/>
        <v>0</v>
      </c>
      <c r="S225" s="732">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1</v>
      </c>
      <c r="R226" s="49">
        <f t="shared" si="46"/>
        <v>0</v>
      </c>
      <c r="S226" s="732">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1</v>
      </c>
      <c r="R227" s="49">
        <f t="shared" si="46"/>
        <v>0</v>
      </c>
      <c r="S227" s="732">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1</v>
      </c>
      <c r="R228" s="49">
        <f t="shared" si="46"/>
        <v>0</v>
      </c>
      <c r="S228" s="732">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1</v>
      </c>
      <c r="R229" s="49">
        <f t="shared" si="46"/>
        <v>0</v>
      </c>
      <c r="S229" s="732">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1</v>
      </c>
      <c r="R230" s="49">
        <f t="shared" si="46"/>
        <v>0</v>
      </c>
      <c r="S230" s="732">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1</v>
      </c>
      <c r="R231" s="49">
        <f t="shared" si="46"/>
        <v>0</v>
      </c>
      <c r="S231" s="732">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1</v>
      </c>
      <c r="R232" s="49">
        <f t="shared" si="46"/>
        <v>0</v>
      </c>
      <c r="S232" s="732">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1</v>
      </c>
      <c r="R233" s="49">
        <f t="shared" si="46"/>
        <v>0</v>
      </c>
      <c r="S233" s="732">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1</v>
      </c>
      <c r="R234" s="49">
        <f t="shared" si="46"/>
        <v>0</v>
      </c>
      <c r="S234" s="732">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1</v>
      </c>
      <c r="R235" s="49">
        <f t="shared" si="46"/>
        <v>0</v>
      </c>
      <c r="S235" s="732">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1</v>
      </c>
      <c r="R236" s="49">
        <f t="shared" si="46"/>
        <v>0</v>
      </c>
      <c r="S236" s="732">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1</v>
      </c>
      <c r="R237" s="49">
        <f t="shared" si="46"/>
        <v>0</v>
      </c>
      <c r="S237" s="732">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1</v>
      </c>
      <c r="R238" s="49">
        <f t="shared" si="46"/>
        <v>0</v>
      </c>
      <c r="S238" s="732">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1</v>
      </c>
      <c r="R239" s="49">
        <f t="shared" si="46"/>
        <v>0</v>
      </c>
      <c r="S239" s="732">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1</v>
      </c>
      <c r="R240" s="49">
        <f t="shared" si="46"/>
        <v>0</v>
      </c>
      <c r="S240" s="732">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1</v>
      </c>
      <c r="R241" s="49">
        <f t="shared" si="46"/>
        <v>0</v>
      </c>
      <c r="S241" s="732">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1</v>
      </c>
      <c r="R242" s="49">
        <f t="shared" si="46"/>
        <v>0</v>
      </c>
      <c r="S242" s="732">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1</v>
      </c>
      <c r="R243" s="49">
        <f t="shared" si="46"/>
        <v>0</v>
      </c>
      <c r="S243" s="732">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1</v>
      </c>
      <c r="R244" s="49">
        <f t="shared" si="46"/>
        <v>0</v>
      </c>
      <c r="S244" s="732">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1</v>
      </c>
      <c r="R245" s="49">
        <f t="shared" si="46"/>
        <v>0</v>
      </c>
      <c r="S245" s="732">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1</v>
      </c>
      <c r="R246" s="49">
        <f t="shared" si="46"/>
        <v>0</v>
      </c>
      <c r="S246" s="732">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1</v>
      </c>
      <c r="R247" s="49">
        <f t="shared" si="46"/>
        <v>0</v>
      </c>
      <c r="S247" s="732">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1</v>
      </c>
      <c r="R248" s="49">
        <f t="shared" si="46"/>
        <v>0</v>
      </c>
      <c r="S248" s="732">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1</v>
      </c>
      <c r="R249" s="49">
        <f t="shared" si="46"/>
        <v>0</v>
      </c>
      <c r="S249" s="732">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1</v>
      </c>
      <c r="R250" s="49">
        <f t="shared" si="46"/>
        <v>0</v>
      </c>
      <c r="S250" s="732">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1</v>
      </c>
      <c r="R251" s="49">
        <f t="shared" si="46"/>
        <v>0</v>
      </c>
      <c r="S251" s="732">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1</v>
      </c>
      <c r="R252" s="49">
        <f t="shared" si="46"/>
        <v>0</v>
      </c>
      <c r="S252" s="732">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1</v>
      </c>
      <c r="R253" s="49">
        <f t="shared" si="46"/>
        <v>0</v>
      </c>
      <c r="S253" s="732">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1</v>
      </c>
      <c r="R254" s="49">
        <f t="shared" si="46"/>
        <v>0</v>
      </c>
      <c r="S254" s="732">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1</v>
      </c>
      <c r="R255" s="49">
        <f t="shared" si="46"/>
        <v>0</v>
      </c>
      <c r="S255" s="732">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1</v>
      </c>
      <c r="R256" s="49">
        <f t="shared" si="46"/>
        <v>0</v>
      </c>
      <c r="S256" s="732">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1</v>
      </c>
      <c r="R257" s="49">
        <f t="shared" si="46"/>
        <v>0</v>
      </c>
      <c r="S257" s="732">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1</v>
      </c>
      <c r="R258" s="49">
        <f t="shared" si="46"/>
        <v>0</v>
      </c>
      <c r="S258" s="732">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1</v>
      </c>
      <c r="R259" s="49">
        <f t="shared" si="46"/>
        <v>0</v>
      </c>
      <c r="S259" s="732">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1</v>
      </c>
      <c r="R260" s="49">
        <f t="shared" si="46"/>
        <v>0</v>
      </c>
      <c r="S260" s="732">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1</v>
      </c>
      <c r="R261" s="49">
        <f t="shared" si="46"/>
        <v>0</v>
      </c>
      <c r="S261" s="732">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1</v>
      </c>
      <c r="R262" s="49">
        <f t="shared" si="46"/>
        <v>0</v>
      </c>
      <c r="S262" s="732">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1</v>
      </c>
      <c r="R263" s="49">
        <f t="shared" si="46"/>
        <v>0</v>
      </c>
      <c r="S263" s="732">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1</v>
      </c>
      <c r="R264" s="49">
        <f t="shared" si="46"/>
        <v>0</v>
      </c>
      <c r="S264" s="732">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1</v>
      </c>
      <c r="R265" s="49">
        <f t="shared" si="46"/>
        <v>0</v>
      </c>
      <c r="S265" s="732">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1</v>
      </c>
      <c r="R266" s="49">
        <f t="shared" si="46"/>
        <v>0</v>
      </c>
      <c r="S266" s="732">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1</v>
      </c>
      <c r="R267" s="49">
        <f t="shared" si="46"/>
        <v>0</v>
      </c>
      <c r="S267" s="732">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1</v>
      </c>
      <c r="R268" s="49">
        <f t="shared" si="46"/>
        <v>0</v>
      </c>
      <c r="S268" s="732">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1</v>
      </c>
      <c r="R269" s="49">
        <f t="shared" si="46"/>
        <v>0</v>
      </c>
      <c r="S269" s="732">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1</v>
      </c>
      <c r="R270" s="49">
        <f t="shared" si="46"/>
        <v>0</v>
      </c>
      <c r="S270" s="732">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1</v>
      </c>
      <c r="R271" s="49">
        <f t="shared" si="46"/>
        <v>0</v>
      </c>
      <c r="S271" s="732">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1</v>
      </c>
      <c r="R272" s="49">
        <f t="shared" si="46"/>
        <v>0</v>
      </c>
      <c r="S272" s="732">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1</v>
      </c>
      <c r="R273" s="49">
        <f t="shared" si="46"/>
        <v>0</v>
      </c>
      <c r="S273" s="732">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1</v>
      </c>
      <c r="R274" s="49">
        <f t="shared" si="46"/>
        <v>0</v>
      </c>
      <c r="S274" s="732">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1</v>
      </c>
      <c r="R275" s="49">
        <f t="shared" si="46"/>
        <v>0</v>
      </c>
      <c r="S275" s="732">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1</v>
      </c>
      <c r="R276" s="49">
        <f t="shared" si="46"/>
        <v>0</v>
      </c>
      <c r="S276" s="732">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1</v>
      </c>
      <c r="R277" s="49">
        <f t="shared" si="46"/>
        <v>0</v>
      </c>
      <c r="S277" s="732">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1</v>
      </c>
      <c r="R278" s="49">
        <f t="shared" si="46"/>
        <v>0</v>
      </c>
      <c r="S278" s="732">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1</v>
      </c>
      <c r="R279" s="49">
        <f t="shared" si="46"/>
        <v>0</v>
      </c>
      <c r="S279" s="732">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1</v>
      </c>
      <c r="R280" s="49">
        <f t="shared" si="46"/>
        <v>0</v>
      </c>
      <c r="S280" s="732">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1</v>
      </c>
      <c r="R281" s="49">
        <f t="shared" si="46"/>
        <v>0</v>
      </c>
      <c r="S281" s="732">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1</v>
      </c>
      <c r="R282" s="49">
        <f t="shared" ref="R282:R345" si="56">IF(B282="",0,ROUND($R$24*C282*E282*G282*I282*K282*M282*O282*Q282,0))</f>
        <v>0</v>
      </c>
      <c r="S282" s="732">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1</v>
      </c>
      <c r="R283" s="49">
        <f t="shared" si="56"/>
        <v>0</v>
      </c>
      <c r="S283" s="732">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1</v>
      </c>
      <c r="R284" s="49">
        <f t="shared" si="56"/>
        <v>0</v>
      </c>
      <c r="S284" s="732">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1</v>
      </c>
      <c r="R285" s="49">
        <f t="shared" si="56"/>
        <v>0</v>
      </c>
      <c r="S285" s="732">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1</v>
      </c>
      <c r="R286" s="49">
        <f t="shared" si="56"/>
        <v>0</v>
      </c>
      <c r="S286" s="732">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1</v>
      </c>
      <c r="R287" s="49">
        <f t="shared" si="56"/>
        <v>0</v>
      </c>
      <c r="S287" s="732">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1</v>
      </c>
      <c r="R288" s="49">
        <f t="shared" si="56"/>
        <v>0</v>
      </c>
      <c r="S288" s="732">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1</v>
      </c>
      <c r="R289" s="49">
        <f t="shared" si="56"/>
        <v>0</v>
      </c>
      <c r="S289" s="732">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1</v>
      </c>
      <c r="R290" s="49">
        <f t="shared" si="56"/>
        <v>0</v>
      </c>
      <c r="S290" s="732">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1</v>
      </c>
      <c r="R291" s="49">
        <f t="shared" si="56"/>
        <v>0</v>
      </c>
      <c r="S291" s="732">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1</v>
      </c>
      <c r="R292" s="49">
        <f t="shared" si="56"/>
        <v>0</v>
      </c>
      <c r="S292" s="732">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1</v>
      </c>
      <c r="R293" s="49">
        <f t="shared" si="56"/>
        <v>0</v>
      </c>
      <c r="S293" s="732">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1</v>
      </c>
      <c r="R294" s="49">
        <f t="shared" si="56"/>
        <v>0</v>
      </c>
      <c r="S294" s="732">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1</v>
      </c>
      <c r="R295" s="49">
        <f t="shared" si="56"/>
        <v>0</v>
      </c>
      <c r="S295" s="732">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1</v>
      </c>
      <c r="R296" s="49">
        <f t="shared" si="56"/>
        <v>0</v>
      </c>
      <c r="S296" s="732">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1</v>
      </c>
      <c r="R297" s="49">
        <f t="shared" si="56"/>
        <v>0</v>
      </c>
      <c r="S297" s="732">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1</v>
      </c>
      <c r="R298" s="49">
        <f t="shared" si="56"/>
        <v>0</v>
      </c>
      <c r="S298" s="732">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1</v>
      </c>
      <c r="R299" s="49">
        <f t="shared" si="56"/>
        <v>0</v>
      </c>
      <c r="S299" s="732">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1</v>
      </c>
      <c r="R300" s="49">
        <f t="shared" si="56"/>
        <v>0</v>
      </c>
      <c r="S300" s="732">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1</v>
      </c>
      <c r="R301" s="49">
        <f t="shared" si="56"/>
        <v>0</v>
      </c>
      <c r="S301" s="732">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1</v>
      </c>
      <c r="R302" s="49">
        <f t="shared" si="56"/>
        <v>0</v>
      </c>
      <c r="S302" s="732">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1</v>
      </c>
      <c r="R303" s="49">
        <f t="shared" si="56"/>
        <v>0</v>
      </c>
      <c r="S303" s="732">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1</v>
      </c>
      <c r="R304" s="49">
        <f t="shared" si="56"/>
        <v>0</v>
      </c>
      <c r="S304" s="732">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1</v>
      </c>
      <c r="R305" s="49">
        <f t="shared" si="56"/>
        <v>0</v>
      </c>
      <c r="S305" s="732">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1</v>
      </c>
      <c r="R306" s="49">
        <f t="shared" si="56"/>
        <v>0</v>
      </c>
      <c r="S306" s="732">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1</v>
      </c>
      <c r="R307" s="49">
        <f t="shared" si="56"/>
        <v>0</v>
      </c>
      <c r="S307" s="732">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1</v>
      </c>
      <c r="R308" s="49">
        <f t="shared" si="56"/>
        <v>0</v>
      </c>
      <c r="S308" s="732">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1</v>
      </c>
      <c r="R309" s="49">
        <f t="shared" si="56"/>
        <v>0</v>
      </c>
      <c r="S309" s="732">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1</v>
      </c>
      <c r="R310" s="49">
        <f t="shared" si="56"/>
        <v>0</v>
      </c>
      <c r="S310" s="732">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1</v>
      </c>
      <c r="R311" s="49">
        <f t="shared" si="56"/>
        <v>0</v>
      </c>
      <c r="S311" s="732">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1</v>
      </c>
      <c r="R312" s="49">
        <f t="shared" si="56"/>
        <v>0</v>
      </c>
      <c r="S312" s="732">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1</v>
      </c>
      <c r="R313" s="49">
        <f t="shared" si="56"/>
        <v>0</v>
      </c>
      <c r="S313" s="732">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1</v>
      </c>
      <c r="R314" s="49">
        <f t="shared" si="56"/>
        <v>0</v>
      </c>
      <c r="S314" s="732">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1</v>
      </c>
      <c r="R315" s="49">
        <f t="shared" si="56"/>
        <v>0</v>
      </c>
      <c r="S315" s="732">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1</v>
      </c>
      <c r="R316" s="49">
        <f t="shared" si="56"/>
        <v>0</v>
      </c>
      <c r="S316" s="732">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1</v>
      </c>
      <c r="R317" s="49">
        <f t="shared" si="56"/>
        <v>0</v>
      </c>
      <c r="S317" s="732">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1</v>
      </c>
      <c r="R318" s="49">
        <f t="shared" si="56"/>
        <v>0</v>
      </c>
      <c r="S318" s="732">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1</v>
      </c>
      <c r="R319" s="49">
        <f t="shared" si="56"/>
        <v>0</v>
      </c>
      <c r="S319" s="732">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1</v>
      </c>
      <c r="R320" s="49">
        <f t="shared" si="56"/>
        <v>0</v>
      </c>
      <c r="S320" s="732">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1</v>
      </c>
      <c r="R321" s="49">
        <f t="shared" si="56"/>
        <v>0</v>
      </c>
      <c r="S321" s="732">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1</v>
      </c>
      <c r="R322" s="49">
        <f t="shared" si="56"/>
        <v>0</v>
      </c>
      <c r="S322" s="732">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1</v>
      </c>
      <c r="R323" s="49">
        <f t="shared" si="56"/>
        <v>0</v>
      </c>
      <c r="S323" s="732">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1</v>
      </c>
      <c r="R324" s="49">
        <f t="shared" si="56"/>
        <v>0</v>
      </c>
      <c r="S324" s="732">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1</v>
      </c>
      <c r="R325" s="49">
        <f t="shared" si="56"/>
        <v>0</v>
      </c>
      <c r="S325" s="732">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1</v>
      </c>
      <c r="R326" s="49">
        <f t="shared" si="56"/>
        <v>0</v>
      </c>
      <c r="S326" s="732">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1</v>
      </c>
      <c r="R327" s="49">
        <f t="shared" si="56"/>
        <v>0</v>
      </c>
      <c r="S327" s="732">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1</v>
      </c>
      <c r="R328" s="49">
        <f t="shared" si="56"/>
        <v>0</v>
      </c>
      <c r="S328" s="732">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1</v>
      </c>
      <c r="R329" s="49">
        <f t="shared" si="56"/>
        <v>0</v>
      </c>
      <c r="S329" s="732">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1</v>
      </c>
      <c r="R330" s="49">
        <f t="shared" si="56"/>
        <v>0</v>
      </c>
      <c r="S330" s="732">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1</v>
      </c>
      <c r="R331" s="49">
        <f t="shared" si="56"/>
        <v>0</v>
      </c>
      <c r="S331" s="732">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1</v>
      </c>
      <c r="R332" s="49">
        <f t="shared" si="56"/>
        <v>0</v>
      </c>
      <c r="S332" s="732">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1</v>
      </c>
      <c r="R333" s="49">
        <f t="shared" si="56"/>
        <v>0</v>
      </c>
      <c r="S333" s="732">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1</v>
      </c>
      <c r="R334" s="49">
        <f t="shared" si="56"/>
        <v>0</v>
      </c>
      <c r="S334" s="732">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1</v>
      </c>
      <c r="R335" s="49">
        <f t="shared" si="56"/>
        <v>0</v>
      </c>
      <c r="S335" s="732">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1</v>
      </c>
      <c r="R336" s="49">
        <f t="shared" si="56"/>
        <v>0</v>
      </c>
      <c r="S336" s="732">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1</v>
      </c>
      <c r="R337" s="49">
        <f t="shared" si="56"/>
        <v>0</v>
      </c>
      <c r="S337" s="732">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1</v>
      </c>
      <c r="R338" s="49">
        <f t="shared" si="56"/>
        <v>0</v>
      </c>
      <c r="S338" s="732">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1</v>
      </c>
      <c r="R339" s="49">
        <f t="shared" si="56"/>
        <v>0</v>
      </c>
      <c r="S339" s="732">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1</v>
      </c>
      <c r="R340" s="49">
        <f t="shared" si="56"/>
        <v>0</v>
      </c>
      <c r="S340" s="732">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1</v>
      </c>
      <c r="R341" s="49">
        <f t="shared" si="56"/>
        <v>0</v>
      </c>
      <c r="S341" s="732">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1</v>
      </c>
      <c r="R342" s="49">
        <f t="shared" si="56"/>
        <v>0</v>
      </c>
      <c r="S342" s="732">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1</v>
      </c>
      <c r="R343" s="49">
        <f t="shared" si="56"/>
        <v>0</v>
      </c>
      <c r="S343" s="732">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1</v>
      </c>
      <c r="R344" s="49">
        <f t="shared" si="56"/>
        <v>0</v>
      </c>
      <c r="S344" s="732">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1</v>
      </c>
      <c r="R345" s="49">
        <f t="shared" si="56"/>
        <v>0</v>
      </c>
      <c r="S345" s="732">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1</v>
      </c>
      <c r="R346" s="49">
        <f t="shared" ref="R346:R409" si="67">IF(B346="",0,ROUND($R$24*C346*E346*G346*I346*K346*M346*O346*Q346,0))</f>
        <v>0</v>
      </c>
      <c r="S346" s="732">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1</v>
      </c>
      <c r="R347" s="49">
        <f t="shared" si="67"/>
        <v>0</v>
      </c>
      <c r="S347" s="732">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1</v>
      </c>
      <c r="R348" s="49">
        <f t="shared" si="67"/>
        <v>0</v>
      </c>
      <c r="S348" s="732">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1</v>
      </c>
      <c r="R349" s="49">
        <f t="shared" si="67"/>
        <v>0</v>
      </c>
      <c r="S349" s="732">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1</v>
      </c>
      <c r="R350" s="49">
        <f t="shared" si="67"/>
        <v>0</v>
      </c>
      <c r="S350" s="732">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1</v>
      </c>
      <c r="R351" s="49">
        <f t="shared" si="67"/>
        <v>0</v>
      </c>
      <c r="S351" s="732">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1</v>
      </c>
      <c r="R352" s="49">
        <f t="shared" si="67"/>
        <v>0</v>
      </c>
      <c r="S352" s="732">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1</v>
      </c>
      <c r="R353" s="49">
        <f t="shared" si="67"/>
        <v>0</v>
      </c>
      <c r="S353" s="732">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1</v>
      </c>
      <c r="R354" s="49">
        <f t="shared" si="67"/>
        <v>0</v>
      </c>
      <c r="S354" s="732">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1</v>
      </c>
      <c r="R355" s="49">
        <f t="shared" si="67"/>
        <v>0</v>
      </c>
      <c r="S355" s="732">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1</v>
      </c>
      <c r="R356" s="49">
        <f t="shared" si="67"/>
        <v>0</v>
      </c>
      <c r="S356" s="732">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1</v>
      </c>
      <c r="R357" s="49">
        <f t="shared" si="67"/>
        <v>0</v>
      </c>
      <c r="S357" s="732">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1</v>
      </c>
      <c r="R358" s="49">
        <f t="shared" si="67"/>
        <v>0</v>
      </c>
      <c r="S358" s="732">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1</v>
      </c>
      <c r="R359" s="49">
        <f t="shared" si="67"/>
        <v>0</v>
      </c>
      <c r="S359" s="732">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1</v>
      </c>
      <c r="R360" s="49">
        <f t="shared" si="67"/>
        <v>0</v>
      </c>
      <c r="S360" s="732">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1</v>
      </c>
      <c r="R361" s="49">
        <f t="shared" si="67"/>
        <v>0</v>
      </c>
      <c r="S361" s="732">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1</v>
      </c>
      <c r="R362" s="49">
        <f t="shared" si="67"/>
        <v>0</v>
      </c>
      <c r="S362" s="732">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1</v>
      </c>
      <c r="R363" s="49">
        <f t="shared" si="67"/>
        <v>0</v>
      </c>
      <c r="S363" s="732">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1</v>
      </c>
      <c r="R364" s="49">
        <f t="shared" si="67"/>
        <v>0</v>
      </c>
      <c r="S364" s="732">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1</v>
      </c>
      <c r="R365" s="49">
        <f t="shared" si="67"/>
        <v>0</v>
      </c>
      <c r="S365" s="732">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1</v>
      </c>
      <c r="R366" s="49">
        <f t="shared" si="67"/>
        <v>0</v>
      </c>
      <c r="S366" s="732">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1</v>
      </c>
      <c r="R367" s="49">
        <f t="shared" si="67"/>
        <v>0</v>
      </c>
      <c r="S367" s="732">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1</v>
      </c>
      <c r="R368" s="49">
        <f t="shared" si="67"/>
        <v>0</v>
      </c>
      <c r="S368" s="732">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1</v>
      </c>
      <c r="R369" s="49">
        <f t="shared" si="67"/>
        <v>0</v>
      </c>
      <c r="S369" s="732">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1</v>
      </c>
      <c r="R370" s="49">
        <f t="shared" si="67"/>
        <v>0</v>
      </c>
      <c r="S370" s="732">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1</v>
      </c>
      <c r="R371" s="49">
        <f t="shared" si="67"/>
        <v>0</v>
      </c>
      <c r="S371" s="732">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1</v>
      </c>
      <c r="R372" s="49">
        <f t="shared" si="67"/>
        <v>0</v>
      </c>
      <c r="S372" s="732">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1</v>
      </c>
      <c r="R373" s="49">
        <f t="shared" si="67"/>
        <v>0</v>
      </c>
      <c r="S373" s="732">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1</v>
      </c>
      <c r="R374" s="49">
        <f t="shared" si="67"/>
        <v>0</v>
      </c>
      <c r="S374" s="732">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1</v>
      </c>
      <c r="R375" s="49">
        <f t="shared" si="67"/>
        <v>0</v>
      </c>
      <c r="S375" s="732">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1</v>
      </c>
      <c r="R376" s="49">
        <f t="shared" si="67"/>
        <v>0</v>
      </c>
      <c r="S376" s="732">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1</v>
      </c>
      <c r="R377" s="49">
        <f t="shared" si="67"/>
        <v>0</v>
      </c>
      <c r="S377" s="732">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1</v>
      </c>
      <c r="R378" s="49">
        <f t="shared" si="67"/>
        <v>0</v>
      </c>
      <c r="S378" s="732">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1</v>
      </c>
      <c r="R379" s="49">
        <f t="shared" si="67"/>
        <v>0</v>
      </c>
      <c r="S379" s="732">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1</v>
      </c>
      <c r="R380" s="49">
        <f t="shared" si="67"/>
        <v>0</v>
      </c>
      <c r="S380" s="732">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1</v>
      </c>
      <c r="R381" s="49">
        <f t="shared" si="67"/>
        <v>0</v>
      </c>
      <c r="S381" s="732">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1</v>
      </c>
      <c r="R382" s="49">
        <f t="shared" si="67"/>
        <v>0</v>
      </c>
      <c r="S382" s="732">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1</v>
      </c>
      <c r="R383" s="49">
        <f t="shared" si="67"/>
        <v>0</v>
      </c>
      <c r="S383" s="732">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1</v>
      </c>
      <c r="R384" s="49">
        <f t="shared" si="67"/>
        <v>0</v>
      </c>
      <c r="S384" s="732">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1</v>
      </c>
      <c r="R385" s="49">
        <f t="shared" si="67"/>
        <v>0</v>
      </c>
      <c r="S385" s="732">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1</v>
      </c>
      <c r="R386" s="49">
        <f t="shared" si="67"/>
        <v>0</v>
      </c>
      <c r="S386" s="732">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1</v>
      </c>
      <c r="R387" s="49">
        <f t="shared" si="67"/>
        <v>0</v>
      </c>
      <c r="S387" s="732">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1</v>
      </c>
      <c r="R388" s="49">
        <f t="shared" si="67"/>
        <v>0</v>
      </c>
      <c r="S388" s="732">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1</v>
      </c>
      <c r="R389" s="49">
        <f t="shared" si="67"/>
        <v>0</v>
      </c>
      <c r="S389" s="732">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1</v>
      </c>
      <c r="R390" s="49">
        <f t="shared" si="67"/>
        <v>0</v>
      </c>
      <c r="S390" s="732">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1</v>
      </c>
      <c r="R391" s="49">
        <f t="shared" si="67"/>
        <v>0</v>
      </c>
      <c r="S391" s="732">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1</v>
      </c>
      <c r="R392" s="49">
        <f t="shared" si="67"/>
        <v>0</v>
      </c>
      <c r="S392" s="732">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1</v>
      </c>
      <c r="R393" s="49">
        <f t="shared" si="67"/>
        <v>0</v>
      </c>
      <c r="S393" s="732">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1</v>
      </c>
      <c r="R394" s="49">
        <f t="shared" si="67"/>
        <v>0</v>
      </c>
      <c r="S394" s="732">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1</v>
      </c>
      <c r="R395" s="49">
        <f t="shared" si="67"/>
        <v>0</v>
      </c>
      <c r="S395" s="732">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1</v>
      </c>
      <c r="R396" s="49">
        <f t="shared" si="67"/>
        <v>0</v>
      </c>
      <c r="S396" s="732">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1</v>
      </c>
      <c r="R397" s="49">
        <f t="shared" si="67"/>
        <v>0</v>
      </c>
      <c r="S397" s="732">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1</v>
      </c>
      <c r="R398" s="49">
        <f t="shared" si="67"/>
        <v>0</v>
      </c>
      <c r="S398" s="732">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1</v>
      </c>
      <c r="R399" s="49">
        <f t="shared" si="67"/>
        <v>0</v>
      </c>
      <c r="S399" s="732">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1</v>
      </c>
      <c r="R400" s="49">
        <f t="shared" si="67"/>
        <v>0</v>
      </c>
      <c r="S400" s="732">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1</v>
      </c>
      <c r="R401" s="49">
        <f t="shared" si="67"/>
        <v>0</v>
      </c>
      <c r="S401" s="732">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1</v>
      </c>
      <c r="R402" s="49">
        <f t="shared" si="67"/>
        <v>0</v>
      </c>
      <c r="S402" s="732">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1</v>
      </c>
      <c r="R403" s="49">
        <f t="shared" si="67"/>
        <v>0</v>
      </c>
      <c r="S403" s="732">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1</v>
      </c>
      <c r="R404" s="49">
        <f t="shared" si="67"/>
        <v>0</v>
      </c>
      <c r="S404" s="732">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1</v>
      </c>
      <c r="R405" s="49">
        <f t="shared" si="67"/>
        <v>0</v>
      </c>
      <c r="S405" s="732">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1</v>
      </c>
      <c r="R406" s="49">
        <f t="shared" si="67"/>
        <v>0</v>
      </c>
      <c r="S406" s="732">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1</v>
      </c>
      <c r="R407" s="49">
        <f t="shared" si="67"/>
        <v>0</v>
      </c>
      <c r="S407" s="732">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1</v>
      </c>
      <c r="R408" s="49">
        <f t="shared" si="67"/>
        <v>0</v>
      </c>
      <c r="S408" s="732">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1</v>
      </c>
      <c r="R409" s="49">
        <f t="shared" si="67"/>
        <v>0</v>
      </c>
      <c r="S409" s="732">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1</v>
      </c>
      <c r="R410" s="49">
        <f t="shared" ref="R410:R473" si="77">IF(B410="",0,ROUND($R$24*C410*E410*G410*I410*K410*M410*O410*Q410,0))</f>
        <v>0</v>
      </c>
      <c r="S410" s="732">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1</v>
      </c>
      <c r="R411" s="49">
        <f t="shared" si="77"/>
        <v>0</v>
      </c>
      <c r="S411" s="732">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1</v>
      </c>
      <c r="R412" s="49">
        <f t="shared" si="77"/>
        <v>0</v>
      </c>
      <c r="S412" s="732">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1</v>
      </c>
      <c r="R413" s="49">
        <f t="shared" si="77"/>
        <v>0</v>
      </c>
      <c r="S413" s="732">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1</v>
      </c>
      <c r="R414" s="49">
        <f t="shared" si="77"/>
        <v>0</v>
      </c>
      <c r="S414" s="732">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1</v>
      </c>
      <c r="R415" s="49">
        <f t="shared" si="77"/>
        <v>0</v>
      </c>
      <c r="S415" s="732">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1</v>
      </c>
      <c r="R416" s="49">
        <f t="shared" si="77"/>
        <v>0</v>
      </c>
      <c r="S416" s="732">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1</v>
      </c>
      <c r="R417" s="49">
        <f t="shared" si="77"/>
        <v>0</v>
      </c>
      <c r="S417" s="732">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1</v>
      </c>
      <c r="R418" s="49">
        <f t="shared" si="77"/>
        <v>0</v>
      </c>
      <c r="S418" s="732">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1</v>
      </c>
      <c r="R419" s="49">
        <f t="shared" si="77"/>
        <v>0</v>
      </c>
      <c r="S419" s="732">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1</v>
      </c>
      <c r="R420" s="49">
        <f t="shared" si="77"/>
        <v>0</v>
      </c>
      <c r="S420" s="732">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1</v>
      </c>
      <c r="R421" s="49">
        <f t="shared" si="77"/>
        <v>0</v>
      </c>
      <c r="S421" s="732">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1</v>
      </c>
      <c r="R422" s="49">
        <f t="shared" si="77"/>
        <v>0</v>
      </c>
      <c r="S422" s="732">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1</v>
      </c>
      <c r="R423" s="49">
        <f t="shared" si="77"/>
        <v>0</v>
      </c>
      <c r="S423" s="732">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1</v>
      </c>
      <c r="R424" s="49">
        <f t="shared" si="77"/>
        <v>0</v>
      </c>
      <c r="S424" s="732">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1</v>
      </c>
      <c r="R425" s="49">
        <f t="shared" si="77"/>
        <v>0</v>
      </c>
      <c r="S425" s="732">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1</v>
      </c>
      <c r="R426" s="49">
        <f t="shared" si="77"/>
        <v>0</v>
      </c>
      <c r="S426" s="732">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1</v>
      </c>
      <c r="R427" s="49">
        <f t="shared" si="77"/>
        <v>0</v>
      </c>
      <c r="S427" s="732">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1</v>
      </c>
      <c r="R428" s="49">
        <f t="shared" si="77"/>
        <v>0</v>
      </c>
      <c r="S428" s="732">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1</v>
      </c>
      <c r="R429" s="49">
        <f t="shared" si="77"/>
        <v>0</v>
      </c>
      <c r="S429" s="732">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1</v>
      </c>
      <c r="R430" s="49">
        <f t="shared" si="77"/>
        <v>0</v>
      </c>
      <c r="S430" s="732">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1</v>
      </c>
      <c r="R431" s="49">
        <f t="shared" si="77"/>
        <v>0</v>
      </c>
      <c r="S431" s="732">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1</v>
      </c>
      <c r="R432" s="49">
        <f t="shared" si="77"/>
        <v>0</v>
      </c>
      <c r="S432" s="732">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1</v>
      </c>
      <c r="R433" s="49">
        <f t="shared" si="77"/>
        <v>0</v>
      </c>
      <c r="S433" s="732">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1</v>
      </c>
      <c r="R434" s="49">
        <f t="shared" si="77"/>
        <v>0</v>
      </c>
      <c r="S434" s="732">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1</v>
      </c>
      <c r="R435" s="49">
        <f t="shared" si="77"/>
        <v>0</v>
      </c>
      <c r="S435" s="732">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1</v>
      </c>
      <c r="R436" s="49">
        <f t="shared" si="77"/>
        <v>0</v>
      </c>
      <c r="S436" s="732">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1</v>
      </c>
      <c r="R437" s="49">
        <f t="shared" si="77"/>
        <v>0</v>
      </c>
      <c r="S437" s="732">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1</v>
      </c>
      <c r="R438" s="49">
        <f t="shared" si="77"/>
        <v>0</v>
      </c>
      <c r="S438" s="732">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1</v>
      </c>
      <c r="R439" s="49">
        <f t="shared" si="77"/>
        <v>0</v>
      </c>
      <c r="S439" s="732">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1</v>
      </c>
      <c r="R440" s="49">
        <f t="shared" si="77"/>
        <v>0</v>
      </c>
      <c r="S440" s="732">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1</v>
      </c>
      <c r="R441" s="49">
        <f t="shared" si="77"/>
        <v>0</v>
      </c>
      <c r="S441" s="732">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1</v>
      </c>
      <c r="R442" s="49">
        <f t="shared" si="77"/>
        <v>0</v>
      </c>
      <c r="S442" s="732">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1</v>
      </c>
      <c r="R443" s="49">
        <f t="shared" si="77"/>
        <v>0</v>
      </c>
      <c r="S443" s="732">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1</v>
      </c>
      <c r="R444" s="49">
        <f t="shared" si="77"/>
        <v>0</v>
      </c>
      <c r="S444" s="732">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1</v>
      </c>
      <c r="R445" s="49">
        <f t="shared" si="77"/>
        <v>0</v>
      </c>
      <c r="S445" s="732">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1</v>
      </c>
      <c r="R446" s="49">
        <f t="shared" si="77"/>
        <v>0</v>
      </c>
      <c r="S446" s="732">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1</v>
      </c>
      <c r="R447" s="49">
        <f t="shared" si="77"/>
        <v>0</v>
      </c>
      <c r="S447" s="732">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1</v>
      </c>
      <c r="R448" s="49">
        <f t="shared" si="77"/>
        <v>0</v>
      </c>
      <c r="S448" s="732">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1</v>
      </c>
      <c r="R449" s="49">
        <f t="shared" si="77"/>
        <v>0</v>
      </c>
      <c r="S449" s="732">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1</v>
      </c>
      <c r="R450" s="49">
        <f t="shared" si="77"/>
        <v>0</v>
      </c>
      <c r="S450" s="732">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1</v>
      </c>
      <c r="R451" s="49">
        <f t="shared" si="77"/>
        <v>0</v>
      </c>
      <c r="S451" s="732">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1</v>
      </c>
      <c r="R452" s="49">
        <f t="shared" si="77"/>
        <v>0</v>
      </c>
      <c r="S452" s="732">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1</v>
      </c>
      <c r="R453" s="49">
        <f t="shared" si="77"/>
        <v>0</v>
      </c>
      <c r="S453" s="732">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1</v>
      </c>
      <c r="R454" s="49">
        <f t="shared" si="77"/>
        <v>0</v>
      </c>
      <c r="S454" s="732">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1</v>
      </c>
      <c r="R455" s="49">
        <f t="shared" si="77"/>
        <v>0</v>
      </c>
      <c r="S455" s="732">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1</v>
      </c>
      <c r="R456" s="49">
        <f t="shared" si="77"/>
        <v>0</v>
      </c>
      <c r="S456" s="732">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1</v>
      </c>
      <c r="R457" s="49">
        <f t="shared" si="77"/>
        <v>0</v>
      </c>
      <c r="S457" s="732">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1</v>
      </c>
      <c r="R458" s="49">
        <f t="shared" si="77"/>
        <v>0</v>
      </c>
      <c r="S458" s="732">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1</v>
      </c>
      <c r="R459" s="49">
        <f t="shared" si="77"/>
        <v>0</v>
      </c>
      <c r="S459" s="732">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1</v>
      </c>
      <c r="R460" s="49">
        <f t="shared" si="77"/>
        <v>0</v>
      </c>
      <c r="S460" s="732">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1</v>
      </c>
      <c r="R461" s="49">
        <f t="shared" si="77"/>
        <v>0</v>
      </c>
      <c r="S461" s="732">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1</v>
      </c>
      <c r="R462" s="49">
        <f t="shared" si="77"/>
        <v>0</v>
      </c>
      <c r="S462" s="732">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1</v>
      </c>
      <c r="R463" s="49">
        <f t="shared" si="77"/>
        <v>0</v>
      </c>
      <c r="S463" s="732">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1</v>
      </c>
      <c r="R464" s="49">
        <f t="shared" si="77"/>
        <v>0</v>
      </c>
      <c r="S464" s="732">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1</v>
      </c>
      <c r="R465" s="49">
        <f t="shared" si="77"/>
        <v>0</v>
      </c>
      <c r="S465" s="732">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1</v>
      </c>
      <c r="R466" s="49">
        <f t="shared" si="77"/>
        <v>0</v>
      </c>
      <c r="S466" s="732">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1</v>
      </c>
      <c r="R467" s="49">
        <f t="shared" si="77"/>
        <v>0</v>
      </c>
      <c r="S467" s="732">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1</v>
      </c>
      <c r="R468" s="49">
        <f t="shared" si="77"/>
        <v>0</v>
      </c>
      <c r="S468" s="732">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1</v>
      </c>
      <c r="R469" s="49">
        <f t="shared" si="77"/>
        <v>0</v>
      </c>
      <c r="S469" s="732">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1</v>
      </c>
      <c r="R470" s="49">
        <f t="shared" si="77"/>
        <v>0</v>
      </c>
      <c r="S470" s="732">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1</v>
      </c>
      <c r="R471" s="49">
        <f t="shared" si="77"/>
        <v>0</v>
      </c>
      <c r="S471" s="732">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1</v>
      </c>
      <c r="R472" s="49">
        <f t="shared" si="77"/>
        <v>0</v>
      </c>
      <c r="S472" s="732">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1</v>
      </c>
      <c r="R473" s="49">
        <f t="shared" si="77"/>
        <v>0</v>
      </c>
      <c r="S473" s="732">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1</v>
      </c>
      <c r="R474" s="49">
        <f t="shared" ref="R474:R524" si="88">IF(B474="",0,ROUND($R$24*C474*E474*G474*I474*K474*M474*O474*Q474,0))</f>
        <v>0</v>
      </c>
      <c r="S474" s="732">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1</v>
      </c>
      <c r="R475" s="49">
        <f t="shared" si="88"/>
        <v>0</v>
      </c>
      <c r="S475" s="732">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1</v>
      </c>
      <c r="R476" s="49">
        <f t="shared" si="88"/>
        <v>0</v>
      </c>
      <c r="S476" s="732">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1</v>
      </c>
      <c r="R477" s="49">
        <f t="shared" si="88"/>
        <v>0</v>
      </c>
      <c r="S477" s="732">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1</v>
      </c>
      <c r="R478" s="49">
        <f t="shared" si="88"/>
        <v>0</v>
      </c>
      <c r="S478" s="732">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1</v>
      </c>
      <c r="R479" s="49">
        <f t="shared" si="88"/>
        <v>0</v>
      </c>
      <c r="S479" s="732">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1</v>
      </c>
      <c r="R480" s="49">
        <f t="shared" si="88"/>
        <v>0</v>
      </c>
      <c r="S480" s="732">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1</v>
      </c>
      <c r="R481" s="49">
        <f t="shared" si="88"/>
        <v>0</v>
      </c>
      <c r="S481" s="732">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1</v>
      </c>
      <c r="R482" s="49">
        <f t="shared" si="88"/>
        <v>0</v>
      </c>
      <c r="S482" s="732">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1</v>
      </c>
      <c r="R483" s="49">
        <f t="shared" si="88"/>
        <v>0</v>
      </c>
      <c r="S483" s="732">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1</v>
      </c>
      <c r="R484" s="49">
        <f t="shared" si="88"/>
        <v>0</v>
      </c>
      <c r="S484" s="732">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1</v>
      </c>
      <c r="R485" s="49">
        <f t="shared" si="88"/>
        <v>0</v>
      </c>
      <c r="S485" s="732">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1</v>
      </c>
      <c r="R486" s="49">
        <f t="shared" si="88"/>
        <v>0</v>
      </c>
      <c r="S486" s="732">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1</v>
      </c>
      <c r="R487" s="49">
        <f t="shared" si="88"/>
        <v>0</v>
      </c>
      <c r="S487" s="732">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1</v>
      </c>
      <c r="R488" s="49">
        <f t="shared" si="88"/>
        <v>0</v>
      </c>
      <c r="S488" s="732">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1</v>
      </c>
      <c r="R489" s="49">
        <f t="shared" si="88"/>
        <v>0</v>
      </c>
      <c r="S489" s="732">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1</v>
      </c>
      <c r="R490" s="49">
        <f t="shared" si="88"/>
        <v>0</v>
      </c>
      <c r="S490" s="732">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1</v>
      </c>
      <c r="R491" s="49">
        <f t="shared" si="88"/>
        <v>0</v>
      </c>
      <c r="S491" s="732">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1</v>
      </c>
      <c r="R492" s="49">
        <f t="shared" si="88"/>
        <v>0</v>
      </c>
      <c r="S492" s="732">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1</v>
      </c>
      <c r="R493" s="49">
        <f t="shared" si="88"/>
        <v>0</v>
      </c>
      <c r="S493" s="732">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1</v>
      </c>
      <c r="R494" s="49">
        <f t="shared" si="88"/>
        <v>0</v>
      </c>
      <c r="S494" s="732">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1</v>
      </c>
      <c r="R495" s="49">
        <f t="shared" si="88"/>
        <v>0</v>
      </c>
      <c r="S495" s="732">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1</v>
      </c>
      <c r="R496" s="49">
        <f t="shared" si="88"/>
        <v>0</v>
      </c>
      <c r="S496" s="732">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1</v>
      </c>
      <c r="R497" s="49">
        <f t="shared" si="88"/>
        <v>0</v>
      </c>
      <c r="S497" s="732">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1</v>
      </c>
      <c r="R498" s="49">
        <f t="shared" si="88"/>
        <v>0</v>
      </c>
      <c r="S498" s="732">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1</v>
      </c>
      <c r="R499" s="49">
        <f t="shared" si="88"/>
        <v>0</v>
      </c>
      <c r="S499" s="732">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1</v>
      </c>
      <c r="R500" s="49">
        <f t="shared" si="88"/>
        <v>0</v>
      </c>
      <c r="S500" s="732">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1</v>
      </c>
      <c r="R501" s="49">
        <f t="shared" si="88"/>
        <v>0</v>
      </c>
      <c r="S501" s="732">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1</v>
      </c>
      <c r="R502" s="49">
        <f t="shared" si="88"/>
        <v>0</v>
      </c>
      <c r="S502" s="732">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1</v>
      </c>
      <c r="R503" s="49">
        <f t="shared" si="88"/>
        <v>0</v>
      </c>
      <c r="S503" s="732">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1</v>
      </c>
      <c r="R504" s="49">
        <f t="shared" si="88"/>
        <v>0</v>
      </c>
      <c r="S504" s="732">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1</v>
      </c>
      <c r="R505" s="49">
        <f t="shared" si="88"/>
        <v>0</v>
      </c>
      <c r="S505" s="732">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1</v>
      </c>
      <c r="R506" s="49">
        <f t="shared" si="88"/>
        <v>0</v>
      </c>
      <c r="S506" s="732">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1</v>
      </c>
      <c r="R507" s="49">
        <f t="shared" si="88"/>
        <v>0</v>
      </c>
      <c r="S507" s="732">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1</v>
      </c>
      <c r="R508" s="49">
        <f t="shared" si="88"/>
        <v>0</v>
      </c>
      <c r="S508" s="732">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1</v>
      </c>
      <c r="R509" s="49">
        <f t="shared" si="88"/>
        <v>0</v>
      </c>
      <c r="S509" s="732">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1</v>
      </c>
      <c r="R510" s="49">
        <f t="shared" si="88"/>
        <v>0</v>
      </c>
      <c r="S510" s="732">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1</v>
      </c>
      <c r="R511" s="49">
        <f t="shared" si="88"/>
        <v>0</v>
      </c>
      <c r="S511" s="732">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1</v>
      </c>
      <c r="R512" s="49">
        <f t="shared" si="88"/>
        <v>0</v>
      </c>
      <c r="S512" s="732">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1</v>
      </c>
      <c r="R513" s="49">
        <f t="shared" si="88"/>
        <v>0</v>
      </c>
      <c r="S513" s="732">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1</v>
      </c>
      <c r="R514" s="49">
        <f t="shared" si="88"/>
        <v>0</v>
      </c>
      <c r="S514" s="732">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1</v>
      </c>
      <c r="R515" s="49">
        <f t="shared" si="88"/>
        <v>0</v>
      </c>
      <c r="S515" s="732">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1</v>
      </c>
      <c r="R516" s="49">
        <f t="shared" si="88"/>
        <v>0</v>
      </c>
      <c r="S516" s="732">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1</v>
      </c>
      <c r="R517" s="49">
        <f t="shared" si="88"/>
        <v>0</v>
      </c>
      <c r="S517" s="732">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1</v>
      </c>
      <c r="R518" s="49">
        <f t="shared" si="88"/>
        <v>0</v>
      </c>
      <c r="S518" s="732">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1</v>
      </c>
      <c r="R519" s="49">
        <f t="shared" si="88"/>
        <v>0</v>
      </c>
      <c r="S519" s="732">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1</v>
      </c>
      <c r="R520" s="49">
        <f t="shared" si="88"/>
        <v>0</v>
      </c>
      <c r="S520" s="732">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1</v>
      </c>
      <c r="R521" s="49">
        <f t="shared" si="88"/>
        <v>0</v>
      </c>
      <c r="S521" s="732">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1</v>
      </c>
      <c r="R522" s="49">
        <f t="shared" si="88"/>
        <v>0</v>
      </c>
      <c r="S522" s="732">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1</v>
      </c>
      <c r="R523" s="49">
        <f t="shared" si="88"/>
        <v>0</v>
      </c>
      <c r="S523" s="732">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1</v>
      </c>
      <c r="R524" s="49">
        <f t="shared" si="88"/>
        <v>0</v>
      </c>
      <c r="S524" s="732">
        <f t="shared" si="89"/>
        <v>0</v>
      </c>
    </row>
    <row r="525" spans="1:19">
      <c r="A525" s="235"/>
      <c r="B525" s="53"/>
      <c r="C525" s="53"/>
      <c r="D525" s="53"/>
      <c r="E525" s="53"/>
      <c r="F525" s="53"/>
      <c r="G525" s="53"/>
      <c r="H525" s="53"/>
      <c r="I525" s="53"/>
      <c r="J525" s="53"/>
      <c r="K525" s="53"/>
      <c r="L525" s="53"/>
      <c r="M525" s="53"/>
      <c r="N525" s="53"/>
      <c r="O525" s="53"/>
      <c r="P525" s="53"/>
      <c r="Q525" s="53"/>
      <c r="R525" s="53"/>
      <c r="S525" s="235"/>
    </row>
    <row r="526" spans="1:19">
      <c r="A526" s="235"/>
      <c r="B526" s="53"/>
      <c r="C526" s="53"/>
      <c r="D526" s="53"/>
      <c r="E526" s="53"/>
      <c r="F526" s="53"/>
      <c r="G526" s="53"/>
      <c r="H526" s="53"/>
      <c r="I526" s="53"/>
      <c r="J526" s="53"/>
      <c r="K526" s="53"/>
      <c r="L526" s="53"/>
      <c r="M526" s="53"/>
      <c r="N526" s="53"/>
      <c r="O526" s="53"/>
      <c r="P526" s="53"/>
      <c r="Q526" s="53"/>
      <c r="R526" s="53"/>
      <c r="S526" s="235"/>
    </row>
    <row r="527" spans="1:19">
      <c r="A527" s="235"/>
      <c r="B527" s="53"/>
      <c r="C527" s="53"/>
      <c r="D527" s="53"/>
      <c r="E527" s="53"/>
      <c r="F527" s="53"/>
      <c r="G527" s="53"/>
      <c r="H527" s="53"/>
      <c r="I527" s="53"/>
      <c r="J527" s="53"/>
      <c r="K527" s="53"/>
      <c r="L527" s="53"/>
      <c r="M527" s="53"/>
      <c r="N527" s="53"/>
      <c r="O527" s="53"/>
      <c r="P527" s="53"/>
      <c r="Q527" s="53"/>
      <c r="R527" s="53"/>
      <c r="S527" s="235"/>
    </row>
    <row r="528" spans="1:19">
      <c r="A528" s="235"/>
      <c r="B528" s="53"/>
      <c r="C528" s="53"/>
      <c r="D528" s="53"/>
      <c r="E528" s="53"/>
      <c r="F528" s="53"/>
      <c r="G528" s="53"/>
      <c r="H528" s="53"/>
      <c r="I528" s="53"/>
      <c r="J528" s="53"/>
      <c r="K528" s="53"/>
      <c r="L528" s="53"/>
      <c r="M528" s="53"/>
      <c r="N528" s="53"/>
      <c r="O528" s="53"/>
      <c r="P528" s="53"/>
      <c r="Q528" s="53"/>
      <c r="R528" s="53"/>
      <c r="S528" s="235"/>
    </row>
    <row r="529" spans="1:19">
      <c r="A529" s="235"/>
      <c r="B529" s="53"/>
      <c r="C529" s="53"/>
      <c r="D529" s="53"/>
      <c r="E529" s="53"/>
      <c r="F529" s="53"/>
      <c r="G529" s="53"/>
      <c r="H529" s="53"/>
      <c r="I529" s="53"/>
      <c r="J529" s="53"/>
      <c r="K529" s="53"/>
      <c r="L529" s="53"/>
      <c r="M529" s="53"/>
      <c r="N529" s="53"/>
      <c r="O529" s="53"/>
      <c r="P529" s="53"/>
      <c r="Q529" s="53"/>
      <c r="R529" s="53"/>
      <c r="S529" s="235"/>
    </row>
    <row r="530" spans="1:19">
      <c r="A530" s="235"/>
      <c r="B530" s="53"/>
      <c r="C530" s="53"/>
      <c r="D530" s="53"/>
      <c r="E530" s="53"/>
      <c r="F530" s="53"/>
      <c r="G530" s="53"/>
      <c r="H530" s="53"/>
      <c r="I530" s="53"/>
      <c r="J530" s="53"/>
      <c r="K530" s="53"/>
      <c r="L530" s="53"/>
      <c r="M530" s="53"/>
      <c r="N530" s="53"/>
      <c r="O530" s="53"/>
      <c r="P530" s="53"/>
      <c r="Q530" s="53"/>
      <c r="R530" s="53"/>
      <c r="S530" s="235"/>
    </row>
    <row r="531" spans="1:19">
      <c r="A531" s="235"/>
      <c r="B531" s="53"/>
      <c r="C531" s="53"/>
      <c r="D531" s="53"/>
      <c r="E531" s="53"/>
      <c r="F531" s="53"/>
      <c r="G531" s="53"/>
      <c r="H531" s="53"/>
      <c r="I531" s="53"/>
      <c r="J531" s="53"/>
      <c r="K531" s="53"/>
      <c r="L531" s="53"/>
      <c r="M531" s="53"/>
      <c r="N531" s="53"/>
      <c r="O531" s="53"/>
      <c r="P531" s="53"/>
      <c r="Q531" s="53"/>
      <c r="R531" s="53"/>
      <c r="S531" s="235"/>
    </row>
    <row r="532" spans="1:19">
      <c r="A532" s="235"/>
      <c r="B532" s="53"/>
      <c r="C532" s="53"/>
      <c r="D532" s="53"/>
      <c r="E532" s="53"/>
      <c r="F532" s="53"/>
      <c r="G532" s="53"/>
      <c r="H532" s="53"/>
      <c r="I532" s="53"/>
      <c r="J532" s="53"/>
      <c r="K532" s="53"/>
      <c r="L532" s="53"/>
      <c r="M532" s="53"/>
      <c r="N532" s="53"/>
      <c r="O532" s="53"/>
      <c r="P532" s="53"/>
      <c r="Q532" s="53"/>
      <c r="R532" s="53"/>
      <c r="S532" s="235"/>
    </row>
    <row r="533" spans="1:19">
      <c r="A533" s="235"/>
      <c r="B533" s="53"/>
      <c r="C533" s="53"/>
      <c r="D533" s="53"/>
      <c r="E533" s="53"/>
      <c r="F533" s="53"/>
      <c r="G533" s="53"/>
      <c r="H533" s="53"/>
      <c r="I533" s="53"/>
      <c r="J533" s="53"/>
      <c r="K533" s="53"/>
      <c r="L533" s="53"/>
      <c r="M533" s="53"/>
      <c r="N533" s="53"/>
      <c r="O533" s="53"/>
      <c r="P533" s="53"/>
      <c r="Q533" s="53"/>
      <c r="R533" s="53"/>
      <c r="S533" s="235"/>
    </row>
    <row r="534" spans="1:19">
      <c r="A534" s="235"/>
      <c r="B534" s="53"/>
      <c r="C534" s="53"/>
      <c r="D534" s="53"/>
      <c r="E534" s="53"/>
      <c r="F534" s="53"/>
      <c r="G534" s="53"/>
      <c r="H534" s="53"/>
      <c r="I534" s="53"/>
      <c r="J534" s="53"/>
      <c r="K534" s="53"/>
      <c r="L534" s="53"/>
      <c r="M534" s="53"/>
      <c r="N534" s="53"/>
      <c r="O534" s="53"/>
      <c r="P534" s="53"/>
      <c r="Q534" s="53"/>
      <c r="R534" s="53"/>
      <c r="S534" s="235"/>
    </row>
    <row r="535" spans="1:19">
      <c r="A535" s="235"/>
      <c r="B535" s="53"/>
      <c r="C535" s="53"/>
      <c r="D535" s="53"/>
      <c r="E535" s="53"/>
      <c r="F535" s="53"/>
      <c r="G535" s="53"/>
      <c r="H535" s="53"/>
      <c r="I535" s="53"/>
      <c r="J535" s="53"/>
      <c r="K535" s="53"/>
      <c r="L535" s="53"/>
      <c r="M535" s="53"/>
      <c r="N535" s="53"/>
      <c r="O535" s="53"/>
      <c r="P535" s="53"/>
      <c r="Q535" s="53"/>
      <c r="R535" s="53"/>
      <c r="S535" s="235"/>
    </row>
    <row r="536" spans="1:19">
      <c r="A536" s="235"/>
      <c r="B536" s="53"/>
      <c r="C536" s="53"/>
      <c r="D536" s="53"/>
      <c r="E536" s="53"/>
      <c r="F536" s="53"/>
      <c r="G536" s="53"/>
      <c r="H536" s="53"/>
      <c r="I536" s="53"/>
      <c r="J536" s="53"/>
      <c r="K536" s="53"/>
      <c r="L536" s="53"/>
      <c r="M536" s="53"/>
      <c r="N536" s="53"/>
      <c r="O536" s="53"/>
      <c r="P536" s="53"/>
      <c r="Q536" s="53"/>
      <c r="R536" s="53"/>
      <c r="S536" s="235"/>
    </row>
    <row r="537" spans="1:19">
      <c r="A537" s="235"/>
      <c r="B537" s="53"/>
      <c r="C537" s="53"/>
      <c r="D537" s="53"/>
      <c r="E537" s="53"/>
      <c r="F537" s="53"/>
      <c r="G537" s="53"/>
      <c r="H537" s="53"/>
      <c r="I537" s="53"/>
      <c r="J537" s="53"/>
      <c r="K537" s="53"/>
      <c r="L537" s="53"/>
      <c r="M537" s="53"/>
      <c r="N537" s="53"/>
      <c r="O537" s="53"/>
      <c r="P537" s="53"/>
      <c r="Q537" s="53"/>
      <c r="R537" s="53"/>
      <c r="S537" s="235"/>
    </row>
    <row r="538" spans="1:19">
      <c r="A538" s="235"/>
      <c r="B538" s="53"/>
      <c r="C538" s="53"/>
      <c r="D538" s="53"/>
      <c r="E538" s="53"/>
      <c r="F538" s="53"/>
      <c r="G538" s="53"/>
      <c r="H538" s="53"/>
      <c r="I538" s="53"/>
      <c r="J538" s="53"/>
      <c r="K538" s="53"/>
      <c r="L538" s="53"/>
      <c r="M538" s="53"/>
      <c r="N538" s="53"/>
      <c r="O538" s="53"/>
      <c r="P538" s="53"/>
      <c r="Q538" s="53"/>
      <c r="R538" s="53"/>
      <c r="S538" s="235"/>
    </row>
    <row r="539" spans="1:19">
      <c r="A539" s="235"/>
      <c r="B539" s="53"/>
      <c r="C539" s="53"/>
      <c r="D539" s="53"/>
      <c r="E539" s="53"/>
      <c r="F539" s="53"/>
      <c r="G539" s="53"/>
      <c r="H539" s="53"/>
      <c r="I539" s="53"/>
      <c r="J539" s="53"/>
      <c r="K539" s="53"/>
      <c r="L539" s="53"/>
      <c r="M539" s="53"/>
      <c r="N539" s="53"/>
      <c r="O539" s="53"/>
      <c r="P539" s="53"/>
      <c r="Q539" s="53"/>
      <c r="R539" s="53"/>
      <c r="S539" s="235"/>
    </row>
    <row r="540" spans="1:19">
      <c r="A540" s="235"/>
      <c r="B540" s="53"/>
      <c r="C540" s="53"/>
      <c r="D540" s="53"/>
      <c r="E540" s="53"/>
      <c r="F540" s="53"/>
      <c r="G540" s="53"/>
      <c r="H540" s="53"/>
      <c r="I540" s="53"/>
      <c r="J540" s="53"/>
      <c r="K540" s="53"/>
      <c r="L540" s="53"/>
      <c r="M540" s="53"/>
      <c r="N540" s="53"/>
      <c r="O540" s="53"/>
      <c r="P540" s="53"/>
      <c r="Q540" s="53"/>
      <c r="R540" s="53"/>
      <c r="S540" s="235"/>
    </row>
    <row r="541" spans="1:19">
      <c r="A541" s="235"/>
      <c r="B541" s="53"/>
      <c r="C541" s="53"/>
      <c r="D541" s="53"/>
      <c r="E541" s="53"/>
      <c r="F541" s="53"/>
      <c r="G541" s="53"/>
      <c r="H541" s="53"/>
      <c r="I541" s="53"/>
      <c r="J541" s="53"/>
      <c r="K541" s="53"/>
      <c r="L541" s="53"/>
      <c r="M541" s="53"/>
      <c r="N541" s="53"/>
      <c r="O541" s="53"/>
      <c r="P541" s="53"/>
      <c r="Q541" s="53"/>
      <c r="R541" s="53"/>
      <c r="S541" s="235"/>
    </row>
    <row r="542" spans="1:19">
      <c r="A542" s="235"/>
      <c r="B542" s="53"/>
      <c r="C542" s="53"/>
      <c r="D542" s="53"/>
      <c r="E542" s="53"/>
      <c r="F542" s="53"/>
      <c r="G542" s="53"/>
      <c r="H542" s="53"/>
      <c r="I542" s="53"/>
      <c r="J542" s="53"/>
      <c r="K542" s="53"/>
      <c r="L542" s="53"/>
      <c r="M542" s="53"/>
      <c r="N542" s="53"/>
      <c r="O542" s="53"/>
      <c r="P542" s="53"/>
      <c r="Q542" s="53"/>
      <c r="R542" s="53"/>
      <c r="S542" s="235"/>
    </row>
    <row r="543" spans="1:19">
      <c r="A543" s="235"/>
      <c r="B543" s="53"/>
      <c r="C543" s="53"/>
      <c r="D543" s="53"/>
      <c r="E543" s="53"/>
      <c r="F543" s="53"/>
      <c r="G543" s="53"/>
      <c r="H543" s="53"/>
      <c r="I543" s="53"/>
      <c r="J543" s="53"/>
      <c r="K543" s="53"/>
      <c r="L543" s="53"/>
      <c r="M543" s="53"/>
      <c r="N543" s="53"/>
      <c r="O543" s="53"/>
      <c r="P543" s="53"/>
      <c r="Q543" s="53"/>
      <c r="R543" s="53"/>
      <c r="S543" s="235"/>
    </row>
    <row r="544" spans="1:19">
      <c r="A544" s="235"/>
      <c r="B544" s="53"/>
      <c r="C544" s="53"/>
      <c r="D544" s="53"/>
      <c r="E544" s="53"/>
      <c r="F544" s="53"/>
      <c r="G544" s="53"/>
      <c r="H544" s="53"/>
      <c r="I544" s="53"/>
      <c r="J544" s="53"/>
      <c r="K544" s="53"/>
      <c r="L544" s="53"/>
      <c r="M544" s="53"/>
      <c r="N544" s="53"/>
      <c r="O544" s="53"/>
      <c r="P544" s="53"/>
      <c r="Q544" s="53"/>
      <c r="R544" s="53"/>
      <c r="S544" s="235"/>
    </row>
    <row r="545" spans="1:19">
      <c r="A545" s="235"/>
      <c r="B545" s="53"/>
      <c r="C545" s="53"/>
      <c r="D545" s="53"/>
      <c r="E545" s="53"/>
      <c r="F545" s="53"/>
      <c r="G545" s="53"/>
      <c r="H545" s="53"/>
      <c r="I545" s="53"/>
      <c r="J545" s="53"/>
      <c r="K545" s="53"/>
      <c r="L545" s="53"/>
      <c r="M545" s="53"/>
      <c r="N545" s="53"/>
      <c r="O545" s="53"/>
      <c r="P545" s="53"/>
      <c r="Q545" s="53"/>
      <c r="R545" s="53"/>
      <c r="S545" s="235"/>
    </row>
    <row r="546" spans="1:19">
      <c r="A546" s="235"/>
      <c r="B546" s="53"/>
      <c r="C546" s="53"/>
      <c r="D546" s="53"/>
      <c r="E546" s="53"/>
      <c r="F546" s="53"/>
      <c r="G546" s="53"/>
      <c r="H546" s="53"/>
      <c r="I546" s="53"/>
      <c r="J546" s="53"/>
      <c r="K546" s="53"/>
      <c r="L546" s="53"/>
      <c r="M546" s="53"/>
      <c r="N546" s="53"/>
      <c r="O546" s="53"/>
      <c r="P546" s="53"/>
      <c r="Q546" s="53"/>
      <c r="R546" s="53"/>
      <c r="S546" s="235"/>
    </row>
    <row r="547" spans="1:19">
      <c r="A547" s="235"/>
      <c r="B547" s="53"/>
      <c r="C547" s="53"/>
      <c r="D547" s="53"/>
      <c r="E547" s="53"/>
      <c r="F547" s="53"/>
      <c r="G547" s="53"/>
      <c r="H547" s="53"/>
      <c r="I547" s="53"/>
      <c r="J547" s="53"/>
      <c r="K547" s="53"/>
      <c r="L547" s="53"/>
      <c r="M547" s="53"/>
      <c r="N547" s="53"/>
      <c r="O547" s="53"/>
      <c r="P547" s="53"/>
      <c r="Q547" s="53"/>
      <c r="R547" s="53"/>
      <c r="S547" s="235"/>
    </row>
    <row r="548" spans="1:19">
      <c r="A548" s="235"/>
      <c r="B548" s="53"/>
      <c r="C548" s="53"/>
      <c r="D548" s="53"/>
      <c r="E548" s="53"/>
      <c r="F548" s="53"/>
      <c r="G548" s="53"/>
      <c r="H548" s="53"/>
      <c r="I548" s="53"/>
      <c r="J548" s="53"/>
      <c r="K548" s="53"/>
      <c r="L548" s="53"/>
      <c r="M548" s="53"/>
      <c r="N548" s="53"/>
      <c r="O548" s="53"/>
      <c r="P548" s="53"/>
      <c r="Q548" s="53"/>
      <c r="R548" s="53"/>
      <c r="S548" s="235"/>
    </row>
    <row r="549" spans="1:19">
      <c r="A549" s="235"/>
      <c r="B549" s="53"/>
      <c r="C549" s="53"/>
      <c r="D549" s="53"/>
      <c r="E549" s="53"/>
      <c r="F549" s="53"/>
      <c r="G549" s="53"/>
      <c r="H549" s="53"/>
      <c r="I549" s="53"/>
      <c r="J549" s="53"/>
      <c r="K549" s="53"/>
      <c r="L549" s="53"/>
      <c r="M549" s="53"/>
      <c r="N549" s="53"/>
      <c r="O549" s="53"/>
      <c r="P549" s="53"/>
      <c r="Q549" s="53"/>
      <c r="R549" s="53"/>
      <c r="S549" s="235"/>
    </row>
    <row r="550" spans="1:19">
      <c r="A550" s="235"/>
      <c r="B550" s="53"/>
      <c r="C550" s="53"/>
      <c r="D550" s="53"/>
      <c r="E550" s="53"/>
      <c r="F550" s="53"/>
      <c r="G550" s="53"/>
      <c r="H550" s="53"/>
      <c r="I550" s="53"/>
      <c r="J550" s="53"/>
      <c r="K550" s="53"/>
      <c r="L550" s="53"/>
      <c r="M550" s="53"/>
      <c r="N550" s="53"/>
      <c r="O550" s="53"/>
      <c r="P550" s="53"/>
      <c r="Q550" s="53"/>
      <c r="R550" s="53"/>
      <c r="S550" s="235"/>
    </row>
    <row r="551" spans="1:19">
      <c r="A551" s="235"/>
      <c r="B551" s="53"/>
      <c r="C551" s="53"/>
      <c r="D551" s="53"/>
      <c r="E551" s="53"/>
      <c r="F551" s="53"/>
      <c r="G551" s="53"/>
      <c r="H551" s="53"/>
      <c r="I551" s="53"/>
      <c r="J551" s="53"/>
      <c r="K551" s="53"/>
      <c r="L551" s="53"/>
      <c r="M551" s="53"/>
      <c r="N551" s="53"/>
      <c r="O551" s="53"/>
      <c r="P551" s="53"/>
      <c r="Q551" s="53"/>
      <c r="R551" s="53"/>
      <c r="S551" s="235"/>
    </row>
    <row r="552" spans="1:19">
      <c r="A552" s="235"/>
      <c r="B552" s="53"/>
      <c r="C552" s="53"/>
      <c r="D552" s="53"/>
      <c r="E552" s="53"/>
      <c r="F552" s="53"/>
      <c r="G552" s="53"/>
      <c r="H552" s="53"/>
      <c r="I552" s="53"/>
      <c r="J552" s="53"/>
      <c r="K552" s="53"/>
      <c r="L552" s="53"/>
      <c r="M552" s="53"/>
      <c r="N552" s="53"/>
      <c r="O552" s="53"/>
      <c r="P552" s="53"/>
      <c r="Q552" s="53"/>
      <c r="R552" s="53"/>
      <c r="S552" s="235"/>
    </row>
    <row r="553" spans="1:19">
      <c r="A553" s="235"/>
      <c r="B553" s="53"/>
      <c r="C553" s="53"/>
      <c r="D553" s="53"/>
      <c r="E553" s="53"/>
      <c r="F553" s="53"/>
      <c r="G553" s="53"/>
      <c r="H553" s="53"/>
      <c r="I553" s="53"/>
      <c r="J553" s="53"/>
      <c r="K553" s="53"/>
      <c r="L553" s="53"/>
      <c r="M553" s="53"/>
      <c r="N553" s="53"/>
      <c r="O553" s="53"/>
      <c r="P553" s="53"/>
      <c r="Q553" s="53"/>
      <c r="R553" s="53"/>
      <c r="S553" s="235"/>
    </row>
    <row r="554" spans="1:19">
      <c r="A554" s="235"/>
      <c r="B554" s="53"/>
      <c r="C554" s="53"/>
      <c r="D554" s="53"/>
      <c r="E554" s="53"/>
      <c r="F554" s="53"/>
      <c r="G554" s="53"/>
      <c r="H554" s="53"/>
      <c r="I554" s="53"/>
      <c r="J554" s="53"/>
      <c r="K554" s="53"/>
      <c r="L554" s="53"/>
      <c r="M554" s="53"/>
      <c r="N554" s="53"/>
      <c r="O554" s="53"/>
      <c r="P554" s="53"/>
      <c r="Q554" s="53"/>
      <c r="R554" s="53"/>
      <c r="S554" s="235"/>
    </row>
    <row r="555" spans="1:19">
      <c r="A555" s="235"/>
      <c r="B555" s="53"/>
      <c r="C555" s="53"/>
      <c r="D555" s="53"/>
      <c r="E555" s="53"/>
      <c r="F555" s="53"/>
      <c r="G555" s="53"/>
      <c r="H555" s="53"/>
      <c r="I555" s="53"/>
      <c r="J555" s="53"/>
      <c r="K555" s="53"/>
      <c r="L555" s="53"/>
      <c r="M555" s="53"/>
      <c r="N555" s="53"/>
      <c r="O555" s="53"/>
      <c r="P555" s="53"/>
      <c r="Q555" s="53"/>
      <c r="R555" s="53"/>
      <c r="S555" s="235"/>
    </row>
    <row r="556" spans="1:19">
      <c r="A556" s="235"/>
      <c r="B556" s="53"/>
      <c r="C556" s="53"/>
      <c r="D556" s="53"/>
      <c r="E556" s="53"/>
      <c r="F556" s="53"/>
      <c r="G556" s="53"/>
      <c r="H556" s="53"/>
      <c r="I556" s="53"/>
      <c r="J556" s="53"/>
      <c r="K556" s="53"/>
      <c r="L556" s="53"/>
      <c r="M556" s="53"/>
      <c r="N556" s="53"/>
      <c r="O556" s="53"/>
      <c r="P556" s="53"/>
      <c r="Q556" s="53"/>
      <c r="R556" s="53"/>
      <c r="S556" s="235"/>
    </row>
    <row r="557" spans="1:19">
      <c r="A557" s="235"/>
      <c r="B557" s="53"/>
      <c r="C557" s="53"/>
      <c r="D557" s="53"/>
      <c r="E557" s="53"/>
      <c r="F557" s="53"/>
      <c r="G557" s="53"/>
      <c r="H557" s="53"/>
      <c r="I557" s="53"/>
      <c r="J557" s="53"/>
      <c r="K557" s="53"/>
      <c r="L557" s="53"/>
      <c r="M557" s="53"/>
      <c r="N557" s="53"/>
      <c r="O557" s="53"/>
      <c r="P557" s="53"/>
      <c r="Q557" s="53"/>
      <c r="R557" s="53"/>
      <c r="S557" s="235"/>
    </row>
    <row r="558" spans="1:19">
      <c r="A558" s="235"/>
      <c r="B558" s="53"/>
      <c r="C558" s="53"/>
      <c r="D558" s="53"/>
      <c r="E558" s="53"/>
      <c r="F558" s="53"/>
      <c r="G558" s="53"/>
      <c r="H558" s="53"/>
      <c r="I558" s="53"/>
      <c r="J558" s="53"/>
      <c r="K558" s="53"/>
      <c r="L558" s="53"/>
      <c r="M558" s="53"/>
      <c r="N558" s="53"/>
      <c r="O558" s="53"/>
      <c r="P558" s="53"/>
      <c r="Q558" s="53"/>
      <c r="R558" s="53"/>
      <c r="S558" s="235"/>
    </row>
    <row r="559" spans="1:19">
      <c r="A559" s="235"/>
      <c r="B559" s="53"/>
      <c r="C559" s="53"/>
      <c r="D559" s="53"/>
      <c r="E559" s="53"/>
      <c r="F559" s="53"/>
      <c r="G559" s="53"/>
      <c r="H559" s="53"/>
      <c r="I559" s="53"/>
      <c r="J559" s="53"/>
      <c r="K559" s="53"/>
      <c r="L559" s="53"/>
      <c r="M559" s="53"/>
      <c r="N559" s="53"/>
      <c r="O559" s="53"/>
      <c r="P559" s="53"/>
      <c r="Q559" s="53"/>
      <c r="R559" s="53"/>
      <c r="S559" s="235"/>
    </row>
    <row r="560" spans="1:19">
      <c r="A560" s="235"/>
      <c r="B560" s="53"/>
      <c r="C560" s="53"/>
      <c r="D560" s="53"/>
      <c r="E560" s="53"/>
      <c r="F560" s="53"/>
      <c r="G560" s="53"/>
      <c r="H560" s="53"/>
      <c r="I560" s="53"/>
      <c r="J560" s="53"/>
      <c r="K560" s="53"/>
      <c r="L560" s="53"/>
      <c r="M560" s="53"/>
      <c r="N560" s="53"/>
      <c r="O560" s="53"/>
      <c r="P560" s="53"/>
      <c r="Q560" s="53"/>
      <c r="R560" s="53"/>
      <c r="S560" s="235"/>
    </row>
    <row r="561" spans="1:19">
      <c r="A561" s="235"/>
      <c r="B561" s="53"/>
      <c r="C561" s="53"/>
      <c r="D561" s="53"/>
      <c r="E561" s="53"/>
      <c r="F561" s="53"/>
      <c r="G561" s="53"/>
      <c r="H561" s="53"/>
      <c r="I561" s="53"/>
      <c r="J561" s="53"/>
      <c r="K561" s="53"/>
      <c r="L561" s="53"/>
      <c r="M561" s="53"/>
      <c r="N561" s="53"/>
      <c r="O561" s="53"/>
      <c r="P561" s="53"/>
      <c r="Q561" s="53"/>
      <c r="R561" s="53"/>
      <c r="S561" s="235"/>
    </row>
    <row r="562" spans="1:19">
      <c r="A562" s="235"/>
      <c r="B562" s="53"/>
      <c r="C562" s="53"/>
      <c r="D562" s="53"/>
      <c r="E562" s="53"/>
      <c r="F562" s="53"/>
      <c r="G562" s="53"/>
      <c r="H562" s="53"/>
      <c r="I562" s="53"/>
      <c r="J562" s="53"/>
      <c r="K562" s="53"/>
      <c r="L562" s="53"/>
      <c r="M562" s="53"/>
      <c r="N562" s="53"/>
      <c r="O562" s="53"/>
      <c r="P562" s="53"/>
      <c r="Q562" s="53"/>
      <c r="R562" s="53"/>
      <c r="S562" s="235"/>
    </row>
    <row r="563" spans="1:19">
      <c r="A563" s="235"/>
      <c r="B563" s="53"/>
      <c r="C563" s="53"/>
      <c r="D563" s="53"/>
      <c r="E563" s="53"/>
      <c r="F563" s="53"/>
      <c r="G563" s="53"/>
      <c r="H563" s="53"/>
      <c r="I563" s="53"/>
      <c r="J563" s="53"/>
      <c r="K563" s="53"/>
      <c r="L563" s="53"/>
      <c r="M563" s="53"/>
      <c r="N563" s="53"/>
      <c r="O563" s="53"/>
      <c r="P563" s="53"/>
      <c r="Q563" s="53"/>
      <c r="R563" s="53"/>
      <c r="S563" s="235"/>
    </row>
    <row r="564" spans="1:19">
      <c r="A564" s="235"/>
      <c r="B564" s="53"/>
      <c r="C564" s="53"/>
      <c r="D564" s="53"/>
      <c r="E564" s="53"/>
      <c r="F564" s="53"/>
      <c r="G564" s="53"/>
      <c r="H564" s="53"/>
      <c r="I564" s="53"/>
      <c r="J564" s="53"/>
      <c r="K564" s="53"/>
      <c r="L564" s="53"/>
      <c r="M564" s="53"/>
      <c r="N564" s="53"/>
      <c r="O564" s="53"/>
      <c r="P564" s="53"/>
      <c r="Q564" s="53"/>
      <c r="R564" s="53"/>
      <c r="S564" s="235"/>
    </row>
    <row r="565" spans="1:19">
      <c r="A565" s="235"/>
      <c r="B565" s="53"/>
      <c r="C565" s="53"/>
      <c r="D565" s="53"/>
      <c r="E565" s="53"/>
      <c r="F565" s="53"/>
      <c r="G565" s="53"/>
      <c r="H565" s="53"/>
      <c r="I565" s="53"/>
      <c r="J565" s="53"/>
      <c r="K565" s="53"/>
      <c r="L565" s="53"/>
      <c r="M565" s="53"/>
      <c r="N565" s="53"/>
      <c r="O565" s="53"/>
      <c r="P565" s="53"/>
      <c r="Q565" s="53"/>
      <c r="R565" s="53"/>
      <c r="S565" s="235"/>
    </row>
    <row r="566" spans="1:19">
      <c r="A566" s="235"/>
      <c r="B566" s="53"/>
      <c r="C566" s="53"/>
      <c r="D566" s="53"/>
      <c r="E566" s="53"/>
      <c r="F566" s="53"/>
      <c r="G566" s="53"/>
      <c r="H566" s="53"/>
      <c r="I566" s="53"/>
      <c r="J566" s="53"/>
      <c r="K566" s="53"/>
      <c r="L566" s="53"/>
      <c r="M566" s="53"/>
      <c r="N566" s="53"/>
      <c r="O566" s="53"/>
      <c r="P566" s="53"/>
      <c r="Q566" s="53"/>
      <c r="R566" s="53"/>
      <c r="S566" s="235"/>
    </row>
    <row r="567" spans="1:19">
      <c r="A567" s="235"/>
      <c r="B567" s="53"/>
      <c r="C567" s="53"/>
      <c r="D567" s="53"/>
      <c r="E567" s="53"/>
      <c r="F567" s="53"/>
      <c r="G567" s="53"/>
      <c r="H567" s="53"/>
      <c r="I567" s="53"/>
      <c r="J567" s="53"/>
      <c r="K567" s="53"/>
      <c r="L567" s="53"/>
      <c r="M567" s="53"/>
      <c r="N567" s="53"/>
      <c r="O567" s="53"/>
      <c r="P567" s="53"/>
      <c r="Q567" s="53"/>
      <c r="R567" s="53"/>
      <c r="S567" s="235"/>
    </row>
    <row r="568" spans="1:19">
      <c r="A568" s="235"/>
      <c r="B568" s="53"/>
      <c r="C568" s="53"/>
      <c r="D568" s="53"/>
      <c r="E568" s="53"/>
      <c r="F568" s="53"/>
      <c r="G568" s="53"/>
      <c r="H568" s="53"/>
      <c r="I568" s="53"/>
      <c r="J568" s="53"/>
      <c r="K568" s="53"/>
      <c r="L568" s="53"/>
      <c r="M568" s="53"/>
      <c r="N568" s="53"/>
      <c r="O568" s="53"/>
      <c r="P568" s="53"/>
      <c r="Q568" s="53"/>
      <c r="R568" s="53"/>
      <c r="S568" s="235"/>
    </row>
    <row r="569" spans="1:19">
      <c r="A569" s="235"/>
      <c r="B569" s="53"/>
      <c r="C569" s="53"/>
      <c r="D569" s="53"/>
      <c r="E569" s="53"/>
      <c r="F569" s="53"/>
      <c r="G569" s="53"/>
      <c r="H569" s="53"/>
      <c r="I569" s="53"/>
      <c r="J569" s="53"/>
      <c r="K569" s="53"/>
      <c r="L569" s="53"/>
      <c r="M569" s="53"/>
      <c r="N569" s="53"/>
      <c r="O569" s="53"/>
      <c r="P569" s="53"/>
      <c r="Q569" s="53"/>
      <c r="R569" s="53"/>
      <c r="S569" s="235"/>
    </row>
    <row r="570" spans="1:19">
      <c r="A570" s="235"/>
      <c r="B570" s="53"/>
      <c r="C570" s="53"/>
      <c r="D570" s="53"/>
      <c r="E570" s="53"/>
      <c r="F570" s="53"/>
      <c r="G570" s="53"/>
      <c r="H570" s="53"/>
      <c r="I570" s="53"/>
      <c r="J570" s="53"/>
      <c r="K570" s="53"/>
      <c r="L570" s="53"/>
      <c r="M570" s="53"/>
      <c r="N570" s="53"/>
      <c r="O570" s="53"/>
      <c r="P570" s="53"/>
      <c r="Q570" s="53"/>
      <c r="R570" s="53"/>
      <c r="S570" s="235"/>
    </row>
    <row r="571" spans="1:19">
      <c r="A571" s="235"/>
      <c r="B571" s="53"/>
      <c r="C571" s="53"/>
      <c r="D571" s="53"/>
      <c r="E571" s="53"/>
      <c r="F571" s="53"/>
      <c r="G571" s="53"/>
      <c r="H571" s="53"/>
      <c r="I571" s="53"/>
      <c r="J571" s="53"/>
      <c r="K571" s="53"/>
      <c r="L571" s="53"/>
      <c r="M571" s="53"/>
      <c r="N571" s="53"/>
      <c r="O571" s="53"/>
      <c r="P571" s="53"/>
      <c r="Q571" s="53"/>
      <c r="R571" s="53"/>
      <c r="S571" s="235"/>
    </row>
    <row r="572" spans="1:19">
      <c r="A572" s="235"/>
      <c r="B572" s="53"/>
      <c r="C572" s="53"/>
      <c r="D572" s="53"/>
      <c r="E572" s="53"/>
      <c r="F572" s="53"/>
      <c r="G572" s="53"/>
      <c r="H572" s="53"/>
      <c r="I572" s="53"/>
      <c r="J572" s="53"/>
      <c r="K572" s="53"/>
      <c r="L572" s="53"/>
      <c r="M572" s="53"/>
      <c r="N572" s="53"/>
      <c r="O572" s="53"/>
      <c r="P572" s="53"/>
      <c r="Q572" s="53"/>
      <c r="R572" s="53"/>
      <c r="S572" s="235"/>
    </row>
    <row r="573" spans="1:19">
      <c r="A573" s="235"/>
      <c r="B573" s="53"/>
      <c r="C573" s="53"/>
      <c r="D573" s="53"/>
      <c r="E573" s="53"/>
      <c r="F573" s="53"/>
      <c r="G573" s="53"/>
      <c r="H573" s="53"/>
      <c r="I573" s="53"/>
      <c r="J573" s="53"/>
      <c r="K573" s="53"/>
      <c r="L573" s="53"/>
      <c r="M573" s="53"/>
      <c r="N573" s="53"/>
      <c r="O573" s="53"/>
      <c r="P573" s="53"/>
      <c r="Q573" s="53"/>
      <c r="R573" s="53"/>
      <c r="S573" s="235"/>
    </row>
    <row r="574" spans="1:19">
      <c r="A574" s="235"/>
      <c r="B574" s="53"/>
      <c r="C574" s="53"/>
      <c r="D574" s="53"/>
      <c r="E574" s="53"/>
      <c r="F574" s="53"/>
      <c r="G574" s="53"/>
      <c r="H574" s="53"/>
      <c r="I574" s="53"/>
      <c r="J574" s="53"/>
      <c r="K574" s="53"/>
      <c r="L574" s="53"/>
      <c r="M574" s="53"/>
      <c r="N574" s="53"/>
      <c r="O574" s="53"/>
      <c r="P574" s="53"/>
      <c r="Q574" s="53"/>
      <c r="R574" s="53"/>
      <c r="S574" s="235"/>
    </row>
    <row r="575" spans="1:19">
      <c r="A575" s="235"/>
      <c r="B575" s="53"/>
      <c r="C575" s="53"/>
      <c r="D575" s="53"/>
      <c r="E575" s="53"/>
      <c r="F575" s="53"/>
      <c r="G575" s="53"/>
      <c r="H575" s="53"/>
      <c r="I575" s="53"/>
      <c r="J575" s="53"/>
      <c r="K575" s="53"/>
      <c r="L575" s="53"/>
      <c r="M575" s="53"/>
      <c r="N575" s="53"/>
      <c r="O575" s="53"/>
      <c r="P575" s="53"/>
      <c r="Q575" s="53"/>
      <c r="R575" s="53"/>
      <c r="S575" s="235"/>
    </row>
    <row r="576" spans="1:19">
      <c r="A576" s="235"/>
      <c r="B576" s="53"/>
      <c r="C576" s="53"/>
      <c r="D576" s="53"/>
      <c r="E576" s="53"/>
      <c r="F576" s="53"/>
      <c r="G576" s="53"/>
      <c r="H576" s="53"/>
      <c r="I576" s="53"/>
      <c r="J576" s="53"/>
      <c r="K576" s="53"/>
      <c r="L576" s="53"/>
      <c r="M576" s="53"/>
      <c r="N576" s="53"/>
      <c r="O576" s="53"/>
      <c r="P576" s="53"/>
      <c r="Q576" s="53"/>
      <c r="R576" s="53"/>
      <c r="S576" s="235"/>
    </row>
    <row r="577" spans="1:19">
      <c r="A577" s="235"/>
      <c r="B577" s="53"/>
      <c r="C577" s="53"/>
      <c r="D577" s="53"/>
      <c r="E577" s="53"/>
      <c r="F577" s="53"/>
      <c r="G577" s="53"/>
      <c r="H577" s="53"/>
      <c r="I577" s="53"/>
      <c r="J577" s="53"/>
      <c r="K577" s="53"/>
      <c r="L577" s="53"/>
      <c r="M577" s="53"/>
      <c r="N577" s="53"/>
      <c r="O577" s="53"/>
      <c r="P577" s="53"/>
      <c r="Q577" s="53"/>
      <c r="R577" s="53"/>
      <c r="S577" s="235"/>
    </row>
    <row r="578" spans="1:19">
      <c r="A578" s="235"/>
      <c r="B578" s="53"/>
      <c r="C578" s="53"/>
      <c r="D578" s="53"/>
      <c r="E578" s="53"/>
      <c r="F578" s="53"/>
      <c r="G578" s="53"/>
      <c r="H578" s="53"/>
      <c r="I578" s="53"/>
      <c r="J578" s="53"/>
      <c r="K578" s="53"/>
      <c r="L578" s="53"/>
      <c r="M578" s="53"/>
      <c r="N578" s="53"/>
      <c r="O578" s="53"/>
      <c r="P578" s="53"/>
      <c r="Q578" s="53"/>
      <c r="R578" s="53"/>
      <c r="S578" s="235"/>
    </row>
    <row r="579" spans="1:19">
      <c r="A579" s="235"/>
      <c r="B579" s="53"/>
      <c r="C579" s="53"/>
      <c r="D579" s="53"/>
      <c r="E579" s="53"/>
      <c r="F579" s="53"/>
      <c r="G579" s="53"/>
      <c r="H579" s="53"/>
      <c r="I579" s="53"/>
      <c r="J579" s="53"/>
      <c r="K579" s="53"/>
      <c r="L579" s="53"/>
      <c r="M579" s="53"/>
      <c r="N579" s="53"/>
      <c r="O579" s="53"/>
      <c r="P579" s="53"/>
      <c r="Q579" s="53"/>
      <c r="R579" s="53"/>
      <c r="S579" s="235"/>
    </row>
    <row r="580" spans="1:19">
      <c r="A580" s="235"/>
      <c r="B580" s="53"/>
      <c r="C580" s="53"/>
      <c r="D580" s="53"/>
      <c r="E580" s="53"/>
      <c r="F580" s="53"/>
      <c r="G580" s="53"/>
      <c r="H580" s="53"/>
      <c r="I580" s="53"/>
      <c r="J580" s="53"/>
      <c r="K580" s="53"/>
      <c r="L580" s="53"/>
      <c r="M580" s="53"/>
      <c r="N580" s="53"/>
      <c r="O580" s="53"/>
      <c r="P580" s="53"/>
      <c r="Q580" s="53"/>
      <c r="R580" s="53"/>
      <c r="S580" s="235"/>
    </row>
    <row r="581" spans="1:19">
      <c r="A581" s="235"/>
      <c r="B581" s="53"/>
      <c r="C581" s="53"/>
      <c r="D581" s="53"/>
      <c r="E581" s="53"/>
      <c r="F581" s="53"/>
      <c r="G581" s="53"/>
      <c r="H581" s="53"/>
      <c r="I581" s="53"/>
      <c r="J581" s="53"/>
      <c r="K581" s="53"/>
      <c r="L581" s="53"/>
      <c r="M581" s="53"/>
      <c r="N581" s="53"/>
      <c r="O581" s="53"/>
      <c r="P581" s="53"/>
      <c r="Q581" s="53"/>
      <c r="R581" s="53"/>
      <c r="S581" s="235"/>
    </row>
    <row r="582" spans="1:19">
      <c r="A582" s="235"/>
      <c r="B582" s="53"/>
      <c r="C582" s="53"/>
      <c r="D582" s="53"/>
      <c r="E582" s="53"/>
      <c r="F582" s="53"/>
      <c r="G582" s="53"/>
      <c r="H582" s="53"/>
      <c r="I582" s="53"/>
      <c r="J582" s="53"/>
      <c r="K582" s="53"/>
      <c r="L582" s="53"/>
      <c r="M582" s="53"/>
      <c r="N582" s="53"/>
      <c r="O582" s="53"/>
      <c r="P582" s="53"/>
      <c r="Q582" s="53"/>
      <c r="R582" s="53"/>
      <c r="S582" s="235"/>
    </row>
    <row r="583" spans="1:19">
      <c r="A583" s="235"/>
      <c r="B583" s="53"/>
      <c r="C583" s="53"/>
      <c r="D583" s="53"/>
      <c r="E583" s="53"/>
      <c r="F583" s="53"/>
      <c r="G583" s="53"/>
      <c r="H583" s="53"/>
      <c r="I583" s="53"/>
      <c r="J583" s="53"/>
      <c r="K583" s="53"/>
      <c r="L583" s="53"/>
      <c r="M583" s="53"/>
      <c r="N583" s="53"/>
      <c r="O583" s="53"/>
      <c r="P583" s="53"/>
      <c r="Q583" s="53"/>
      <c r="R583" s="53"/>
      <c r="S583" s="235"/>
    </row>
    <row r="584" spans="1:19">
      <c r="A584" s="235"/>
      <c r="B584" s="53"/>
      <c r="C584" s="53"/>
      <c r="D584" s="53"/>
      <c r="E584" s="53"/>
      <c r="F584" s="53"/>
      <c r="G584" s="53"/>
      <c r="H584" s="53"/>
      <c r="I584" s="53"/>
      <c r="J584" s="53"/>
      <c r="K584" s="53"/>
      <c r="L584" s="53"/>
      <c r="M584" s="53"/>
      <c r="N584" s="53"/>
      <c r="O584" s="53"/>
      <c r="P584" s="53"/>
      <c r="Q584" s="53"/>
      <c r="R584" s="53"/>
      <c r="S584" s="235"/>
    </row>
    <row r="585" spans="1:19">
      <c r="A585" s="235"/>
      <c r="B585" s="53"/>
      <c r="C585" s="53"/>
      <c r="D585" s="53"/>
      <c r="E585" s="53"/>
      <c r="F585" s="53"/>
      <c r="G585" s="53"/>
      <c r="H585" s="53"/>
      <c r="I585" s="53"/>
      <c r="J585" s="53"/>
      <c r="K585" s="53"/>
      <c r="L585" s="53"/>
      <c r="M585" s="53"/>
      <c r="N585" s="53"/>
      <c r="O585" s="53"/>
      <c r="P585" s="53"/>
      <c r="Q585" s="53"/>
      <c r="R585" s="53"/>
      <c r="S585" s="235"/>
    </row>
    <row r="586" spans="1:19">
      <c r="A586" s="235"/>
      <c r="B586" s="53"/>
      <c r="C586" s="53"/>
      <c r="D586" s="53"/>
      <c r="E586" s="53"/>
      <c r="F586" s="53"/>
      <c r="G586" s="53"/>
      <c r="H586" s="53"/>
      <c r="I586" s="53"/>
      <c r="J586" s="53"/>
      <c r="K586" s="53"/>
      <c r="L586" s="53"/>
      <c r="M586" s="53"/>
      <c r="N586" s="53"/>
      <c r="O586" s="53"/>
      <c r="P586" s="53"/>
      <c r="Q586" s="53"/>
      <c r="R586" s="53"/>
      <c r="S586" s="235"/>
    </row>
    <row r="587" spans="1:19">
      <c r="A587" s="235"/>
      <c r="B587" s="53"/>
      <c r="C587" s="53"/>
      <c r="D587" s="53"/>
      <c r="E587" s="53"/>
      <c r="F587" s="53"/>
      <c r="G587" s="53"/>
      <c r="H587" s="53"/>
      <c r="I587" s="53"/>
      <c r="J587" s="53"/>
      <c r="K587" s="53"/>
      <c r="L587" s="53"/>
      <c r="M587" s="53"/>
      <c r="N587" s="53"/>
      <c r="O587" s="53"/>
      <c r="P587" s="53"/>
      <c r="Q587" s="53"/>
      <c r="R587" s="53"/>
      <c r="S587" s="235"/>
    </row>
    <row r="588" spans="1:19">
      <c r="A588" s="235"/>
      <c r="B588" s="53"/>
      <c r="C588" s="53"/>
      <c r="D588" s="53"/>
      <c r="E588" s="53"/>
      <c r="F588" s="53"/>
      <c r="G588" s="53"/>
      <c r="H588" s="53"/>
      <c r="I588" s="53"/>
      <c r="J588" s="53"/>
      <c r="K588" s="53"/>
      <c r="L588" s="53"/>
      <c r="M588" s="53"/>
      <c r="N588" s="53"/>
      <c r="O588" s="53"/>
      <c r="P588" s="53"/>
      <c r="Q588" s="53"/>
      <c r="R588" s="53"/>
      <c r="S588" s="235"/>
    </row>
    <row r="589" spans="1:19">
      <c r="A589" s="235"/>
      <c r="B589" s="53"/>
      <c r="C589" s="53"/>
      <c r="D589" s="53"/>
      <c r="E589" s="53"/>
      <c r="F589" s="53"/>
      <c r="G589" s="53"/>
      <c r="H589" s="53"/>
      <c r="I589" s="53"/>
      <c r="J589" s="53"/>
      <c r="K589" s="53"/>
      <c r="L589" s="53"/>
      <c r="M589" s="53"/>
      <c r="N589" s="53"/>
      <c r="O589" s="53"/>
      <c r="P589" s="53"/>
      <c r="Q589" s="53"/>
      <c r="R589" s="53"/>
      <c r="S589" s="235"/>
    </row>
    <row r="590" spans="1:19">
      <c r="A590" s="235"/>
      <c r="B590" s="53"/>
      <c r="C590" s="53"/>
      <c r="D590" s="53"/>
      <c r="E590" s="53"/>
      <c r="F590" s="53"/>
      <c r="G590" s="53"/>
      <c r="H590" s="53"/>
      <c r="I590" s="53"/>
      <c r="J590" s="53"/>
      <c r="K590" s="53"/>
      <c r="L590" s="53"/>
      <c r="M590" s="53"/>
      <c r="N590" s="53"/>
      <c r="O590" s="53"/>
      <c r="P590" s="53"/>
      <c r="Q590" s="53"/>
      <c r="R590" s="53"/>
      <c r="S590" s="235"/>
    </row>
    <row r="591" spans="1:19">
      <c r="A591" s="235"/>
      <c r="B591" s="53"/>
      <c r="C591" s="53"/>
      <c r="D591" s="53"/>
      <c r="E591" s="53"/>
      <c r="F591" s="53"/>
      <c r="G591" s="53"/>
      <c r="H591" s="53"/>
      <c r="I591" s="53"/>
      <c r="J591" s="53"/>
      <c r="K591" s="53"/>
      <c r="L591" s="53"/>
      <c r="M591" s="53"/>
      <c r="N591" s="53"/>
      <c r="O591" s="53"/>
      <c r="P591" s="53"/>
      <c r="Q591" s="53"/>
      <c r="R591" s="53"/>
      <c r="S591" s="235"/>
    </row>
    <row r="592" spans="1:19">
      <c r="A592" s="235"/>
      <c r="B592" s="53"/>
      <c r="C592" s="53"/>
      <c r="D592" s="53"/>
      <c r="E592" s="53"/>
      <c r="F592" s="53"/>
      <c r="G592" s="53"/>
      <c r="H592" s="53"/>
      <c r="I592" s="53"/>
      <c r="J592" s="53"/>
      <c r="K592" s="53"/>
      <c r="L592" s="53"/>
      <c r="M592" s="53"/>
      <c r="N592" s="53"/>
      <c r="O592" s="53"/>
      <c r="P592" s="53"/>
      <c r="Q592" s="53"/>
      <c r="R592" s="53"/>
      <c r="S592" s="235"/>
    </row>
    <row r="593" spans="1:19">
      <c r="A593" s="235"/>
      <c r="B593" s="53"/>
      <c r="C593" s="53"/>
      <c r="D593" s="53"/>
      <c r="E593" s="53"/>
      <c r="F593" s="53"/>
      <c r="G593" s="53"/>
      <c r="H593" s="53"/>
      <c r="I593" s="53"/>
      <c r="J593" s="53"/>
      <c r="K593" s="53"/>
      <c r="L593" s="53"/>
      <c r="M593" s="53"/>
      <c r="N593" s="53"/>
      <c r="O593" s="53"/>
      <c r="P593" s="53"/>
      <c r="Q593" s="53"/>
      <c r="R593" s="53"/>
      <c r="S593" s="235"/>
    </row>
    <row r="594" spans="1:19">
      <c r="A594" s="235"/>
      <c r="B594" s="53"/>
      <c r="C594" s="53"/>
      <c r="D594" s="53"/>
      <c r="E594" s="53"/>
      <c r="F594" s="53"/>
      <c r="G594" s="53"/>
      <c r="H594" s="53"/>
      <c r="I594" s="53"/>
      <c r="J594" s="53"/>
      <c r="K594" s="53"/>
      <c r="L594" s="53"/>
      <c r="M594" s="53"/>
      <c r="N594" s="53"/>
      <c r="O594" s="53"/>
      <c r="P594" s="53"/>
      <c r="Q594" s="53"/>
      <c r="R594" s="53"/>
      <c r="S594" s="235"/>
    </row>
    <row r="595" spans="1:19">
      <c r="A595" s="235"/>
      <c r="B595" s="53"/>
      <c r="C595" s="53"/>
      <c r="D595" s="53"/>
      <c r="E595" s="53"/>
      <c r="F595" s="53"/>
      <c r="G595" s="53"/>
      <c r="H595" s="53"/>
      <c r="I595" s="53"/>
      <c r="J595" s="53"/>
      <c r="K595" s="53"/>
      <c r="L595" s="53"/>
      <c r="M595" s="53"/>
      <c r="N595" s="53"/>
      <c r="O595" s="53"/>
      <c r="P595" s="53"/>
      <c r="Q595" s="53"/>
      <c r="R595" s="53"/>
      <c r="S595" s="235"/>
    </row>
    <row r="596" spans="1:19">
      <c r="A596" s="235"/>
      <c r="B596" s="53"/>
      <c r="C596" s="53"/>
      <c r="D596" s="53"/>
      <c r="E596" s="53"/>
      <c r="F596" s="53"/>
      <c r="G596" s="53"/>
      <c r="H596" s="53"/>
      <c r="I596" s="53"/>
      <c r="J596" s="53"/>
      <c r="K596" s="53"/>
      <c r="L596" s="53"/>
      <c r="M596" s="53"/>
      <c r="N596" s="53"/>
      <c r="O596" s="53"/>
      <c r="P596" s="53"/>
      <c r="Q596" s="53"/>
      <c r="R596" s="53"/>
      <c r="S596" s="235"/>
    </row>
    <row r="597" spans="1:19">
      <c r="A597" s="235"/>
      <c r="B597" s="53"/>
      <c r="C597" s="53"/>
      <c r="D597" s="53"/>
      <c r="E597" s="53"/>
      <c r="F597" s="53"/>
      <c r="G597" s="53"/>
      <c r="H597" s="53"/>
      <c r="I597" s="53"/>
      <c r="J597" s="53"/>
      <c r="K597" s="53"/>
      <c r="L597" s="53"/>
      <c r="M597" s="53"/>
      <c r="N597" s="53"/>
      <c r="O597" s="53"/>
      <c r="P597" s="53"/>
      <c r="Q597" s="53"/>
      <c r="R597" s="53"/>
      <c r="S597" s="235"/>
    </row>
    <row r="598" spans="1:19">
      <c r="A598" s="235"/>
      <c r="B598" s="53"/>
      <c r="C598" s="53"/>
      <c r="D598" s="53"/>
      <c r="E598" s="53"/>
      <c r="F598" s="53"/>
      <c r="G598" s="53"/>
      <c r="H598" s="53"/>
      <c r="I598" s="53"/>
      <c r="J598" s="53"/>
      <c r="K598" s="53"/>
      <c r="L598" s="53"/>
      <c r="M598" s="53"/>
      <c r="N598" s="53"/>
      <c r="O598" s="53"/>
      <c r="P598" s="53"/>
      <c r="Q598" s="53"/>
      <c r="R598" s="53"/>
      <c r="S598" s="235"/>
    </row>
    <row r="599" spans="1:19">
      <c r="A599" s="235"/>
      <c r="B599" s="53"/>
      <c r="C599" s="53"/>
      <c r="D599" s="53"/>
      <c r="E599" s="53"/>
      <c r="F599" s="53"/>
      <c r="G599" s="53"/>
      <c r="H599" s="53"/>
      <c r="I599" s="53"/>
      <c r="J599" s="53"/>
      <c r="K599" s="53"/>
      <c r="L599" s="53"/>
      <c r="M599" s="53"/>
      <c r="N599" s="53"/>
      <c r="O599" s="53"/>
      <c r="P599" s="53"/>
      <c r="Q599" s="53"/>
      <c r="R599" s="53"/>
      <c r="S599" s="235"/>
    </row>
    <row r="600" spans="1:19">
      <c r="A600" s="235"/>
      <c r="B600" s="53"/>
      <c r="C600" s="53"/>
      <c r="D600" s="53"/>
      <c r="E600" s="53"/>
      <c r="F600" s="53"/>
      <c r="G600" s="53"/>
      <c r="H600" s="53"/>
      <c r="I600" s="53"/>
      <c r="J600" s="53"/>
      <c r="K600" s="53"/>
      <c r="L600" s="53"/>
      <c r="M600" s="53"/>
      <c r="N600" s="53"/>
      <c r="O600" s="53"/>
      <c r="P600" s="53"/>
      <c r="Q600" s="53"/>
      <c r="R600" s="53"/>
      <c r="S600" s="235"/>
    </row>
    <row r="601" spans="1:19">
      <c r="A601" s="235"/>
      <c r="B601" s="53"/>
      <c r="C601" s="53"/>
      <c r="D601" s="53"/>
      <c r="E601" s="53"/>
      <c r="F601" s="53"/>
      <c r="G601" s="53"/>
      <c r="H601" s="53"/>
      <c r="I601" s="53"/>
      <c r="J601" s="53"/>
      <c r="K601" s="53"/>
      <c r="L601" s="53"/>
      <c r="M601" s="53"/>
      <c r="N601" s="53"/>
      <c r="O601" s="53"/>
      <c r="P601" s="53"/>
      <c r="Q601" s="53"/>
      <c r="R601" s="53"/>
      <c r="S601" s="235"/>
    </row>
    <row r="602" spans="1:19">
      <c r="A602" s="235"/>
      <c r="B602" s="53"/>
      <c r="C602" s="53"/>
      <c r="D602" s="53"/>
      <c r="E602" s="53"/>
      <c r="F602" s="53"/>
      <c r="G602" s="53"/>
      <c r="H602" s="53"/>
      <c r="I602" s="53"/>
      <c r="J602" s="53"/>
      <c r="K602" s="53"/>
      <c r="L602" s="53"/>
      <c r="M602" s="53"/>
      <c r="N602" s="53"/>
      <c r="O602" s="53"/>
      <c r="P602" s="53"/>
      <c r="Q602" s="53"/>
      <c r="R602" s="53"/>
      <c r="S602" s="235"/>
    </row>
    <row r="603" spans="1:19">
      <c r="A603" s="235"/>
      <c r="B603" s="53"/>
      <c r="C603" s="53"/>
      <c r="D603" s="53"/>
      <c r="E603" s="53"/>
      <c r="F603" s="53"/>
      <c r="G603" s="53"/>
      <c r="H603" s="53"/>
      <c r="I603" s="53"/>
      <c r="J603" s="53"/>
      <c r="K603" s="53"/>
      <c r="L603" s="53"/>
      <c r="M603" s="53"/>
      <c r="N603" s="53"/>
      <c r="O603" s="53"/>
      <c r="P603" s="53"/>
      <c r="Q603" s="53"/>
      <c r="R603" s="53"/>
      <c r="S603" s="235"/>
    </row>
    <row r="604" spans="1:19">
      <c r="A604" s="235"/>
      <c r="B604" s="53"/>
      <c r="C604" s="53"/>
      <c r="D604" s="53"/>
      <c r="E604" s="53"/>
      <c r="F604" s="53"/>
      <c r="G604" s="53"/>
      <c r="H604" s="53"/>
      <c r="I604" s="53"/>
      <c r="J604" s="53"/>
      <c r="K604" s="53"/>
      <c r="L604" s="53"/>
      <c r="M604" s="53"/>
      <c r="N604" s="53"/>
      <c r="O604" s="53"/>
      <c r="P604" s="53"/>
      <c r="Q604" s="53"/>
      <c r="R604" s="53"/>
      <c r="S604" s="235"/>
    </row>
    <row r="605" spans="1:19">
      <c r="A605" s="235"/>
      <c r="B605" s="53"/>
      <c r="C605" s="53"/>
      <c r="D605" s="53"/>
      <c r="E605" s="53"/>
      <c r="F605" s="53"/>
      <c r="G605" s="53"/>
      <c r="H605" s="53"/>
      <c r="I605" s="53"/>
      <c r="J605" s="53"/>
      <c r="K605" s="53"/>
      <c r="L605" s="53"/>
      <c r="M605" s="53"/>
      <c r="N605" s="53"/>
      <c r="O605" s="53"/>
      <c r="P605" s="53"/>
      <c r="Q605" s="53"/>
      <c r="R605" s="53"/>
      <c r="S605" s="235"/>
    </row>
    <row r="606" spans="1:19">
      <c r="A606" s="235"/>
      <c r="B606" s="53"/>
      <c r="C606" s="53"/>
      <c r="D606" s="53"/>
      <c r="E606" s="53"/>
      <c r="F606" s="53"/>
      <c r="G606" s="53"/>
      <c r="H606" s="53"/>
      <c r="I606" s="53"/>
      <c r="J606" s="53"/>
      <c r="K606" s="53"/>
      <c r="L606" s="53"/>
      <c r="M606" s="53"/>
      <c r="N606" s="53"/>
      <c r="O606" s="53"/>
      <c r="P606" s="53"/>
      <c r="Q606" s="53"/>
      <c r="R606" s="53"/>
      <c r="S606" s="235"/>
    </row>
    <row r="607" spans="1:19">
      <c r="A607" s="235"/>
      <c r="B607" s="53"/>
      <c r="C607" s="53"/>
      <c r="D607" s="53"/>
      <c r="E607" s="53"/>
      <c r="F607" s="53"/>
      <c r="G607" s="53"/>
      <c r="H607" s="53"/>
      <c r="I607" s="53"/>
      <c r="J607" s="53"/>
      <c r="K607" s="53"/>
      <c r="L607" s="53"/>
      <c r="M607" s="53"/>
      <c r="N607" s="53"/>
      <c r="O607" s="53"/>
      <c r="P607" s="53"/>
      <c r="Q607" s="53"/>
      <c r="R607" s="53"/>
      <c r="S607" s="235"/>
    </row>
    <row r="608" spans="1:19">
      <c r="A608" s="235"/>
      <c r="B608" s="53"/>
      <c r="C608" s="53"/>
      <c r="D608" s="53"/>
      <c r="E608" s="53"/>
      <c r="F608" s="53"/>
      <c r="G608" s="53"/>
      <c r="H608" s="53"/>
      <c r="I608" s="53"/>
      <c r="J608" s="53"/>
      <c r="K608" s="53"/>
      <c r="L608" s="53"/>
      <c r="M608" s="53"/>
      <c r="N608" s="53"/>
      <c r="O608" s="53"/>
      <c r="P608" s="53"/>
      <c r="Q608" s="53"/>
      <c r="R608" s="53"/>
      <c r="S608" s="235"/>
    </row>
    <row r="609" spans="1:19">
      <c r="A609" s="235"/>
      <c r="B609" s="53"/>
      <c r="C609" s="53"/>
      <c r="D609" s="53"/>
      <c r="E609" s="53"/>
      <c r="F609" s="53"/>
      <c r="G609" s="53"/>
      <c r="H609" s="53"/>
      <c r="I609" s="53"/>
      <c r="J609" s="53"/>
      <c r="K609" s="53"/>
      <c r="L609" s="53"/>
      <c r="M609" s="53"/>
      <c r="N609" s="53"/>
      <c r="O609" s="53"/>
      <c r="P609" s="53"/>
      <c r="Q609" s="53"/>
      <c r="R609" s="53"/>
      <c r="S609" s="235"/>
    </row>
    <row r="610" spans="1:19">
      <c r="A610" s="235"/>
      <c r="B610" s="53"/>
      <c r="C610" s="53"/>
      <c r="D610" s="53"/>
      <c r="E610" s="53"/>
      <c r="F610" s="53"/>
      <c r="G610" s="53"/>
      <c r="H610" s="53"/>
      <c r="I610" s="53"/>
      <c r="J610" s="53"/>
      <c r="K610" s="53"/>
      <c r="L610" s="53"/>
      <c r="M610" s="53"/>
      <c r="N610" s="53"/>
      <c r="O610" s="53"/>
      <c r="P610" s="53"/>
      <c r="Q610" s="53"/>
      <c r="R610" s="53"/>
      <c r="S610" s="235"/>
    </row>
    <row r="611" spans="1:19">
      <c r="A611" s="235"/>
      <c r="B611" s="53"/>
      <c r="C611" s="53"/>
      <c r="D611" s="53"/>
      <c r="E611" s="53"/>
      <c r="F611" s="53"/>
      <c r="G611" s="53"/>
      <c r="H611" s="53"/>
      <c r="I611" s="53"/>
      <c r="J611" s="53"/>
      <c r="K611" s="53"/>
      <c r="L611" s="53"/>
      <c r="M611" s="53"/>
      <c r="N611" s="53"/>
      <c r="O611" s="53"/>
      <c r="P611" s="53"/>
      <c r="Q611" s="53"/>
      <c r="R611" s="53"/>
      <c r="S611" s="235"/>
    </row>
    <row r="612" spans="1:19">
      <c r="A612" s="235"/>
      <c r="B612" s="53"/>
      <c r="C612" s="53"/>
      <c r="D612" s="53"/>
      <c r="E612" s="53"/>
      <c r="F612" s="53"/>
      <c r="G612" s="53"/>
      <c r="H612" s="53"/>
      <c r="I612" s="53"/>
      <c r="J612" s="53"/>
      <c r="K612" s="53"/>
      <c r="L612" s="53"/>
      <c r="M612" s="53"/>
      <c r="N612" s="53"/>
      <c r="O612" s="53"/>
      <c r="P612" s="53"/>
      <c r="Q612" s="53"/>
      <c r="R612" s="53"/>
      <c r="S612" s="235"/>
    </row>
    <row r="613" spans="1:19">
      <c r="A613" s="235"/>
      <c r="B613" s="53"/>
      <c r="C613" s="53"/>
      <c r="D613" s="53"/>
      <c r="E613" s="53"/>
      <c r="F613" s="53"/>
      <c r="G613" s="53"/>
      <c r="H613" s="53"/>
      <c r="I613" s="53"/>
      <c r="J613" s="53"/>
      <c r="K613" s="53"/>
      <c r="L613" s="53"/>
      <c r="M613" s="53"/>
      <c r="N613" s="53"/>
      <c r="O613" s="53"/>
      <c r="P613" s="53"/>
      <c r="Q613" s="53"/>
      <c r="R613" s="53"/>
      <c r="S613" s="235"/>
    </row>
    <row r="614" spans="1:19">
      <c r="A614" s="235"/>
      <c r="B614" s="53"/>
      <c r="C614" s="53"/>
      <c r="D614" s="53"/>
      <c r="E614" s="53"/>
      <c r="F614" s="53"/>
      <c r="G614" s="53"/>
      <c r="H614" s="53"/>
      <c r="I614" s="53"/>
      <c r="J614" s="53"/>
      <c r="K614" s="53"/>
      <c r="L614" s="53"/>
      <c r="M614" s="53"/>
      <c r="N614" s="53"/>
      <c r="O614" s="53"/>
      <c r="P614" s="53"/>
      <c r="Q614" s="53"/>
      <c r="R614" s="53"/>
      <c r="S614" s="235"/>
    </row>
    <row r="615" spans="1:19">
      <c r="A615" s="235"/>
      <c r="B615" s="53"/>
      <c r="C615" s="53"/>
      <c r="D615" s="53"/>
      <c r="E615" s="53"/>
      <c r="F615" s="53"/>
      <c r="G615" s="53"/>
      <c r="H615" s="53"/>
      <c r="I615" s="53"/>
      <c r="J615" s="53"/>
      <c r="K615" s="53"/>
      <c r="L615" s="53"/>
      <c r="M615" s="53"/>
      <c r="N615" s="53"/>
      <c r="O615" s="53"/>
      <c r="P615" s="53"/>
      <c r="Q615" s="53"/>
      <c r="R615" s="53"/>
      <c r="S615" s="235"/>
    </row>
    <row r="616" spans="1:19">
      <c r="A616" s="235"/>
      <c r="B616" s="53"/>
      <c r="C616" s="53"/>
      <c r="D616" s="53"/>
      <c r="E616" s="53"/>
      <c r="F616" s="53"/>
      <c r="G616" s="53"/>
      <c r="H616" s="53"/>
      <c r="I616" s="53"/>
      <c r="J616" s="53"/>
      <c r="K616" s="53"/>
      <c r="L616" s="53"/>
      <c r="M616" s="53"/>
      <c r="N616" s="53"/>
      <c r="O616" s="53"/>
      <c r="P616" s="53"/>
      <c r="Q616" s="53"/>
      <c r="R616" s="53"/>
      <c r="S616" s="235"/>
    </row>
    <row r="617" spans="1:19">
      <c r="A617" s="235"/>
      <c r="B617" s="53"/>
      <c r="C617" s="53"/>
      <c r="D617" s="53"/>
      <c r="E617" s="53"/>
      <c r="F617" s="53"/>
      <c r="G617" s="53"/>
      <c r="H617" s="53"/>
      <c r="I617" s="53"/>
      <c r="J617" s="53"/>
      <c r="K617" s="53"/>
      <c r="L617" s="53"/>
      <c r="M617" s="53"/>
      <c r="N617" s="53"/>
      <c r="O617" s="53"/>
      <c r="P617" s="53"/>
      <c r="Q617" s="53"/>
      <c r="R617" s="53"/>
      <c r="S617" s="235"/>
    </row>
    <row r="618" spans="1:19">
      <c r="A618" s="235"/>
      <c r="B618" s="53"/>
      <c r="C618" s="53"/>
      <c r="D618" s="53"/>
      <c r="E618" s="53"/>
      <c r="F618" s="53"/>
      <c r="G618" s="53"/>
      <c r="H618" s="53"/>
      <c r="I618" s="53"/>
      <c r="J618" s="53"/>
      <c r="K618" s="53"/>
      <c r="L618" s="53"/>
      <c r="M618" s="53"/>
      <c r="N618" s="53"/>
      <c r="O618" s="53"/>
      <c r="P618" s="53"/>
      <c r="Q618" s="53"/>
      <c r="R618" s="53"/>
      <c r="S618" s="235"/>
    </row>
    <row r="619" spans="1:19">
      <c r="A619" s="235"/>
      <c r="B619" s="53"/>
      <c r="C619" s="53"/>
      <c r="D619" s="53"/>
      <c r="E619" s="53"/>
      <c r="F619" s="53"/>
      <c r="G619" s="53"/>
      <c r="H619" s="53"/>
      <c r="I619" s="53"/>
      <c r="J619" s="53"/>
      <c r="K619" s="53"/>
      <c r="L619" s="53"/>
      <c r="M619" s="53"/>
      <c r="N619" s="53"/>
      <c r="O619" s="53"/>
      <c r="P619" s="53"/>
      <c r="Q619" s="53"/>
      <c r="R619" s="53"/>
      <c r="S619" s="235"/>
    </row>
    <row r="620" spans="1:19">
      <c r="A620" s="235"/>
      <c r="B620" s="53"/>
      <c r="C620" s="53"/>
      <c r="D620" s="53"/>
      <c r="E620" s="53"/>
      <c r="F620" s="53"/>
      <c r="G620" s="53"/>
      <c r="H620" s="53"/>
      <c r="I620" s="53"/>
      <c r="J620" s="53"/>
      <c r="K620" s="53"/>
      <c r="L620" s="53"/>
      <c r="M620" s="53"/>
      <c r="N620" s="53"/>
      <c r="O620" s="53"/>
      <c r="P620" s="53"/>
      <c r="Q620" s="53"/>
      <c r="R620" s="53"/>
      <c r="S620" s="235"/>
    </row>
    <row r="621" spans="1:19">
      <c r="A621" s="235"/>
      <c r="B621" s="53"/>
      <c r="C621" s="53"/>
      <c r="D621" s="53"/>
      <c r="E621" s="53"/>
      <c r="F621" s="53"/>
      <c r="G621" s="53"/>
      <c r="H621" s="53"/>
      <c r="I621" s="53"/>
      <c r="J621" s="53"/>
      <c r="K621" s="53"/>
      <c r="L621" s="53"/>
      <c r="M621" s="53"/>
      <c r="N621" s="53"/>
      <c r="O621" s="53"/>
      <c r="P621" s="53"/>
      <c r="Q621" s="53"/>
      <c r="R621" s="53"/>
      <c r="S621" s="235"/>
    </row>
    <row r="622" spans="1:19">
      <c r="A622" s="235"/>
      <c r="B622" s="53"/>
      <c r="C622" s="53"/>
      <c r="D622" s="53"/>
      <c r="E622" s="53"/>
      <c r="F622" s="53"/>
      <c r="G622" s="53"/>
      <c r="H622" s="53"/>
      <c r="I622" s="53"/>
      <c r="J622" s="53"/>
      <c r="K622" s="53"/>
      <c r="L622" s="53"/>
      <c r="M622" s="53"/>
      <c r="N622" s="53"/>
      <c r="O622" s="53"/>
      <c r="P622" s="53"/>
      <c r="Q622" s="53"/>
      <c r="R622" s="53"/>
      <c r="S622" s="235"/>
    </row>
    <row r="623" spans="1:19">
      <c r="A623" s="235"/>
      <c r="B623" s="53"/>
      <c r="C623" s="53"/>
      <c r="D623" s="53"/>
      <c r="E623" s="53"/>
      <c r="F623" s="53"/>
      <c r="G623" s="53"/>
      <c r="H623" s="53"/>
      <c r="I623" s="53"/>
      <c r="J623" s="53"/>
      <c r="K623" s="53"/>
      <c r="L623" s="53"/>
      <c r="M623" s="53"/>
      <c r="N623" s="53"/>
      <c r="O623" s="53"/>
      <c r="P623" s="53"/>
      <c r="Q623" s="53"/>
      <c r="R623" s="53"/>
      <c r="S623" s="235"/>
    </row>
    <row r="624" spans="1:19">
      <c r="A624" s="235"/>
      <c r="B624" s="53"/>
      <c r="C624" s="53"/>
      <c r="D624" s="53"/>
      <c r="E624" s="53"/>
      <c r="F624" s="53"/>
      <c r="G624" s="53"/>
      <c r="H624" s="53"/>
      <c r="I624" s="53"/>
      <c r="J624" s="53"/>
      <c r="K624" s="53"/>
      <c r="L624" s="53"/>
      <c r="M624" s="53"/>
      <c r="N624" s="53"/>
      <c r="O624" s="53"/>
      <c r="P624" s="53"/>
      <c r="Q624" s="53"/>
      <c r="R624" s="53"/>
      <c r="S624" s="235"/>
    </row>
    <row r="625" spans="1:19">
      <c r="A625" s="235"/>
      <c r="B625" s="53"/>
      <c r="C625" s="53"/>
      <c r="D625" s="53"/>
      <c r="E625" s="53"/>
      <c r="F625" s="53"/>
      <c r="G625" s="53"/>
      <c r="H625" s="53"/>
      <c r="I625" s="53"/>
      <c r="J625" s="53"/>
      <c r="K625" s="53"/>
      <c r="L625" s="53"/>
      <c r="M625" s="53"/>
      <c r="N625" s="53"/>
      <c r="O625" s="53"/>
      <c r="P625" s="53"/>
      <c r="Q625" s="53"/>
      <c r="R625" s="53"/>
      <c r="S625" s="235"/>
    </row>
    <row r="626" spans="1:19">
      <c r="A626" s="235"/>
      <c r="B626" s="53"/>
      <c r="C626" s="53"/>
      <c r="D626" s="53"/>
      <c r="E626" s="53"/>
      <c r="F626" s="53"/>
      <c r="G626" s="53"/>
      <c r="H626" s="53"/>
      <c r="I626" s="53"/>
      <c r="J626" s="53"/>
      <c r="K626" s="53"/>
      <c r="L626" s="53"/>
      <c r="M626" s="53"/>
      <c r="N626" s="53"/>
      <c r="O626" s="53"/>
      <c r="P626" s="53"/>
      <c r="Q626" s="53"/>
      <c r="R626" s="53"/>
      <c r="S626" s="235"/>
    </row>
    <row r="627" spans="1:19">
      <c r="A627" s="235"/>
      <c r="B627" s="53"/>
      <c r="C627" s="53"/>
      <c r="D627" s="53"/>
      <c r="E627" s="53"/>
      <c r="F627" s="53"/>
      <c r="G627" s="53"/>
      <c r="H627" s="53"/>
      <c r="I627" s="53"/>
      <c r="J627" s="53"/>
      <c r="K627" s="53"/>
      <c r="L627" s="53"/>
      <c r="M627" s="53"/>
      <c r="N627" s="53"/>
      <c r="O627" s="53"/>
      <c r="P627" s="53"/>
      <c r="Q627" s="53"/>
      <c r="R627" s="53"/>
      <c r="S627" s="235"/>
    </row>
    <row r="628" spans="1:19">
      <c r="A628" s="235"/>
      <c r="B628" s="53"/>
      <c r="C628" s="53"/>
      <c r="D628" s="53"/>
      <c r="E628" s="53"/>
      <c r="F628" s="53"/>
      <c r="G628" s="53"/>
      <c r="H628" s="53"/>
      <c r="I628" s="53"/>
      <c r="J628" s="53"/>
      <c r="K628" s="53"/>
      <c r="L628" s="53"/>
      <c r="M628" s="53"/>
      <c r="N628" s="53"/>
      <c r="O628" s="53"/>
      <c r="P628" s="53"/>
      <c r="Q628" s="53"/>
      <c r="R628" s="53"/>
      <c r="S628" s="235"/>
    </row>
    <row r="629" spans="1:19">
      <c r="A629" s="235"/>
      <c r="B629" s="53"/>
      <c r="C629" s="53"/>
      <c r="D629" s="53"/>
      <c r="E629" s="53"/>
      <c r="F629" s="53"/>
      <c r="G629" s="53"/>
      <c r="H629" s="53"/>
      <c r="I629" s="53"/>
      <c r="J629" s="53"/>
      <c r="K629" s="53"/>
      <c r="L629" s="53"/>
      <c r="M629" s="53"/>
      <c r="N629" s="53"/>
      <c r="O629" s="53"/>
      <c r="P629" s="53"/>
      <c r="Q629" s="53"/>
      <c r="R629" s="53"/>
      <c r="S629" s="235"/>
    </row>
    <row r="630" spans="1:19">
      <c r="A630" s="235"/>
      <c r="B630" s="53"/>
      <c r="C630" s="53"/>
      <c r="D630" s="53"/>
      <c r="E630" s="53"/>
      <c r="F630" s="53"/>
      <c r="G630" s="53"/>
      <c r="H630" s="53"/>
      <c r="I630" s="53"/>
      <c r="J630" s="53"/>
      <c r="K630" s="53"/>
      <c r="L630" s="53"/>
      <c r="M630" s="53"/>
      <c r="N630" s="53"/>
      <c r="O630" s="53"/>
      <c r="P630" s="53"/>
      <c r="Q630" s="53"/>
      <c r="R630" s="53"/>
      <c r="S630" s="235"/>
    </row>
    <row r="631" spans="1:19">
      <c r="A631" s="235"/>
      <c r="B631" s="53"/>
      <c r="C631" s="53"/>
      <c r="D631" s="53"/>
      <c r="E631" s="53"/>
      <c r="F631" s="53"/>
      <c r="G631" s="53"/>
      <c r="H631" s="53"/>
      <c r="I631" s="53"/>
      <c r="J631" s="53"/>
      <c r="K631" s="53"/>
      <c r="L631" s="53"/>
      <c r="M631" s="53"/>
      <c r="N631" s="53"/>
      <c r="O631" s="53"/>
      <c r="P631" s="53"/>
      <c r="Q631" s="53"/>
      <c r="R631" s="53"/>
      <c r="S631" s="235"/>
    </row>
    <row r="632" spans="1:19">
      <c r="A632" s="235"/>
      <c r="B632" s="53"/>
      <c r="C632" s="53"/>
      <c r="D632" s="53"/>
      <c r="E632" s="53"/>
      <c r="F632" s="53"/>
      <c r="G632" s="53"/>
      <c r="H632" s="53"/>
      <c r="I632" s="53"/>
      <c r="J632" s="53"/>
      <c r="K632" s="53"/>
      <c r="L632" s="53"/>
      <c r="M632" s="53"/>
      <c r="N632" s="53"/>
      <c r="O632" s="53"/>
      <c r="P632" s="53"/>
      <c r="Q632" s="53"/>
      <c r="R632" s="53"/>
      <c r="S632" s="235"/>
    </row>
    <row r="633" spans="1:19">
      <c r="A633" s="235"/>
      <c r="B633" s="53"/>
      <c r="C633" s="53"/>
      <c r="D633" s="53"/>
      <c r="E633" s="53"/>
      <c r="F633" s="53"/>
      <c r="G633" s="53"/>
      <c r="H633" s="53"/>
      <c r="I633" s="53"/>
      <c r="J633" s="53"/>
      <c r="K633" s="53"/>
      <c r="L633" s="53"/>
      <c r="M633" s="53"/>
      <c r="N633" s="53"/>
      <c r="O633" s="53"/>
      <c r="P633" s="53"/>
      <c r="Q633" s="53"/>
      <c r="R633" s="53"/>
      <c r="S633" s="235"/>
    </row>
    <row r="634" spans="1:19">
      <c r="A634" s="235"/>
      <c r="B634" s="53"/>
      <c r="C634" s="53"/>
      <c r="D634" s="53"/>
      <c r="E634" s="53"/>
      <c r="F634" s="53"/>
      <c r="G634" s="53"/>
      <c r="H634" s="53"/>
      <c r="I634" s="53"/>
      <c r="J634" s="53"/>
      <c r="K634" s="53"/>
      <c r="L634" s="53"/>
      <c r="M634" s="53"/>
      <c r="N634" s="53"/>
      <c r="O634" s="53"/>
      <c r="P634" s="53"/>
      <c r="Q634" s="53"/>
      <c r="R634" s="53"/>
      <c r="S634" s="235"/>
    </row>
    <row r="635" spans="1:19">
      <c r="A635" s="235"/>
      <c r="B635" s="53"/>
      <c r="C635" s="53"/>
      <c r="D635" s="53"/>
      <c r="E635" s="53"/>
      <c r="F635" s="53"/>
      <c r="G635" s="53"/>
      <c r="H635" s="53"/>
      <c r="I635" s="53"/>
      <c r="J635" s="53"/>
      <c r="K635" s="53"/>
      <c r="L635" s="53"/>
      <c r="M635" s="53"/>
      <c r="N635" s="53"/>
      <c r="O635" s="53"/>
      <c r="P635" s="53"/>
      <c r="Q635" s="53"/>
      <c r="R635" s="53"/>
      <c r="S635" s="235"/>
    </row>
    <row r="636" spans="1:19">
      <c r="A636" s="235"/>
      <c r="B636" s="53"/>
      <c r="C636" s="53"/>
      <c r="D636" s="53"/>
      <c r="E636" s="53"/>
      <c r="F636" s="53"/>
      <c r="G636" s="53"/>
      <c r="H636" s="53"/>
      <c r="I636" s="53"/>
      <c r="J636" s="53"/>
      <c r="K636" s="53"/>
      <c r="L636" s="53"/>
      <c r="M636" s="53"/>
      <c r="N636" s="53"/>
      <c r="O636" s="53"/>
      <c r="P636" s="53"/>
      <c r="Q636" s="53"/>
      <c r="R636" s="53"/>
      <c r="S636" s="235"/>
    </row>
    <row r="637" spans="1:19">
      <c r="A637" s="235"/>
      <c r="B637" s="53"/>
      <c r="C637" s="53"/>
      <c r="D637" s="53"/>
      <c r="E637" s="53"/>
      <c r="F637" s="53"/>
      <c r="G637" s="53"/>
      <c r="H637" s="53"/>
      <c r="I637" s="53"/>
      <c r="J637" s="53"/>
      <c r="K637" s="53"/>
      <c r="L637" s="53"/>
      <c r="M637" s="53"/>
      <c r="N637" s="53"/>
      <c r="O637" s="53"/>
      <c r="P637" s="53"/>
      <c r="Q637" s="53"/>
      <c r="R637" s="53"/>
      <c r="S637" s="235"/>
    </row>
    <row r="638" spans="1:19">
      <c r="A638" s="235"/>
      <c r="B638" s="53"/>
      <c r="C638" s="53"/>
      <c r="D638" s="53"/>
      <c r="E638" s="53"/>
      <c r="F638" s="53"/>
      <c r="G638" s="53"/>
      <c r="H638" s="53"/>
      <c r="I638" s="53"/>
      <c r="J638" s="53"/>
      <c r="K638" s="53"/>
      <c r="L638" s="53"/>
      <c r="M638" s="53"/>
      <c r="N638" s="53"/>
      <c r="O638" s="53"/>
      <c r="P638" s="53"/>
      <c r="Q638" s="53"/>
      <c r="R638" s="53"/>
      <c r="S638" s="235"/>
    </row>
    <row r="639" spans="1:19">
      <c r="A639" s="235"/>
      <c r="B639" s="53"/>
      <c r="C639" s="53"/>
      <c r="D639" s="53"/>
      <c r="E639" s="53"/>
      <c r="F639" s="53"/>
      <c r="G639" s="53"/>
      <c r="H639" s="53"/>
      <c r="I639" s="53"/>
      <c r="J639" s="53"/>
      <c r="K639" s="53"/>
      <c r="L639" s="53"/>
      <c r="M639" s="53"/>
      <c r="N639" s="53"/>
      <c r="O639" s="53"/>
      <c r="P639" s="53"/>
      <c r="Q639" s="53"/>
      <c r="R639" s="53"/>
      <c r="S639" s="235"/>
    </row>
    <row r="640" spans="1:19">
      <c r="A640" s="235"/>
      <c r="B640" s="53"/>
      <c r="C640" s="53"/>
      <c r="D640" s="53"/>
      <c r="E640" s="53"/>
      <c r="F640" s="53"/>
      <c r="G640" s="53"/>
      <c r="H640" s="53"/>
      <c r="I640" s="53"/>
      <c r="J640" s="53"/>
      <c r="K640" s="53"/>
      <c r="L640" s="53"/>
      <c r="M640" s="53"/>
      <c r="N640" s="53"/>
      <c r="O640" s="53"/>
      <c r="P640" s="53"/>
      <c r="Q640" s="53"/>
      <c r="R640" s="53"/>
      <c r="S640" s="235"/>
    </row>
    <row r="641" spans="1:19">
      <c r="A641" s="235"/>
      <c r="B641" s="53"/>
      <c r="C641" s="53"/>
      <c r="D641" s="53"/>
      <c r="E641" s="53"/>
      <c r="F641" s="53"/>
      <c r="G641" s="53"/>
      <c r="H641" s="53"/>
      <c r="I641" s="53"/>
      <c r="J641" s="53"/>
      <c r="K641" s="53"/>
      <c r="L641" s="53"/>
      <c r="M641" s="53"/>
      <c r="N641" s="53"/>
      <c r="O641" s="53"/>
      <c r="P641" s="53"/>
      <c r="Q641" s="53"/>
      <c r="R641" s="53"/>
      <c r="S641" s="235"/>
    </row>
    <row r="642" spans="1:19">
      <c r="A642" s="235"/>
      <c r="B642" s="53"/>
      <c r="C642" s="53"/>
      <c r="D642" s="53"/>
      <c r="E642" s="53"/>
      <c r="F642" s="53"/>
      <c r="G642" s="53"/>
      <c r="H642" s="53"/>
      <c r="I642" s="53"/>
      <c r="J642" s="53"/>
      <c r="K642" s="53"/>
      <c r="L642" s="53"/>
      <c r="M642" s="53"/>
      <c r="N642" s="53"/>
      <c r="O642" s="53"/>
      <c r="P642" s="53"/>
      <c r="Q642" s="53"/>
      <c r="R642" s="53"/>
      <c r="S642" s="235"/>
    </row>
    <row r="643" spans="1:19">
      <c r="A643" s="235"/>
      <c r="B643" s="53"/>
      <c r="C643" s="53"/>
      <c r="D643" s="53"/>
      <c r="E643" s="53"/>
      <c r="F643" s="53"/>
      <c r="G643" s="53"/>
      <c r="H643" s="53"/>
      <c r="I643" s="53"/>
      <c r="J643" s="53"/>
      <c r="K643" s="53"/>
      <c r="L643" s="53"/>
      <c r="M643" s="53"/>
      <c r="N643" s="53"/>
      <c r="O643" s="53"/>
      <c r="P643" s="53"/>
      <c r="Q643" s="53"/>
      <c r="R643" s="53"/>
      <c r="S643" s="235"/>
    </row>
    <row r="644" spans="1:19">
      <c r="A644" s="235"/>
      <c r="B644" s="53"/>
      <c r="C644" s="53"/>
      <c r="D644" s="53"/>
      <c r="E644" s="53"/>
      <c r="F644" s="53"/>
      <c r="G644" s="53"/>
      <c r="H644" s="53"/>
      <c r="I644" s="53"/>
      <c r="J644" s="53"/>
      <c r="K644" s="53"/>
      <c r="L644" s="53"/>
      <c r="M644" s="53"/>
      <c r="N644" s="53"/>
      <c r="O644" s="53"/>
      <c r="P644" s="53"/>
      <c r="Q644" s="53"/>
      <c r="R644" s="53"/>
      <c r="S644" s="235"/>
    </row>
    <row r="645" spans="1:19">
      <c r="A645" s="235"/>
      <c r="B645" s="53"/>
      <c r="C645" s="53"/>
      <c r="D645" s="53"/>
      <c r="E645" s="53"/>
      <c r="F645" s="53"/>
      <c r="G645" s="53"/>
      <c r="H645" s="53"/>
      <c r="I645" s="53"/>
      <c r="J645" s="53"/>
      <c r="K645" s="53"/>
      <c r="L645" s="53"/>
      <c r="M645" s="53"/>
      <c r="N645" s="53"/>
      <c r="O645" s="53"/>
      <c r="P645" s="53"/>
      <c r="Q645" s="53"/>
      <c r="R645" s="53"/>
      <c r="S645" s="235"/>
    </row>
    <row r="646" spans="1:19">
      <c r="A646" s="235"/>
      <c r="B646" s="53"/>
      <c r="C646" s="53"/>
      <c r="D646" s="53"/>
      <c r="E646" s="53"/>
      <c r="F646" s="53"/>
      <c r="G646" s="53"/>
      <c r="H646" s="53"/>
      <c r="I646" s="53"/>
      <c r="J646" s="53"/>
      <c r="K646" s="53"/>
      <c r="L646" s="53"/>
      <c r="M646" s="53"/>
      <c r="N646" s="53"/>
      <c r="O646" s="53"/>
      <c r="P646" s="53"/>
      <c r="Q646" s="53"/>
      <c r="R646" s="53"/>
      <c r="S646" s="235"/>
    </row>
    <row r="647" spans="1:19">
      <c r="A647" s="235"/>
      <c r="B647" s="53"/>
      <c r="C647" s="53"/>
      <c r="D647" s="53"/>
      <c r="E647" s="53"/>
      <c r="F647" s="53"/>
      <c r="G647" s="53"/>
      <c r="H647" s="53"/>
      <c r="I647" s="53"/>
      <c r="J647" s="53"/>
      <c r="K647" s="53"/>
      <c r="L647" s="53"/>
      <c r="M647" s="53"/>
      <c r="N647" s="53"/>
      <c r="O647" s="53"/>
      <c r="P647" s="53"/>
      <c r="Q647" s="53"/>
      <c r="R647" s="53"/>
      <c r="S647" s="235"/>
    </row>
    <row r="648" spans="1:19">
      <c r="A648" s="235"/>
      <c r="B648" s="53"/>
      <c r="C648" s="53"/>
      <c r="D648" s="53"/>
      <c r="E648" s="53"/>
      <c r="F648" s="53"/>
      <c r="G648" s="53"/>
      <c r="H648" s="53"/>
      <c r="I648" s="53"/>
      <c r="J648" s="53"/>
      <c r="K648" s="53"/>
      <c r="L648" s="53"/>
      <c r="M648" s="53"/>
      <c r="N648" s="53"/>
      <c r="O648" s="53"/>
      <c r="P648" s="53"/>
      <c r="Q648" s="53"/>
      <c r="R648" s="53"/>
      <c r="S648" s="235"/>
    </row>
    <row r="649" spans="1:19">
      <c r="A649" s="235"/>
      <c r="B649" s="53"/>
      <c r="C649" s="53"/>
      <c r="D649" s="53"/>
      <c r="E649" s="53"/>
      <c r="F649" s="53"/>
      <c r="G649" s="53"/>
      <c r="H649" s="53"/>
      <c r="I649" s="53"/>
      <c r="J649" s="53"/>
      <c r="K649" s="53"/>
      <c r="L649" s="53"/>
      <c r="M649" s="53"/>
      <c r="N649" s="53"/>
      <c r="O649" s="53"/>
      <c r="P649" s="53"/>
      <c r="Q649" s="53"/>
      <c r="R649" s="53"/>
      <c r="S649" s="235"/>
    </row>
    <row r="650" spans="1:19">
      <c r="A650" s="235"/>
      <c r="B650" s="53"/>
      <c r="C650" s="53"/>
      <c r="D650" s="53"/>
      <c r="E650" s="53"/>
      <c r="F650" s="53"/>
      <c r="G650" s="53"/>
      <c r="H650" s="53"/>
      <c r="I650" s="53"/>
      <c r="J650" s="53"/>
      <c r="K650" s="53"/>
      <c r="L650" s="53"/>
      <c r="M650" s="53"/>
      <c r="N650" s="53"/>
      <c r="O650" s="53"/>
      <c r="P650" s="53"/>
      <c r="Q650" s="53"/>
      <c r="R650" s="53"/>
      <c r="S650" s="235"/>
    </row>
    <row r="651" spans="1:19">
      <c r="A651" s="235"/>
      <c r="B651" s="53"/>
      <c r="C651" s="53"/>
      <c r="D651" s="53"/>
      <c r="E651" s="53"/>
      <c r="F651" s="53"/>
      <c r="G651" s="53"/>
      <c r="H651" s="53"/>
      <c r="I651" s="53"/>
      <c r="J651" s="53"/>
      <c r="K651" s="53"/>
      <c r="L651" s="53"/>
      <c r="M651" s="53"/>
      <c r="N651" s="53"/>
      <c r="O651" s="53"/>
      <c r="P651" s="53"/>
      <c r="Q651" s="53"/>
      <c r="R651" s="53"/>
      <c r="S651" s="235"/>
    </row>
    <row r="652" spans="1:19">
      <c r="A652" s="235"/>
      <c r="B652" s="53"/>
      <c r="C652" s="53"/>
      <c r="D652" s="53"/>
      <c r="E652" s="53"/>
      <c r="F652" s="53"/>
      <c r="G652" s="53"/>
      <c r="H652" s="53"/>
      <c r="I652" s="53"/>
      <c r="J652" s="53"/>
      <c r="K652" s="53"/>
      <c r="L652" s="53"/>
      <c r="M652" s="53"/>
      <c r="N652" s="53"/>
      <c r="O652" s="53"/>
      <c r="P652" s="53"/>
      <c r="Q652" s="53"/>
      <c r="R652" s="53"/>
      <c r="S652" s="235"/>
    </row>
    <row r="653" spans="1:19">
      <c r="A653" s="235"/>
      <c r="B653" s="53"/>
      <c r="C653" s="53"/>
      <c r="D653" s="53"/>
      <c r="E653" s="53"/>
      <c r="F653" s="53"/>
      <c r="G653" s="53"/>
      <c r="H653" s="53"/>
      <c r="I653" s="53"/>
      <c r="J653" s="53"/>
      <c r="K653" s="53"/>
      <c r="L653" s="53"/>
      <c r="M653" s="53"/>
      <c r="N653" s="53"/>
      <c r="O653" s="53"/>
      <c r="P653" s="53"/>
      <c r="Q653" s="53"/>
      <c r="R653" s="53"/>
      <c r="S653" s="235"/>
    </row>
    <row r="654" spans="1:19">
      <c r="A654" s="235"/>
      <c r="B654" s="53"/>
      <c r="C654" s="53"/>
      <c r="D654" s="53"/>
      <c r="E654" s="53"/>
      <c r="F654" s="53"/>
      <c r="G654" s="53"/>
      <c r="H654" s="53"/>
      <c r="I654" s="53"/>
      <c r="J654" s="53"/>
      <c r="K654" s="53"/>
      <c r="L654" s="53"/>
      <c r="M654" s="53"/>
      <c r="N654" s="53"/>
      <c r="O654" s="53"/>
      <c r="P654" s="53"/>
      <c r="Q654" s="53"/>
      <c r="R654" s="53"/>
      <c r="S654" s="235"/>
    </row>
    <row r="655" spans="1:19">
      <c r="A655" s="235"/>
      <c r="B655" s="53"/>
      <c r="C655" s="53"/>
      <c r="D655" s="53"/>
      <c r="E655" s="53"/>
      <c r="F655" s="53"/>
      <c r="G655" s="53"/>
      <c r="H655" s="53"/>
      <c r="I655" s="53"/>
      <c r="J655" s="53"/>
      <c r="K655" s="53"/>
      <c r="L655" s="53"/>
      <c r="M655" s="53"/>
      <c r="N655" s="53"/>
      <c r="O655" s="53"/>
      <c r="P655" s="53"/>
      <c r="Q655" s="53"/>
      <c r="R655" s="53"/>
      <c r="S655" s="235"/>
    </row>
    <row r="656" spans="1:19">
      <c r="A656" s="235"/>
      <c r="B656" s="53"/>
      <c r="C656" s="53"/>
      <c r="D656" s="53"/>
      <c r="E656" s="53"/>
      <c r="F656" s="53"/>
      <c r="G656" s="53"/>
      <c r="H656" s="53"/>
      <c r="I656" s="53"/>
      <c r="J656" s="53"/>
      <c r="K656" s="53"/>
      <c r="L656" s="53"/>
      <c r="M656" s="53"/>
      <c r="N656" s="53"/>
      <c r="O656" s="53"/>
      <c r="P656" s="53"/>
      <c r="Q656" s="53"/>
      <c r="R656" s="53"/>
      <c r="S656" s="235"/>
    </row>
    <row r="657" spans="1:19">
      <c r="A657" s="235"/>
      <c r="B657" s="53"/>
      <c r="C657" s="53"/>
      <c r="D657" s="53"/>
      <c r="E657" s="53"/>
      <c r="F657" s="53"/>
      <c r="G657" s="53"/>
      <c r="H657" s="53"/>
      <c r="I657" s="53"/>
      <c r="J657" s="53"/>
      <c r="K657" s="53"/>
      <c r="L657" s="53"/>
      <c r="M657" s="53"/>
      <c r="N657" s="53"/>
      <c r="O657" s="53"/>
      <c r="P657" s="53"/>
      <c r="Q657" s="53"/>
      <c r="R657" s="53"/>
      <c r="S657" s="235"/>
    </row>
    <row r="658" spans="1:19">
      <c r="A658" s="235"/>
      <c r="B658" s="53"/>
      <c r="C658" s="53"/>
      <c r="D658" s="53"/>
      <c r="E658" s="53"/>
      <c r="F658" s="53"/>
      <c r="G658" s="53"/>
      <c r="H658" s="53"/>
      <c r="I658" s="53"/>
      <c r="J658" s="53"/>
      <c r="K658" s="53"/>
      <c r="L658" s="53"/>
      <c r="M658" s="53"/>
      <c r="N658" s="53"/>
      <c r="O658" s="53"/>
      <c r="P658" s="53"/>
      <c r="Q658" s="53"/>
      <c r="R658" s="53"/>
      <c r="S658" s="235"/>
    </row>
    <row r="659" spans="1:19">
      <c r="A659" s="235"/>
      <c r="B659" s="53"/>
      <c r="C659" s="53"/>
      <c r="D659" s="53"/>
      <c r="E659" s="53"/>
      <c r="F659" s="53"/>
      <c r="G659" s="53"/>
      <c r="H659" s="53"/>
      <c r="I659" s="53"/>
      <c r="J659" s="53"/>
      <c r="K659" s="53"/>
      <c r="L659" s="53"/>
      <c r="M659" s="53"/>
      <c r="N659" s="53"/>
      <c r="O659" s="53"/>
      <c r="P659" s="53"/>
      <c r="Q659" s="53"/>
      <c r="R659" s="53"/>
      <c r="S659" s="235"/>
    </row>
    <row r="660" spans="1:19">
      <c r="A660" s="235"/>
      <c r="B660" s="53"/>
      <c r="C660" s="53"/>
      <c r="D660" s="53"/>
      <c r="E660" s="53"/>
      <c r="F660" s="53"/>
      <c r="G660" s="53"/>
      <c r="H660" s="53"/>
      <c r="I660" s="53"/>
      <c r="J660" s="53"/>
      <c r="K660" s="53"/>
      <c r="L660" s="53"/>
      <c r="M660" s="53"/>
      <c r="N660" s="53"/>
      <c r="O660" s="53"/>
      <c r="P660" s="53"/>
      <c r="Q660" s="53"/>
      <c r="R660" s="53"/>
      <c r="S660" s="235"/>
    </row>
    <row r="661" spans="1:19">
      <c r="A661" s="235"/>
      <c r="B661" s="53"/>
      <c r="C661" s="53"/>
      <c r="D661" s="53"/>
      <c r="E661" s="53"/>
      <c r="F661" s="53"/>
      <c r="G661" s="53"/>
      <c r="H661" s="53"/>
      <c r="I661" s="53"/>
      <c r="J661" s="53"/>
      <c r="K661" s="53"/>
      <c r="L661" s="53"/>
      <c r="M661" s="53"/>
      <c r="N661" s="53"/>
      <c r="O661" s="53"/>
      <c r="P661" s="53"/>
      <c r="Q661" s="53"/>
      <c r="R661" s="53"/>
      <c r="S661" s="235"/>
    </row>
    <row r="662" spans="1:19">
      <c r="A662" s="235"/>
      <c r="B662" s="53"/>
      <c r="C662" s="53"/>
      <c r="D662" s="53"/>
      <c r="E662" s="53"/>
      <c r="F662" s="53"/>
      <c r="G662" s="53"/>
      <c r="H662" s="53"/>
      <c r="I662" s="53"/>
      <c r="J662" s="53"/>
      <c r="K662" s="53"/>
      <c r="L662" s="53"/>
      <c r="M662" s="53"/>
      <c r="N662" s="53"/>
      <c r="O662" s="53"/>
      <c r="P662" s="53"/>
      <c r="Q662" s="53"/>
      <c r="R662" s="53"/>
      <c r="S662" s="235"/>
    </row>
    <row r="663" spans="1:19">
      <c r="A663" s="235"/>
      <c r="B663" s="53"/>
      <c r="C663" s="53"/>
      <c r="D663" s="53"/>
      <c r="E663" s="53"/>
      <c r="F663" s="53"/>
      <c r="G663" s="53"/>
      <c r="H663" s="53"/>
      <c r="I663" s="53"/>
      <c r="J663" s="53"/>
      <c r="K663" s="53"/>
      <c r="L663" s="53"/>
      <c r="M663" s="53"/>
      <c r="N663" s="53"/>
      <c r="O663" s="53"/>
      <c r="P663" s="53"/>
      <c r="Q663" s="53"/>
      <c r="R663" s="53"/>
      <c r="S663" s="235"/>
    </row>
    <row r="664" spans="1:19">
      <c r="A664" s="235"/>
      <c r="B664" s="53"/>
      <c r="C664" s="53"/>
      <c r="D664" s="53"/>
      <c r="E664" s="53"/>
      <c r="F664" s="53"/>
      <c r="G664" s="53"/>
      <c r="H664" s="53"/>
      <c r="I664" s="53"/>
      <c r="J664" s="53"/>
      <c r="K664" s="53"/>
      <c r="L664" s="53"/>
      <c r="M664" s="53"/>
      <c r="N664" s="53"/>
      <c r="O664" s="53"/>
      <c r="P664" s="53"/>
      <c r="Q664" s="53"/>
      <c r="R664" s="53"/>
      <c r="S664" s="235"/>
    </row>
    <row r="665" spans="1:19">
      <c r="A665" s="235"/>
      <c r="B665" s="53"/>
      <c r="C665" s="53"/>
      <c r="D665" s="53"/>
      <c r="E665" s="53"/>
      <c r="F665" s="53"/>
      <c r="G665" s="53"/>
      <c r="H665" s="53"/>
      <c r="I665" s="53"/>
      <c r="J665" s="53"/>
      <c r="K665" s="53"/>
      <c r="L665" s="53"/>
      <c r="M665" s="53"/>
      <c r="N665" s="53"/>
      <c r="O665" s="53"/>
      <c r="P665" s="53"/>
      <c r="Q665" s="53"/>
      <c r="R665" s="53"/>
      <c r="S665" s="235"/>
    </row>
    <row r="666" spans="1:19">
      <c r="A666" s="235"/>
      <c r="B666" s="53"/>
      <c r="C666" s="53"/>
      <c r="D666" s="53"/>
      <c r="E666" s="53"/>
      <c r="F666" s="53"/>
      <c r="G666" s="53"/>
      <c r="H666" s="53"/>
      <c r="I666" s="53"/>
      <c r="J666" s="53"/>
      <c r="K666" s="53"/>
      <c r="L666" s="53"/>
      <c r="M666" s="53"/>
      <c r="N666" s="53"/>
      <c r="O666" s="53"/>
      <c r="P666" s="53"/>
      <c r="Q666" s="53"/>
      <c r="R666" s="53"/>
      <c r="S666" s="235"/>
    </row>
    <row r="667" spans="1:19">
      <c r="A667" s="235"/>
      <c r="B667" s="53"/>
      <c r="C667" s="53"/>
      <c r="D667" s="53"/>
      <c r="E667" s="53"/>
      <c r="F667" s="53"/>
      <c r="G667" s="53"/>
      <c r="H667" s="53"/>
      <c r="I667" s="53"/>
      <c r="J667" s="53"/>
      <c r="K667" s="53"/>
      <c r="L667" s="53"/>
      <c r="M667" s="53"/>
      <c r="N667" s="53"/>
      <c r="O667" s="53"/>
      <c r="P667" s="53"/>
      <c r="Q667" s="53"/>
      <c r="R667" s="53"/>
      <c r="S667" s="235"/>
    </row>
    <row r="668" spans="1:19">
      <c r="A668" s="235"/>
      <c r="B668" s="53"/>
      <c r="C668" s="53"/>
      <c r="D668" s="53"/>
      <c r="E668" s="53"/>
      <c r="F668" s="53"/>
      <c r="G668" s="53"/>
      <c r="H668" s="53"/>
      <c r="I668" s="53"/>
      <c r="J668" s="53"/>
      <c r="K668" s="53"/>
      <c r="L668" s="53"/>
      <c r="M668" s="53"/>
      <c r="N668" s="53"/>
      <c r="O668" s="53"/>
      <c r="P668" s="53"/>
      <c r="Q668" s="53"/>
      <c r="R668" s="53"/>
      <c r="S668" s="235"/>
    </row>
    <row r="669" spans="1:19">
      <c r="A669" s="235"/>
      <c r="B669" s="53"/>
      <c r="C669" s="53"/>
      <c r="D669" s="53"/>
      <c r="E669" s="53"/>
      <c r="F669" s="53"/>
      <c r="G669" s="53"/>
      <c r="H669" s="53"/>
      <c r="I669" s="53"/>
      <c r="J669" s="53"/>
      <c r="K669" s="53"/>
      <c r="L669" s="53"/>
      <c r="M669" s="53"/>
      <c r="N669" s="53"/>
      <c r="O669" s="53"/>
      <c r="P669" s="53"/>
      <c r="Q669" s="53"/>
      <c r="R669" s="53"/>
      <c r="S669" s="235"/>
    </row>
    <row r="670" spans="1:19">
      <c r="A670" s="235"/>
      <c r="B670" s="53"/>
      <c r="C670" s="53"/>
      <c r="D670" s="53"/>
      <c r="E670" s="53"/>
      <c r="F670" s="53"/>
      <c r="G670" s="53"/>
      <c r="H670" s="53"/>
      <c r="I670" s="53"/>
      <c r="J670" s="53"/>
      <c r="K670" s="53"/>
      <c r="L670" s="53"/>
      <c r="M670" s="53"/>
      <c r="N670" s="53"/>
      <c r="O670" s="53"/>
      <c r="P670" s="53"/>
      <c r="Q670" s="53"/>
      <c r="R670" s="53"/>
      <c r="S670" s="235"/>
    </row>
    <row r="671" spans="1:19">
      <c r="A671" s="235"/>
      <c r="B671" s="53"/>
      <c r="C671" s="53"/>
      <c r="D671" s="53"/>
      <c r="E671" s="53"/>
      <c r="F671" s="53"/>
      <c r="G671" s="53"/>
      <c r="H671" s="53"/>
      <c r="I671" s="53"/>
      <c r="J671" s="53"/>
      <c r="K671" s="53"/>
      <c r="L671" s="53"/>
      <c r="M671" s="53"/>
      <c r="N671" s="53"/>
      <c r="O671" s="53"/>
      <c r="P671" s="53"/>
      <c r="Q671" s="53"/>
      <c r="R671" s="53"/>
      <c r="S671" s="235"/>
    </row>
    <row r="672" spans="1:19">
      <c r="A672" s="235"/>
      <c r="B672" s="53"/>
      <c r="C672" s="53"/>
      <c r="D672" s="53"/>
      <c r="E672" s="53"/>
      <c r="F672" s="53"/>
      <c r="G672" s="53"/>
      <c r="H672" s="53"/>
      <c r="I672" s="53"/>
      <c r="J672" s="53"/>
      <c r="K672" s="53"/>
      <c r="L672" s="53"/>
      <c r="M672" s="53"/>
      <c r="N672" s="53"/>
      <c r="O672" s="53"/>
      <c r="P672" s="53"/>
      <c r="Q672" s="53"/>
      <c r="R672" s="53"/>
      <c r="S672" s="235"/>
    </row>
    <row r="673" spans="1:19">
      <c r="A673" s="235"/>
      <c r="B673" s="53"/>
      <c r="C673" s="53"/>
      <c r="D673" s="53"/>
      <c r="E673" s="53"/>
      <c r="F673" s="53"/>
      <c r="G673" s="53"/>
      <c r="H673" s="53"/>
      <c r="I673" s="53"/>
      <c r="J673" s="53"/>
      <c r="K673" s="53"/>
      <c r="L673" s="53"/>
      <c r="M673" s="53"/>
      <c r="N673" s="53"/>
      <c r="O673" s="53"/>
      <c r="P673" s="53"/>
      <c r="Q673" s="53"/>
      <c r="R673" s="53"/>
      <c r="S673" s="235"/>
    </row>
    <row r="674" spans="1:19">
      <c r="A674" s="235"/>
      <c r="B674" s="53"/>
      <c r="C674" s="53"/>
      <c r="D674" s="53"/>
      <c r="E674" s="53"/>
      <c r="F674" s="53"/>
      <c r="G674" s="53"/>
      <c r="H674" s="53"/>
      <c r="I674" s="53"/>
      <c r="J674" s="53"/>
      <c r="K674" s="53"/>
      <c r="L674" s="53"/>
      <c r="M674" s="53"/>
      <c r="N674" s="53"/>
      <c r="O674" s="53"/>
      <c r="P674" s="53"/>
      <c r="Q674" s="53"/>
      <c r="R674" s="53"/>
      <c r="S674" s="235"/>
    </row>
    <row r="675" spans="1:19">
      <c r="A675" s="235"/>
      <c r="B675" s="53"/>
      <c r="C675" s="53"/>
      <c r="D675" s="53"/>
      <c r="E675" s="53"/>
      <c r="F675" s="53"/>
      <c r="G675" s="53"/>
      <c r="H675" s="53"/>
      <c r="I675" s="53"/>
      <c r="J675" s="53"/>
      <c r="K675" s="53"/>
      <c r="L675" s="53"/>
      <c r="M675" s="53"/>
      <c r="N675" s="53"/>
      <c r="O675" s="53"/>
      <c r="P675" s="53"/>
      <c r="Q675" s="53"/>
      <c r="R675" s="53"/>
      <c r="S675" s="235"/>
    </row>
    <row r="676" spans="1:19">
      <c r="A676" s="235"/>
      <c r="B676" s="53"/>
      <c r="C676" s="53"/>
      <c r="D676" s="53"/>
      <c r="E676" s="53"/>
      <c r="F676" s="53"/>
      <c r="G676" s="53"/>
      <c r="H676" s="53"/>
      <c r="I676" s="53"/>
      <c r="J676" s="53"/>
      <c r="K676" s="53"/>
      <c r="L676" s="53"/>
      <c r="M676" s="53"/>
      <c r="N676" s="53"/>
      <c r="O676" s="53"/>
      <c r="P676" s="53"/>
      <c r="Q676" s="53"/>
      <c r="R676" s="53"/>
      <c r="S676" s="235"/>
    </row>
    <row r="677" spans="1:19">
      <c r="A677" s="235"/>
      <c r="B677" s="53"/>
      <c r="C677" s="53"/>
      <c r="D677" s="53"/>
      <c r="E677" s="53"/>
      <c r="F677" s="53"/>
      <c r="G677" s="53"/>
      <c r="H677" s="53"/>
      <c r="I677" s="53"/>
      <c r="J677" s="53"/>
      <c r="K677" s="53"/>
      <c r="L677" s="53"/>
      <c r="M677" s="53"/>
      <c r="N677" s="53"/>
      <c r="O677" s="53"/>
      <c r="P677" s="53"/>
      <c r="Q677" s="53"/>
      <c r="R677" s="53"/>
      <c r="S677" s="235"/>
    </row>
    <row r="678" spans="1:19">
      <c r="A678" s="235"/>
      <c r="B678" s="53"/>
      <c r="C678" s="53"/>
      <c r="D678" s="53"/>
      <c r="E678" s="53"/>
      <c r="F678" s="53"/>
      <c r="G678" s="53"/>
      <c r="H678" s="53"/>
      <c r="I678" s="53"/>
      <c r="J678" s="53"/>
      <c r="K678" s="53"/>
      <c r="L678" s="53"/>
      <c r="M678" s="53"/>
      <c r="N678" s="53"/>
      <c r="O678" s="53"/>
      <c r="P678" s="53"/>
      <c r="Q678" s="53"/>
      <c r="R678" s="53"/>
      <c r="S678" s="235"/>
    </row>
    <row r="679" spans="1:19">
      <c r="A679" s="235"/>
      <c r="B679" s="53"/>
      <c r="C679" s="53"/>
      <c r="D679" s="53"/>
      <c r="E679" s="53"/>
      <c r="F679" s="53"/>
      <c r="G679" s="53"/>
      <c r="H679" s="53"/>
      <c r="I679" s="53"/>
      <c r="J679" s="53"/>
      <c r="K679" s="53"/>
      <c r="L679" s="53"/>
      <c r="M679" s="53"/>
      <c r="N679" s="53"/>
      <c r="O679" s="53"/>
      <c r="P679" s="53"/>
      <c r="Q679" s="53"/>
      <c r="R679" s="53"/>
      <c r="S679" s="235"/>
    </row>
    <row r="680" spans="1:19">
      <c r="A680" s="235"/>
      <c r="B680" s="53"/>
      <c r="C680" s="53"/>
      <c r="D680" s="53"/>
      <c r="E680" s="53"/>
      <c r="F680" s="53"/>
      <c r="G680" s="53"/>
      <c r="H680" s="53"/>
      <c r="I680" s="53"/>
      <c r="J680" s="53"/>
      <c r="K680" s="53"/>
      <c r="L680" s="53"/>
      <c r="M680" s="53"/>
      <c r="N680" s="53"/>
      <c r="O680" s="53"/>
      <c r="P680" s="53"/>
      <c r="Q680" s="53"/>
      <c r="R680" s="53"/>
      <c r="S680" s="235"/>
    </row>
    <row r="681" spans="1:19">
      <c r="A681" s="235"/>
      <c r="B681" s="53"/>
      <c r="C681" s="53"/>
      <c r="D681" s="53"/>
      <c r="E681" s="53"/>
      <c r="F681" s="53"/>
      <c r="G681" s="53"/>
      <c r="H681" s="53"/>
      <c r="I681" s="53"/>
      <c r="J681" s="53"/>
      <c r="K681" s="53"/>
      <c r="L681" s="53"/>
      <c r="M681" s="53"/>
      <c r="N681" s="53"/>
      <c r="O681" s="53"/>
      <c r="P681" s="53"/>
      <c r="Q681" s="53"/>
      <c r="R681" s="53"/>
      <c r="S681" s="235"/>
    </row>
    <row r="682" spans="1:19">
      <c r="A682" s="235"/>
      <c r="B682" s="53"/>
      <c r="C682" s="53"/>
      <c r="D682" s="53"/>
      <c r="E682" s="53"/>
      <c r="F682" s="53"/>
      <c r="G682" s="53"/>
      <c r="H682" s="53"/>
      <c r="I682" s="53"/>
      <c r="J682" s="53"/>
      <c r="K682" s="53"/>
      <c r="L682" s="53"/>
      <c r="M682" s="53"/>
      <c r="N682" s="53"/>
      <c r="O682" s="53"/>
      <c r="P682" s="53"/>
      <c r="Q682" s="53"/>
      <c r="R682" s="53"/>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3" customWidth="1"/>
    <col min="2" max="2" width="13.25" style="2239" customWidth="1"/>
    <col min="3" max="3" width="15.625" style="2239" customWidth="1"/>
    <col min="4" max="4" width="9.375" style="2239" bestFit="1" customWidth="1"/>
    <col min="5" max="5" width="13.5" style="2239" customWidth="1"/>
    <col min="6" max="6" width="9" style="2239"/>
    <col min="7" max="7" width="9.375" style="2239" bestFit="1" customWidth="1"/>
    <col min="8" max="9" width="9" style="2239"/>
    <col min="10" max="10" width="9.375" style="2239" bestFit="1" customWidth="1"/>
    <col min="11" max="11" width="4" style="2233" customWidth="1"/>
    <col min="12" max="12" width="5.125" style="2239" customWidth="1"/>
    <col min="13" max="13" width="13.75" style="2239" customWidth="1"/>
    <col min="14" max="256" width="9" style="2239"/>
    <col min="257" max="257" width="4.875" style="2231" customWidth="1"/>
    <col min="258" max="258" width="13.25" style="2231" customWidth="1"/>
    <col min="259" max="259" width="15.625" style="2231" customWidth="1"/>
    <col min="260" max="260" width="9.375" style="2231" bestFit="1" customWidth="1"/>
    <col min="261" max="261" width="13.5" style="2231" customWidth="1"/>
    <col min="262" max="262" width="9" style="2231"/>
    <col min="263" max="263" width="9.375" style="2231" bestFit="1" customWidth="1"/>
    <col min="264" max="265" width="9" style="2231"/>
    <col min="266" max="266" width="9.375" style="2231" bestFit="1" customWidth="1"/>
    <col min="267" max="267" width="4" style="2231" customWidth="1"/>
    <col min="268" max="268" width="5.125" style="2231" customWidth="1"/>
    <col min="269" max="269" width="13.75" style="2231" customWidth="1"/>
    <col min="270" max="512" width="9" style="2231"/>
    <col min="513" max="513" width="4.875" style="2231" customWidth="1"/>
    <col min="514" max="514" width="13.25" style="2231" customWidth="1"/>
    <col min="515" max="515" width="15.625" style="2231" customWidth="1"/>
    <col min="516" max="516" width="9.375" style="2231" bestFit="1" customWidth="1"/>
    <col min="517" max="517" width="13.5" style="2231" customWidth="1"/>
    <col min="518" max="518" width="9" style="2231"/>
    <col min="519" max="519" width="9.375" style="2231" bestFit="1" customWidth="1"/>
    <col min="520" max="521" width="9" style="2231"/>
    <col min="522" max="522" width="9.375" style="2231" bestFit="1" customWidth="1"/>
    <col min="523" max="523" width="4" style="2231" customWidth="1"/>
    <col min="524" max="524" width="5.125" style="2231" customWidth="1"/>
    <col min="525" max="525" width="13.75" style="2231" customWidth="1"/>
    <col min="526" max="768" width="9" style="2231"/>
    <col min="769" max="769" width="4.875" style="2231" customWidth="1"/>
    <col min="770" max="770" width="13.25" style="2231" customWidth="1"/>
    <col min="771" max="771" width="15.625" style="2231" customWidth="1"/>
    <col min="772" max="772" width="9.375" style="2231" bestFit="1" customWidth="1"/>
    <col min="773" max="773" width="13.5" style="2231" customWidth="1"/>
    <col min="774" max="774" width="9" style="2231"/>
    <col min="775" max="775" width="9.375" style="2231" bestFit="1" customWidth="1"/>
    <col min="776" max="777" width="9" style="2231"/>
    <col min="778" max="778" width="9.375" style="2231" bestFit="1" customWidth="1"/>
    <col min="779" max="779" width="4" style="2231" customWidth="1"/>
    <col min="780" max="780" width="5.125" style="2231" customWidth="1"/>
    <col min="781" max="781" width="13.75" style="2231" customWidth="1"/>
    <col min="782" max="1024" width="9" style="2231"/>
    <col min="1025" max="1025" width="4.875" style="2231" customWidth="1"/>
    <col min="1026" max="1026" width="13.25" style="2231" customWidth="1"/>
    <col min="1027" max="1027" width="15.625" style="2231" customWidth="1"/>
    <col min="1028" max="1028" width="9.375" style="2231" bestFit="1" customWidth="1"/>
    <col min="1029" max="1029" width="13.5" style="2231" customWidth="1"/>
    <col min="1030" max="1030" width="9" style="2231"/>
    <col min="1031" max="1031" width="9.375" style="2231" bestFit="1" customWidth="1"/>
    <col min="1032" max="1033" width="9" style="2231"/>
    <col min="1034" max="1034" width="9.375" style="2231" bestFit="1" customWidth="1"/>
    <col min="1035" max="1035" width="4" style="2231" customWidth="1"/>
    <col min="1036" max="1036" width="5.125" style="2231" customWidth="1"/>
    <col min="1037" max="1037" width="13.75" style="2231" customWidth="1"/>
    <col min="1038" max="1280" width="9" style="2231"/>
    <col min="1281" max="1281" width="4.875" style="2231" customWidth="1"/>
    <col min="1282" max="1282" width="13.25" style="2231" customWidth="1"/>
    <col min="1283" max="1283" width="15.625" style="2231" customWidth="1"/>
    <col min="1284" max="1284" width="9.375" style="2231" bestFit="1" customWidth="1"/>
    <col min="1285" max="1285" width="13.5" style="2231" customWidth="1"/>
    <col min="1286" max="1286" width="9" style="2231"/>
    <col min="1287" max="1287" width="9.375" style="2231" bestFit="1" customWidth="1"/>
    <col min="1288" max="1289" width="9" style="2231"/>
    <col min="1290" max="1290" width="9.375" style="2231" bestFit="1" customWidth="1"/>
    <col min="1291" max="1291" width="4" style="2231" customWidth="1"/>
    <col min="1292" max="1292" width="5.125" style="2231" customWidth="1"/>
    <col min="1293" max="1293" width="13.75" style="2231" customWidth="1"/>
    <col min="1294" max="1536" width="9" style="2231"/>
    <col min="1537" max="1537" width="4.875" style="2231" customWidth="1"/>
    <col min="1538" max="1538" width="13.25" style="2231" customWidth="1"/>
    <col min="1539" max="1539" width="15.625" style="2231" customWidth="1"/>
    <col min="1540" max="1540" width="9.375" style="2231" bestFit="1" customWidth="1"/>
    <col min="1541" max="1541" width="13.5" style="2231" customWidth="1"/>
    <col min="1542" max="1542" width="9" style="2231"/>
    <col min="1543" max="1543" width="9.375" style="2231" bestFit="1" customWidth="1"/>
    <col min="1544" max="1545" width="9" style="2231"/>
    <col min="1546" max="1546" width="9.375" style="2231" bestFit="1" customWidth="1"/>
    <col min="1547" max="1547" width="4" style="2231" customWidth="1"/>
    <col min="1548" max="1548" width="5.125" style="2231" customWidth="1"/>
    <col min="1549" max="1549" width="13.75" style="2231" customWidth="1"/>
    <col min="1550" max="1792" width="9" style="2231"/>
    <col min="1793" max="1793" width="4.875" style="2231" customWidth="1"/>
    <col min="1794" max="1794" width="13.25" style="2231" customWidth="1"/>
    <col min="1795" max="1795" width="15.625" style="2231" customWidth="1"/>
    <col min="1796" max="1796" width="9.375" style="2231" bestFit="1" customWidth="1"/>
    <col min="1797" max="1797" width="13.5" style="2231" customWidth="1"/>
    <col min="1798" max="1798" width="9" style="2231"/>
    <col min="1799" max="1799" width="9.375" style="2231" bestFit="1" customWidth="1"/>
    <col min="1800" max="1801" width="9" style="2231"/>
    <col min="1802" max="1802" width="9.375" style="2231" bestFit="1" customWidth="1"/>
    <col min="1803" max="1803" width="4" style="2231" customWidth="1"/>
    <col min="1804" max="1804" width="5.125" style="2231" customWidth="1"/>
    <col min="1805" max="1805" width="13.75" style="2231" customWidth="1"/>
    <col min="1806" max="2048" width="9" style="2231"/>
    <col min="2049" max="2049" width="4.875" style="2231" customWidth="1"/>
    <col min="2050" max="2050" width="13.25" style="2231" customWidth="1"/>
    <col min="2051" max="2051" width="15.625" style="2231" customWidth="1"/>
    <col min="2052" max="2052" width="9.375" style="2231" bestFit="1" customWidth="1"/>
    <col min="2053" max="2053" width="13.5" style="2231" customWidth="1"/>
    <col min="2054" max="2054" width="9" style="2231"/>
    <col min="2055" max="2055" width="9.375" style="2231" bestFit="1" customWidth="1"/>
    <col min="2056" max="2057" width="9" style="2231"/>
    <col min="2058" max="2058" width="9.375" style="2231" bestFit="1" customWidth="1"/>
    <col min="2059" max="2059" width="4" style="2231" customWidth="1"/>
    <col min="2060" max="2060" width="5.125" style="2231" customWidth="1"/>
    <col min="2061" max="2061" width="13.75" style="2231" customWidth="1"/>
    <col min="2062" max="2304" width="9" style="2231"/>
    <col min="2305" max="2305" width="4.875" style="2231" customWidth="1"/>
    <col min="2306" max="2306" width="13.25" style="2231" customWidth="1"/>
    <col min="2307" max="2307" width="15.625" style="2231" customWidth="1"/>
    <col min="2308" max="2308" width="9.375" style="2231" bestFit="1" customWidth="1"/>
    <col min="2309" max="2309" width="13.5" style="2231" customWidth="1"/>
    <col min="2310" max="2310" width="9" style="2231"/>
    <col min="2311" max="2311" width="9.375" style="2231" bestFit="1" customWidth="1"/>
    <col min="2312" max="2313" width="9" style="2231"/>
    <col min="2314" max="2314" width="9.375" style="2231" bestFit="1" customWidth="1"/>
    <col min="2315" max="2315" width="4" style="2231" customWidth="1"/>
    <col min="2316" max="2316" width="5.125" style="2231" customWidth="1"/>
    <col min="2317" max="2317" width="13.75" style="2231" customWidth="1"/>
    <col min="2318" max="2560" width="9" style="2231"/>
    <col min="2561" max="2561" width="4.875" style="2231" customWidth="1"/>
    <col min="2562" max="2562" width="13.25" style="2231" customWidth="1"/>
    <col min="2563" max="2563" width="15.625" style="2231" customWidth="1"/>
    <col min="2564" max="2564" width="9.375" style="2231" bestFit="1" customWidth="1"/>
    <col min="2565" max="2565" width="13.5" style="2231" customWidth="1"/>
    <col min="2566" max="2566" width="9" style="2231"/>
    <col min="2567" max="2567" width="9.375" style="2231" bestFit="1" customWidth="1"/>
    <col min="2568" max="2569" width="9" style="2231"/>
    <col min="2570" max="2570" width="9.375" style="2231" bestFit="1" customWidth="1"/>
    <col min="2571" max="2571" width="4" style="2231" customWidth="1"/>
    <col min="2572" max="2572" width="5.125" style="2231" customWidth="1"/>
    <col min="2573" max="2573" width="13.75" style="2231" customWidth="1"/>
    <col min="2574" max="2816" width="9" style="2231"/>
    <col min="2817" max="2817" width="4.875" style="2231" customWidth="1"/>
    <col min="2818" max="2818" width="13.25" style="2231" customWidth="1"/>
    <col min="2819" max="2819" width="15.625" style="2231" customWidth="1"/>
    <col min="2820" max="2820" width="9.375" style="2231" bestFit="1" customWidth="1"/>
    <col min="2821" max="2821" width="13.5" style="2231" customWidth="1"/>
    <col min="2822" max="2822" width="9" style="2231"/>
    <col min="2823" max="2823" width="9.375" style="2231" bestFit="1" customWidth="1"/>
    <col min="2824" max="2825" width="9" style="2231"/>
    <col min="2826" max="2826" width="9.375" style="2231" bestFit="1" customWidth="1"/>
    <col min="2827" max="2827" width="4" style="2231" customWidth="1"/>
    <col min="2828" max="2828" width="5.125" style="2231" customWidth="1"/>
    <col min="2829" max="2829" width="13.75" style="2231" customWidth="1"/>
    <col min="2830" max="3072" width="9" style="2231"/>
    <col min="3073" max="3073" width="4.875" style="2231" customWidth="1"/>
    <col min="3074" max="3074" width="13.25" style="2231" customWidth="1"/>
    <col min="3075" max="3075" width="15.625" style="2231" customWidth="1"/>
    <col min="3076" max="3076" width="9.375" style="2231" bestFit="1" customWidth="1"/>
    <col min="3077" max="3077" width="13.5" style="2231" customWidth="1"/>
    <col min="3078" max="3078" width="9" style="2231"/>
    <col min="3079" max="3079" width="9.375" style="2231" bestFit="1" customWidth="1"/>
    <col min="3080" max="3081" width="9" style="2231"/>
    <col min="3082" max="3082" width="9.375" style="2231" bestFit="1" customWidth="1"/>
    <col min="3083" max="3083" width="4" style="2231" customWidth="1"/>
    <col min="3084" max="3084" width="5.125" style="2231" customWidth="1"/>
    <col min="3085" max="3085" width="13.75" style="2231" customWidth="1"/>
    <col min="3086" max="3328" width="9" style="2231"/>
    <col min="3329" max="3329" width="4.875" style="2231" customWidth="1"/>
    <col min="3330" max="3330" width="13.25" style="2231" customWidth="1"/>
    <col min="3331" max="3331" width="15.625" style="2231" customWidth="1"/>
    <col min="3332" max="3332" width="9.375" style="2231" bestFit="1" customWidth="1"/>
    <col min="3333" max="3333" width="13.5" style="2231" customWidth="1"/>
    <col min="3334" max="3334" width="9" style="2231"/>
    <col min="3335" max="3335" width="9.375" style="2231" bestFit="1" customWidth="1"/>
    <col min="3336" max="3337" width="9" style="2231"/>
    <col min="3338" max="3338" width="9.375" style="2231" bestFit="1" customWidth="1"/>
    <col min="3339" max="3339" width="4" style="2231" customWidth="1"/>
    <col min="3340" max="3340" width="5.125" style="2231" customWidth="1"/>
    <col min="3341" max="3341" width="13.75" style="2231" customWidth="1"/>
    <col min="3342" max="3584" width="9" style="2231"/>
    <col min="3585" max="3585" width="4.875" style="2231" customWidth="1"/>
    <col min="3586" max="3586" width="13.25" style="2231" customWidth="1"/>
    <col min="3587" max="3587" width="15.625" style="2231" customWidth="1"/>
    <col min="3588" max="3588" width="9.375" style="2231" bestFit="1" customWidth="1"/>
    <col min="3589" max="3589" width="13.5" style="2231" customWidth="1"/>
    <col min="3590" max="3590" width="9" style="2231"/>
    <col min="3591" max="3591" width="9.375" style="2231" bestFit="1" customWidth="1"/>
    <col min="3592" max="3593" width="9" style="2231"/>
    <col min="3594" max="3594" width="9.375" style="2231" bestFit="1" customWidth="1"/>
    <col min="3595" max="3595" width="4" style="2231" customWidth="1"/>
    <col min="3596" max="3596" width="5.125" style="2231" customWidth="1"/>
    <col min="3597" max="3597" width="13.75" style="2231" customWidth="1"/>
    <col min="3598" max="3840" width="9" style="2231"/>
    <col min="3841" max="3841" width="4.875" style="2231" customWidth="1"/>
    <col min="3842" max="3842" width="13.25" style="2231" customWidth="1"/>
    <col min="3843" max="3843" width="15.625" style="2231" customWidth="1"/>
    <col min="3844" max="3844" width="9.375" style="2231" bestFit="1" customWidth="1"/>
    <col min="3845" max="3845" width="13.5" style="2231" customWidth="1"/>
    <col min="3846" max="3846" width="9" style="2231"/>
    <col min="3847" max="3847" width="9.375" style="2231" bestFit="1" customWidth="1"/>
    <col min="3848" max="3849" width="9" style="2231"/>
    <col min="3850" max="3850" width="9.375" style="2231" bestFit="1" customWidth="1"/>
    <col min="3851" max="3851" width="4" style="2231" customWidth="1"/>
    <col min="3852" max="3852" width="5.125" style="2231" customWidth="1"/>
    <col min="3853" max="3853" width="13.75" style="2231" customWidth="1"/>
    <col min="3854" max="4096" width="9" style="2231"/>
    <col min="4097" max="4097" width="4.875" style="2231" customWidth="1"/>
    <col min="4098" max="4098" width="13.25" style="2231" customWidth="1"/>
    <col min="4099" max="4099" width="15.625" style="2231" customWidth="1"/>
    <col min="4100" max="4100" width="9.375" style="2231" bestFit="1" customWidth="1"/>
    <col min="4101" max="4101" width="13.5" style="2231" customWidth="1"/>
    <col min="4102" max="4102" width="9" style="2231"/>
    <col min="4103" max="4103" width="9.375" style="2231" bestFit="1" customWidth="1"/>
    <col min="4104" max="4105" width="9" style="2231"/>
    <col min="4106" max="4106" width="9.375" style="2231" bestFit="1" customWidth="1"/>
    <col min="4107" max="4107" width="4" style="2231" customWidth="1"/>
    <col min="4108" max="4108" width="5.125" style="2231" customWidth="1"/>
    <col min="4109" max="4109" width="13.75" style="2231" customWidth="1"/>
    <col min="4110" max="4352" width="9" style="2231"/>
    <col min="4353" max="4353" width="4.875" style="2231" customWidth="1"/>
    <col min="4354" max="4354" width="13.25" style="2231" customWidth="1"/>
    <col min="4355" max="4355" width="15.625" style="2231" customWidth="1"/>
    <col min="4356" max="4356" width="9.375" style="2231" bestFit="1" customWidth="1"/>
    <col min="4357" max="4357" width="13.5" style="2231" customWidth="1"/>
    <col min="4358" max="4358" width="9" style="2231"/>
    <col min="4359" max="4359" width="9.375" style="2231" bestFit="1" customWidth="1"/>
    <col min="4360" max="4361" width="9" style="2231"/>
    <col min="4362" max="4362" width="9.375" style="2231" bestFit="1" customWidth="1"/>
    <col min="4363" max="4363" width="4" style="2231" customWidth="1"/>
    <col min="4364" max="4364" width="5.125" style="2231" customWidth="1"/>
    <col min="4365" max="4365" width="13.75" style="2231" customWidth="1"/>
    <col min="4366" max="4608" width="9" style="2231"/>
    <col min="4609" max="4609" width="4.875" style="2231" customWidth="1"/>
    <col min="4610" max="4610" width="13.25" style="2231" customWidth="1"/>
    <col min="4611" max="4611" width="15.625" style="2231" customWidth="1"/>
    <col min="4612" max="4612" width="9.375" style="2231" bestFit="1" customWidth="1"/>
    <col min="4613" max="4613" width="13.5" style="2231" customWidth="1"/>
    <col min="4614" max="4614" width="9" style="2231"/>
    <col min="4615" max="4615" width="9.375" style="2231" bestFit="1" customWidth="1"/>
    <col min="4616" max="4617" width="9" style="2231"/>
    <col min="4618" max="4618" width="9.375" style="2231" bestFit="1" customWidth="1"/>
    <col min="4619" max="4619" width="4" style="2231" customWidth="1"/>
    <col min="4620" max="4620" width="5.125" style="2231" customWidth="1"/>
    <col min="4621" max="4621" width="13.75" style="2231" customWidth="1"/>
    <col min="4622" max="4864" width="9" style="2231"/>
    <col min="4865" max="4865" width="4.875" style="2231" customWidth="1"/>
    <col min="4866" max="4866" width="13.25" style="2231" customWidth="1"/>
    <col min="4867" max="4867" width="15.625" style="2231" customWidth="1"/>
    <col min="4868" max="4868" width="9.375" style="2231" bestFit="1" customWidth="1"/>
    <col min="4869" max="4869" width="13.5" style="2231" customWidth="1"/>
    <col min="4870" max="4870" width="9" style="2231"/>
    <col min="4871" max="4871" width="9.375" style="2231" bestFit="1" customWidth="1"/>
    <col min="4872" max="4873" width="9" style="2231"/>
    <col min="4874" max="4874" width="9.375" style="2231" bestFit="1" customWidth="1"/>
    <col min="4875" max="4875" width="4" style="2231" customWidth="1"/>
    <col min="4876" max="4876" width="5.125" style="2231" customWidth="1"/>
    <col min="4877" max="4877" width="13.75" style="2231" customWidth="1"/>
    <col min="4878" max="5120" width="9" style="2231"/>
    <col min="5121" max="5121" width="4.875" style="2231" customWidth="1"/>
    <col min="5122" max="5122" width="13.25" style="2231" customWidth="1"/>
    <col min="5123" max="5123" width="15.625" style="2231" customWidth="1"/>
    <col min="5124" max="5124" width="9.375" style="2231" bestFit="1" customWidth="1"/>
    <col min="5125" max="5125" width="13.5" style="2231" customWidth="1"/>
    <col min="5126" max="5126" width="9" style="2231"/>
    <col min="5127" max="5127" width="9.375" style="2231" bestFit="1" customWidth="1"/>
    <col min="5128" max="5129" width="9" style="2231"/>
    <col min="5130" max="5130" width="9.375" style="2231" bestFit="1" customWidth="1"/>
    <col min="5131" max="5131" width="4" style="2231" customWidth="1"/>
    <col min="5132" max="5132" width="5.125" style="2231" customWidth="1"/>
    <col min="5133" max="5133" width="13.75" style="2231" customWidth="1"/>
    <col min="5134" max="5376" width="9" style="2231"/>
    <col min="5377" max="5377" width="4.875" style="2231" customWidth="1"/>
    <col min="5378" max="5378" width="13.25" style="2231" customWidth="1"/>
    <col min="5379" max="5379" width="15.625" style="2231" customWidth="1"/>
    <col min="5380" max="5380" width="9.375" style="2231" bestFit="1" customWidth="1"/>
    <col min="5381" max="5381" width="13.5" style="2231" customWidth="1"/>
    <col min="5382" max="5382" width="9" style="2231"/>
    <col min="5383" max="5383" width="9.375" style="2231" bestFit="1" customWidth="1"/>
    <col min="5384" max="5385" width="9" style="2231"/>
    <col min="5386" max="5386" width="9.375" style="2231" bestFit="1" customWidth="1"/>
    <col min="5387" max="5387" width="4" style="2231" customWidth="1"/>
    <col min="5388" max="5388" width="5.125" style="2231" customWidth="1"/>
    <col min="5389" max="5389" width="13.75" style="2231" customWidth="1"/>
    <col min="5390" max="5632" width="9" style="2231"/>
    <col min="5633" max="5633" width="4.875" style="2231" customWidth="1"/>
    <col min="5634" max="5634" width="13.25" style="2231" customWidth="1"/>
    <col min="5635" max="5635" width="15.625" style="2231" customWidth="1"/>
    <col min="5636" max="5636" width="9.375" style="2231" bestFit="1" customWidth="1"/>
    <col min="5637" max="5637" width="13.5" style="2231" customWidth="1"/>
    <col min="5638" max="5638" width="9" style="2231"/>
    <col min="5639" max="5639" width="9.375" style="2231" bestFit="1" customWidth="1"/>
    <col min="5640" max="5641" width="9" style="2231"/>
    <col min="5642" max="5642" width="9.375" style="2231" bestFit="1" customWidth="1"/>
    <col min="5643" max="5643" width="4" style="2231" customWidth="1"/>
    <col min="5644" max="5644" width="5.125" style="2231" customWidth="1"/>
    <col min="5645" max="5645" width="13.75" style="2231" customWidth="1"/>
    <col min="5646" max="5888" width="9" style="2231"/>
    <col min="5889" max="5889" width="4.875" style="2231" customWidth="1"/>
    <col min="5890" max="5890" width="13.25" style="2231" customWidth="1"/>
    <col min="5891" max="5891" width="15.625" style="2231" customWidth="1"/>
    <col min="5892" max="5892" width="9.375" style="2231" bestFit="1" customWidth="1"/>
    <col min="5893" max="5893" width="13.5" style="2231" customWidth="1"/>
    <col min="5894" max="5894" width="9" style="2231"/>
    <col min="5895" max="5895" width="9.375" style="2231" bestFit="1" customWidth="1"/>
    <col min="5896" max="5897" width="9" style="2231"/>
    <col min="5898" max="5898" width="9.375" style="2231" bestFit="1" customWidth="1"/>
    <col min="5899" max="5899" width="4" style="2231" customWidth="1"/>
    <col min="5900" max="5900" width="5.125" style="2231" customWidth="1"/>
    <col min="5901" max="5901" width="13.75" style="2231" customWidth="1"/>
    <col min="5902" max="6144" width="9" style="2231"/>
    <col min="6145" max="6145" width="4.875" style="2231" customWidth="1"/>
    <col min="6146" max="6146" width="13.25" style="2231" customWidth="1"/>
    <col min="6147" max="6147" width="15.625" style="2231" customWidth="1"/>
    <col min="6148" max="6148" width="9.375" style="2231" bestFit="1" customWidth="1"/>
    <col min="6149" max="6149" width="13.5" style="2231" customWidth="1"/>
    <col min="6150" max="6150" width="9" style="2231"/>
    <col min="6151" max="6151" width="9.375" style="2231" bestFit="1" customWidth="1"/>
    <col min="6152" max="6153" width="9" style="2231"/>
    <col min="6154" max="6154" width="9.375" style="2231" bestFit="1" customWidth="1"/>
    <col min="6155" max="6155" width="4" style="2231" customWidth="1"/>
    <col min="6156" max="6156" width="5.125" style="2231" customWidth="1"/>
    <col min="6157" max="6157" width="13.75" style="2231" customWidth="1"/>
    <col min="6158" max="6400" width="9" style="2231"/>
    <col min="6401" max="6401" width="4.875" style="2231" customWidth="1"/>
    <col min="6402" max="6402" width="13.25" style="2231" customWidth="1"/>
    <col min="6403" max="6403" width="15.625" style="2231" customWidth="1"/>
    <col min="6404" max="6404" width="9.375" style="2231" bestFit="1" customWidth="1"/>
    <col min="6405" max="6405" width="13.5" style="2231" customWidth="1"/>
    <col min="6406" max="6406" width="9" style="2231"/>
    <col min="6407" max="6407" width="9.375" style="2231" bestFit="1" customWidth="1"/>
    <col min="6408" max="6409" width="9" style="2231"/>
    <col min="6410" max="6410" width="9.375" style="2231" bestFit="1" customWidth="1"/>
    <col min="6411" max="6411" width="4" style="2231" customWidth="1"/>
    <col min="6412" max="6412" width="5.125" style="2231" customWidth="1"/>
    <col min="6413" max="6413" width="13.75" style="2231" customWidth="1"/>
    <col min="6414" max="6656" width="9" style="2231"/>
    <col min="6657" max="6657" width="4.875" style="2231" customWidth="1"/>
    <col min="6658" max="6658" width="13.25" style="2231" customWidth="1"/>
    <col min="6659" max="6659" width="15.625" style="2231" customWidth="1"/>
    <col min="6660" max="6660" width="9.375" style="2231" bestFit="1" customWidth="1"/>
    <col min="6661" max="6661" width="13.5" style="2231" customWidth="1"/>
    <col min="6662" max="6662" width="9" style="2231"/>
    <col min="6663" max="6663" width="9.375" style="2231" bestFit="1" customWidth="1"/>
    <col min="6664" max="6665" width="9" style="2231"/>
    <col min="6666" max="6666" width="9.375" style="2231" bestFit="1" customWidth="1"/>
    <col min="6667" max="6667" width="4" style="2231" customWidth="1"/>
    <col min="6668" max="6668" width="5.125" style="2231" customWidth="1"/>
    <col min="6669" max="6669" width="13.75" style="2231" customWidth="1"/>
    <col min="6670" max="6912" width="9" style="2231"/>
    <col min="6913" max="6913" width="4.875" style="2231" customWidth="1"/>
    <col min="6914" max="6914" width="13.25" style="2231" customWidth="1"/>
    <col min="6915" max="6915" width="15.625" style="2231" customWidth="1"/>
    <col min="6916" max="6916" width="9.375" style="2231" bestFit="1" customWidth="1"/>
    <col min="6917" max="6917" width="13.5" style="2231" customWidth="1"/>
    <col min="6918" max="6918" width="9" style="2231"/>
    <col min="6919" max="6919" width="9.375" style="2231" bestFit="1" customWidth="1"/>
    <col min="6920" max="6921" width="9" style="2231"/>
    <col min="6922" max="6922" width="9.375" style="2231" bestFit="1" customWidth="1"/>
    <col min="6923" max="6923" width="4" style="2231" customWidth="1"/>
    <col min="6924" max="6924" width="5.125" style="2231" customWidth="1"/>
    <col min="6925" max="6925" width="13.75" style="2231" customWidth="1"/>
    <col min="6926" max="7168" width="9" style="2231"/>
    <col min="7169" max="7169" width="4.875" style="2231" customWidth="1"/>
    <col min="7170" max="7170" width="13.25" style="2231" customWidth="1"/>
    <col min="7171" max="7171" width="15.625" style="2231" customWidth="1"/>
    <col min="7172" max="7172" width="9.375" style="2231" bestFit="1" customWidth="1"/>
    <col min="7173" max="7173" width="13.5" style="2231" customWidth="1"/>
    <col min="7174" max="7174" width="9" style="2231"/>
    <col min="7175" max="7175" width="9.375" style="2231" bestFit="1" customWidth="1"/>
    <col min="7176" max="7177" width="9" style="2231"/>
    <col min="7178" max="7178" width="9.375" style="2231" bestFit="1" customWidth="1"/>
    <col min="7179" max="7179" width="4" style="2231" customWidth="1"/>
    <col min="7180" max="7180" width="5.125" style="2231" customWidth="1"/>
    <col min="7181" max="7181" width="13.75" style="2231" customWidth="1"/>
    <col min="7182" max="7424" width="9" style="2231"/>
    <col min="7425" max="7425" width="4.875" style="2231" customWidth="1"/>
    <col min="7426" max="7426" width="13.25" style="2231" customWidth="1"/>
    <col min="7427" max="7427" width="15.625" style="2231" customWidth="1"/>
    <col min="7428" max="7428" width="9.375" style="2231" bestFit="1" customWidth="1"/>
    <col min="7429" max="7429" width="13.5" style="2231" customWidth="1"/>
    <col min="7430" max="7430" width="9" style="2231"/>
    <col min="7431" max="7431" width="9.375" style="2231" bestFit="1" customWidth="1"/>
    <col min="7432" max="7433" width="9" style="2231"/>
    <col min="7434" max="7434" width="9.375" style="2231" bestFit="1" customWidth="1"/>
    <col min="7435" max="7435" width="4" style="2231" customWidth="1"/>
    <col min="7436" max="7436" width="5.125" style="2231" customWidth="1"/>
    <col min="7437" max="7437" width="13.75" style="2231" customWidth="1"/>
    <col min="7438" max="7680" width="9" style="2231"/>
    <col min="7681" max="7681" width="4.875" style="2231" customWidth="1"/>
    <col min="7682" max="7682" width="13.25" style="2231" customWidth="1"/>
    <col min="7683" max="7683" width="15.625" style="2231" customWidth="1"/>
    <col min="7684" max="7684" width="9.375" style="2231" bestFit="1" customWidth="1"/>
    <col min="7685" max="7685" width="13.5" style="2231" customWidth="1"/>
    <col min="7686" max="7686" width="9" style="2231"/>
    <col min="7687" max="7687" width="9.375" style="2231" bestFit="1" customWidth="1"/>
    <col min="7688" max="7689" width="9" style="2231"/>
    <col min="7690" max="7690" width="9.375" style="2231" bestFit="1" customWidth="1"/>
    <col min="7691" max="7691" width="4" style="2231" customWidth="1"/>
    <col min="7692" max="7692" width="5.125" style="2231" customWidth="1"/>
    <col min="7693" max="7693" width="13.75" style="2231" customWidth="1"/>
    <col min="7694" max="7936" width="9" style="2231"/>
    <col min="7937" max="7937" width="4.875" style="2231" customWidth="1"/>
    <col min="7938" max="7938" width="13.25" style="2231" customWidth="1"/>
    <col min="7939" max="7939" width="15.625" style="2231" customWidth="1"/>
    <col min="7940" max="7940" width="9.375" style="2231" bestFit="1" customWidth="1"/>
    <col min="7941" max="7941" width="13.5" style="2231" customWidth="1"/>
    <col min="7942" max="7942" width="9" style="2231"/>
    <col min="7943" max="7943" width="9.375" style="2231" bestFit="1" customWidth="1"/>
    <col min="7944" max="7945" width="9" style="2231"/>
    <col min="7946" max="7946" width="9.375" style="2231" bestFit="1" customWidth="1"/>
    <col min="7947" max="7947" width="4" style="2231" customWidth="1"/>
    <col min="7948" max="7948" width="5.125" style="2231" customWidth="1"/>
    <col min="7949" max="7949" width="13.75" style="2231" customWidth="1"/>
    <col min="7950" max="8192" width="9" style="2231"/>
    <col min="8193" max="8193" width="4.875" style="2231" customWidth="1"/>
    <col min="8194" max="8194" width="13.25" style="2231" customWidth="1"/>
    <col min="8195" max="8195" width="15.625" style="2231" customWidth="1"/>
    <col min="8196" max="8196" width="9.375" style="2231" bestFit="1" customWidth="1"/>
    <col min="8197" max="8197" width="13.5" style="2231" customWidth="1"/>
    <col min="8198" max="8198" width="9" style="2231"/>
    <col min="8199" max="8199" width="9.375" style="2231" bestFit="1" customWidth="1"/>
    <col min="8200" max="8201" width="9" style="2231"/>
    <col min="8202" max="8202" width="9.375" style="2231" bestFit="1" customWidth="1"/>
    <col min="8203" max="8203" width="4" style="2231" customWidth="1"/>
    <col min="8204" max="8204" width="5.125" style="2231" customWidth="1"/>
    <col min="8205" max="8205" width="13.75" style="2231" customWidth="1"/>
    <col min="8206" max="8448" width="9" style="2231"/>
    <col min="8449" max="8449" width="4.875" style="2231" customWidth="1"/>
    <col min="8450" max="8450" width="13.25" style="2231" customWidth="1"/>
    <col min="8451" max="8451" width="15.625" style="2231" customWidth="1"/>
    <col min="8452" max="8452" width="9.375" style="2231" bestFit="1" customWidth="1"/>
    <col min="8453" max="8453" width="13.5" style="2231" customWidth="1"/>
    <col min="8454" max="8454" width="9" style="2231"/>
    <col min="8455" max="8455" width="9.375" style="2231" bestFit="1" customWidth="1"/>
    <col min="8456" max="8457" width="9" style="2231"/>
    <col min="8458" max="8458" width="9.375" style="2231" bestFit="1" customWidth="1"/>
    <col min="8459" max="8459" width="4" style="2231" customWidth="1"/>
    <col min="8460" max="8460" width="5.125" style="2231" customWidth="1"/>
    <col min="8461" max="8461" width="13.75" style="2231" customWidth="1"/>
    <col min="8462" max="8704" width="9" style="2231"/>
    <col min="8705" max="8705" width="4.875" style="2231" customWidth="1"/>
    <col min="8706" max="8706" width="13.25" style="2231" customWidth="1"/>
    <col min="8707" max="8707" width="15.625" style="2231" customWidth="1"/>
    <col min="8708" max="8708" width="9.375" style="2231" bestFit="1" customWidth="1"/>
    <col min="8709" max="8709" width="13.5" style="2231" customWidth="1"/>
    <col min="8710" max="8710" width="9" style="2231"/>
    <col min="8711" max="8711" width="9.375" style="2231" bestFit="1" customWidth="1"/>
    <col min="8712" max="8713" width="9" style="2231"/>
    <col min="8714" max="8714" width="9.375" style="2231" bestFit="1" customWidth="1"/>
    <col min="8715" max="8715" width="4" style="2231" customWidth="1"/>
    <col min="8716" max="8716" width="5.125" style="2231" customWidth="1"/>
    <col min="8717" max="8717" width="13.75" style="2231" customWidth="1"/>
    <col min="8718" max="8960" width="9" style="2231"/>
    <col min="8961" max="8961" width="4.875" style="2231" customWidth="1"/>
    <col min="8962" max="8962" width="13.25" style="2231" customWidth="1"/>
    <col min="8963" max="8963" width="15.625" style="2231" customWidth="1"/>
    <col min="8964" max="8964" width="9.375" style="2231" bestFit="1" customWidth="1"/>
    <col min="8965" max="8965" width="13.5" style="2231" customWidth="1"/>
    <col min="8966" max="8966" width="9" style="2231"/>
    <col min="8967" max="8967" width="9.375" style="2231" bestFit="1" customWidth="1"/>
    <col min="8968" max="8969" width="9" style="2231"/>
    <col min="8970" max="8970" width="9.375" style="2231" bestFit="1" customWidth="1"/>
    <col min="8971" max="8971" width="4" style="2231" customWidth="1"/>
    <col min="8972" max="8972" width="5.125" style="2231" customWidth="1"/>
    <col min="8973" max="8973" width="13.75" style="2231" customWidth="1"/>
    <col min="8974" max="9216" width="9" style="2231"/>
    <col min="9217" max="9217" width="4.875" style="2231" customWidth="1"/>
    <col min="9218" max="9218" width="13.25" style="2231" customWidth="1"/>
    <col min="9219" max="9219" width="15.625" style="2231" customWidth="1"/>
    <col min="9220" max="9220" width="9.375" style="2231" bestFit="1" customWidth="1"/>
    <col min="9221" max="9221" width="13.5" style="2231" customWidth="1"/>
    <col min="9222" max="9222" width="9" style="2231"/>
    <col min="9223" max="9223" width="9.375" style="2231" bestFit="1" customWidth="1"/>
    <col min="9224" max="9225" width="9" style="2231"/>
    <col min="9226" max="9226" width="9.375" style="2231" bestFit="1" customWidth="1"/>
    <col min="9227" max="9227" width="4" style="2231" customWidth="1"/>
    <col min="9228" max="9228" width="5.125" style="2231" customWidth="1"/>
    <col min="9229" max="9229" width="13.75" style="2231" customWidth="1"/>
    <col min="9230" max="9472" width="9" style="2231"/>
    <col min="9473" max="9473" width="4.875" style="2231" customWidth="1"/>
    <col min="9474" max="9474" width="13.25" style="2231" customWidth="1"/>
    <col min="9475" max="9475" width="15.625" style="2231" customWidth="1"/>
    <col min="9476" max="9476" width="9.375" style="2231" bestFit="1" customWidth="1"/>
    <col min="9477" max="9477" width="13.5" style="2231" customWidth="1"/>
    <col min="9478" max="9478" width="9" style="2231"/>
    <col min="9479" max="9479" width="9.375" style="2231" bestFit="1" customWidth="1"/>
    <col min="9480" max="9481" width="9" style="2231"/>
    <col min="9482" max="9482" width="9.375" style="2231" bestFit="1" customWidth="1"/>
    <col min="9483" max="9483" width="4" style="2231" customWidth="1"/>
    <col min="9484" max="9484" width="5.125" style="2231" customWidth="1"/>
    <col min="9485" max="9485" width="13.75" style="2231" customWidth="1"/>
    <col min="9486" max="9728" width="9" style="2231"/>
    <col min="9729" max="9729" width="4.875" style="2231" customWidth="1"/>
    <col min="9730" max="9730" width="13.25" style="2231" customWidth="1"/>
    <col min="9731" max="9731" width="15.625" style="2231" customWidth="1"/>
    <col min="9732" max="9732" width="9.375" style="2231" bestFit="1" customWidth="1"/>
    <col min="9733" max="9733" width="13.5" style="2231" customWidth="1"/>
    <col min="9734" max="9734" width="9" style="2231"/>
    <col min="9735" max="9735" width="9.375" style="2231" bestFit="1" customWidth="1"/>
    <col min="9736" max="9737" width="9" style="2231"/>
    <col min="9738" max="9738" width="9.375" style="2231" bestFit="1" customWidth="1"/>
    <col min="9739" max="9739" width="4" style="2231" customWidth="1"/>
    <col min="9740" max="9740" width="5.125" style="2231" customWidth="1"/>
    <col min="9741" max="9741" width="13.75" style="2231" customWidth="1"/>
    <col min="9742" max="9984" width="9" style="2231"/>
    <col min="9985" max="9985" width="4.875" style="2231" customWidth="1"/>
    <col min="9986" max="9986" width="13.25" style="2231" customWidth="1"/>
    <col min="9987" max="9987" width="15.625" style="2231" customWidth="1"/>
    <col min="9988" max="9988" width="9.375" style="2231" bestFit="1" customWidth="1"/>
    <col min="9989" max="9989" width="13.5" style="2231" customWidth="1"/>
    <col min="9990" max="9990" width="9" style="2231"/>
    <col min="9991" max="9991" width="9.375" style="2231" bestFit="1" customWidth="1"/>
    <col min="9992" max="9993" width="9" style="2231"/>
    <col min="9994" max="9994" width="9.375" style="2231" bestFit="1" customWidth="1"/>
    <col min="9995" max="9995" width="4" style="2231" customWidth="1"/>
    <col min="9996" max="9996" width="5.125" style="2231" customWidth="1"/>
    <col min="9997" max="9997" width="13.75" style="2231" customWidth="1"/>
    <col min="9998" max="10240" width="9" style="2231"/>
    <col min="10241" max="10241" width="4.875" style="2231" customWidth="1"/>
    <col min="10242" max="10242" width="13.25" style="2231" customWidth="1"/>
    <col min="10243" max="10243" width="15.625" style="2231" customWidth="1"/>
    <col min="10244" max="10244" width="9.375" style="2231" bestFit="1" customWidth="1"/>
    <col min="10245" max="10245" width="13.5" style="2231" customWidth="1"/>
    <col min="10246" max="10246" width="9" style="2231"/>
    <col min="10247" max="10247" width="9.375" style="2231" bestFit="1" customWidth="1"/>
    <col min="10248" max="10249" width="9" style="2231"/>
    <col min="10250" max="10250" width="9.375" style="2231" bestFit="1" customWidth="1"/>
    <col min="10251" max="10251" width="4" style="2231" customWidth="1"/>
    <col min="10252" max="10252" width="5.125" style="2231" customWidth="1"/>
    <col min="10253" max="10253" width="13.75" style="2231" customWidth="1"/>
    <col min="10254" max="10496" width="9" style="2231"/>
    <col min="10497" max="10497" width="4.875" style="2231" customWidth="1"/>
    <col min="10498" max="10498" width="13.25" style="2231" customWidth="1"/>
    <col min="10499" max="10499" width="15.625" style="2231" customWidth="1"/>
    <col min="10500" max="10500" width="9.375" style="2231" bestFit="1" customWidth="1"/>
    <col min="10501" max="10501" width="13.5" style="2231" customWidth="1"/>
    <col min="10502" max="10502" width="9" style="2231"/>
    <col min="10503" max="10503" width="9.375" style="2231" bestFit="1" customWidth="1"/>
    <col min="10504" max="10505" width="9" style="2231"/>
    <col min="10506" max="10506" width="9.375" style="2231" bestFit="1" customWidth="1"/>
    <col min="10507" max="10507" width="4" style="2231" customWidth="1"/>
    <col min="10508" max="10508" width="5.125" style="2231" customWidth="1"/>
    <col min="10509" max="10509" width="13.75" style="2231" customWidth="1"/>
    <col min="10510" max="10752" width="9" style="2231"/>
    <col min="10753" max="10753" width="4.875" style="2231" customWidth="1"/>
    <col min="10754" max="10754" width="13.25" style="2231" customWidth="1"/>
    <col min="10755" max="10755" width="15.625" style="2231" customWidth="1"/>
    <col min="10756" max="10756" width="9.375" style="2231" bestFit="1" customWidth="1"/>
    <col min="10757" max="10757" width="13.5" style="2231" customWidth="1"/>
    <col min="10758" max="10758" width="9" style="2231"/>
    <col min="10759" max="10759" width="9.375" style="2231" bestFit="1" customWidth="1"/>
    <col min="10760" max="10761" width="9" style="2231"/>
    <col min="10762" max="10762" width="9.375" style="2231" bestFit="1" customWidth="1"/>
    <col min="10763" max="10763" width="4" style="2231" customWidth="1"/>
    <col min="10764" max="10764" width="5.125" style="2231" customWidth="1"/>
    <col min="10765" max="10765" width="13.75" style="2231" customWidth="1"/>
    <col min="10766" max="11008" width="9" style="2231"/>
    <col min="11009" max="11009" width="4.875" style="2231" customWidth="1"/>
    <col min="11010" max="11010" width="13.25" style="2231" customWidth="1"/>
    <col min="11011" max="11011" width="15.625" style="2231" customWidth="1"/>
    <col min="11012" max="11012" width="9.375" style="2231" bestFit="1" customWidth="1"/>
    <col min="11013" max="11013" width="13.5" style="2231" customWidth="1"/>
    <col min="11014" max="11014" width="9" style="2231"/>
    <col min="11015" max="11015" width="9.375" style="2231" bestFit="1" customWidth="1"/>
    <col min="11016" max="11017" width="9" style="2231"/>
    <col min="11018" max="11018" width="9.375" style="2231" bestFit="1" customWidth="1"/>
    <col min="11019" max="11019" width="4" style="2231" customWidth="1"/>
    <col min="11020" max="11020" width="5.125" style="2231" customWidth="1"/>
    <col min="11021" max="11021" width="13.75" style="2231" customWidth="1"/>
    <col min="11022" max="11264" width="9" style="2231"/>
    <col min="11265" max="11265" width="4.875" style="2231" customWidth="1"/>
    <col min="11266" max="11266" width="13.25" style="2231" customWidth="1"/>
    <col min="11267" max="11267" width="15.625" style="2231" customWidth="1"/>
    <col min="11268" max="11268" width="9.375" style="2231" bestFit="1" customWidth="1"/>
    <col min="11269" max="11269" width="13.5" style="2231" customWidth="1"/>
    <col min="11270" max="11270" width="9" style="2231"/>
    <col min="11271" max="11271" width="9.375" style="2231" bestFit="1" customWidth="1"/>
    <col min="11272" max="11273" width="9" style="2231"/>
    <col min="11274" max="11274" width="9.375" style="2231" bestFit="1" customWidth="1"/>
    <col min="11275" max="11275" width="4" style="2231" customWidth="1"/>
    <col min="11276" max="11276" width="5.125" style="2231" customWidth="1"/>
    <col min="11277" max="11277" width="13.75" style="2231" customWidth="1"/>
    <col min="11278" max="11520" width="9" style="2231"/>
    <col min="11521" max="11521" width="4.875" style="2231" customWidth="1"/>
    <col min="11522" max="11522" width="13.25" style="2231" customWidth="1"/>
    <col min="11523" max="11523" width="15.625" style="2231" customWidth="1"/>
    <col min="11524" max="11524" width="9.375" style="2231" bestFit="1" customWidth="1"/>
    <col min="11525" max="11525" width="13.5" style="2231" customWidth="1"/>
    <col min="11526" max="11526" width="9" style="2231"/>
    <col min="11527" max="11527" width="9.375" style="2231" bestFit="1" customWidth="1"/>
    <col min="11528" max="11529" width="9" style="2231"/>
    <col min="11530" max="11530" width="9.375" style="2231" bestFit="1" customWidth="1"/>
    <col min="11531" max="11531" width="4" style="2231" customWidth="1"/>
    <col min="11532" max="11532" width="5.125" style="2231" customWidth="1"/>
    <col min="11533" max="11533" width="13.75" style="2231" customWidth="1"/>
    <col min="11534" max="11776" width="9" style="2231"/>
    <col min="11777" max="11777" width="4.875" style="2231" customWidth="1"/>
    <col min="11778" max="11778" width="13.25" style="2231" customWidth="1"/>
    <col min="11779" max="11779" width="15.625" style="2231" customWidth="1"/>
    <col min="11780" max="11780" width="9.375" style="2231" bestFit="1" customWidth="1"/>
    <col min="11781" max="11781" width="13.5" style="2231" customWidth="1"/>
    <col min="11782" max="11782" width="9" style="2231"/>
    <col min="11783" max="11783" width="9.375" style="2231" bestFit="1" customWidth="1"/>
    <col min="11784" max="11785" width="9" style="2231"/>
    <col min="11786" max="11786" width="9.375" style="2231" bestFit="1" customWidth="1"/>
    <col min="11787" max="11787" width="4" style="2231" customWidth="1"/>
    <col min="11788" max="11788" width="5.125" style="2231" customWidth="1"/>
    <col min="11789" max="11789" width="13.75" style="2231" customWidth="1"/>
    <col min="11790" max="12032" width="9" style="2231"/>
    <col min="12033" max="12033" width="4.875" style="2231" customWidth="1"/>
    <col min="12034" max="12034" width="13.25" style="2231" customWidth="1"/>
    <col min="12035" max="12035" width="15.625" style="2231" customWidth="1"/>
    <col min="12036" max="12036" width="9.375" style="2231" bestFit="1" customWidth="1"/>
    <col min="12037" max="12037" width="13.5" style="2231" customWidth="1"/>
    <col min="12038" max="12038" width="9" style="2231"/>
    <col min="12039" max="12039" width="9.375" style="2231" bestFit="1" customWidth="1"/>
    <col min="12040" max="12041" width="9" style="2231"/>
    <col min="12042" max="12042" width="9.375" style="2231" bestFit="1" customWidth="1"/>
    <col min="12043" max="12043" width="4" style="2231" customWidth="1"/>
    <col min="12044" max="12044" width="5.125" style="2231" customWidth="1"/>
    <col min="12045" max="12045" width="13.75" style="2231" customWidth="1"/>
    <col min="12046" max="12288" width="9" style="2231"/>
    <col min="12289" max="12289" width="4.875" style="2231" customWidth="1"/>
    <col min="12290" max="12290" width="13.25" style="2231" customWidth="1"/>
    <col min="12291" max="12291" width="15.625" style="2231" customWidth="1"/>
    <col min="12292" max="12292" width="9.375" style="2231" bestFit="1" customWidth="1"/>
    <col min="12293" max="12293" width="13.5" style="2231" customWidth="1"/>
    <col min="12294" max="12294" width="9" style="2231"/>
    <col min="12295" max="12295" width="9.375" style="2231" bestFit="1" customWidth="1"/>
    <col min="12296" max="12297" width="9" style="2231"/>
    <col min="12298" max="12298" width="9.375" style="2231" bestFit="1" customWidth="1"/>
    <col min="12299" max="12299" width="4" style="2231" customWidth="1"/>
    <col min="12300" max="12300" width="5.125" style="2231" customWidth="1"/>
    <col min="12301" max="12301" width="13.75" style="2231" customWidth="1"/>
    <col min="12302" max="12544" width="9" style="2231"/>
    <col min="12545" max="12545" width="4.875" style="2231" customWidth="1"/>
    <col min="12546" max="12546" width="13.25" style="2231" customWidth="1"/>
    <col min="12547" max="12547" width="15.625" style="2231" customWidth="1"/>
    <col min="12548" max="12548" width="9.375" style="2231" bestFit="1" customWidth="1"/>
    <col min="12549" max="12549" width="13.5" style="2231" customWidth="1"/>
    <col min="12550" max="12550" width="9" style="2231"/>
    <col min="12551" max="12551" width="9.375" style="2231" bestFit="1" customWidth="1"/>
    <col min="12552" max="12553" width="9" style="2231"/>
    <col min="12554" max="12554" width="9.375" style="2231" bestFit="1" customWidth="1"/>
    <col min="12555" max="12555" width="4" style="2231" customWidth="1"/>
    <col min="12556" max="12556" width="5.125" style="2231" customWidth="1"/>
    <col min="12557" max="12557" width="13.75" style="2231" customWidth="1"/>
    <col min="12558" max="12800" width="9" style="2231"/>
    <col min="12801" max="12801" width="4.875" style="2231" customWidth="1"/>
    <col min="12802" max="12802" width="13.25" style="2231" customWidth="1"/>
    <col min="12803" max="12803" width="15.625" style="2231" customWidth="1"/>
    <col min="12804" max="12804" width="9.375" style="2231" bestFit="1" customWidth="1"/>
    <col min="12805" max="12805" width="13.5" style="2231" customWidth="1"/>
    <col min="12806" max="12806" width="9" style="2231"/>
    <col min="12807" max="12807" width="9.375" style="2231" bestFit="1" customWidth="1"/>
    <col min="12808" max="12809" width="9" style="2231"/>
    <col min="12810" max="12810" width="9.375" style="2231" bestFit="1" customWidth="1"/>
    <col min="12811" max="12811" width="4" style="2231" customWidth="1"/>
    <col min="12812" max="12812" width="5.125" style="2231" customWidth="1"/>
    <col min="12813" max="12813" width="13.75" style="2231" customWidth="1"/>
    <col min="12814" max="13056" width="9" style="2231"/>
    <col min="13057" max="13057" width="4.875" style="2231" customWidth="1"/>
    <col min="13058" max="13058" width="13.25" style="2231" customWidth="1"/>
    <col min="13059" max="13059" width="15.625" style="2231" customWidth="1"/>
    <col min="13060" max="13060" width="9.375" style="2231" bestFit="1" customWidth="1"/>
    <col min="13061" max="13061" width="13.5" style="2231" customWidth="1"/>
    <col min="13062" max="13062" width="9" style="2231"/>
    <col min="13063" max="13063" width="9.375" style="2231" bestFit="1" customWidth="1"/>
    <col min="13064" max="13065" width="9" style="2231"/>
    <col min="13066" max="13066" width="9.375" style="2231" bestFit="1" customWidth="1"/>
    <col min="13067" max="13067" width="4" style="2231" customWidth="1"/>
    <col min="13068" max="13068" width="5.125" style="2231" customWidth="1"/>
    <col min="13069" max="13069" width="13.75" style="2231" customWidth="1"/>
    <col min="13070" max="13312" width="9" style="2231"/>
    <col min="13313" max="13313" width="4.875" style="2231" customWidth="1"/>
    <col min="13314" max="13314" width="13.25" style="2231" customWidth="1"/>
    <col min="13315" max="13315" width="15.625" style="2231" customWidth="1"/>
    <col min="13316" max="13316" width="9.375" style="2231" bestFit="1" customWidth="1"/>
    <col min="13317" max="13317" width="13.5" style="2231" customWidth="1"/>
    <col min="13318" max="13318" width="9" style="2231"/>
    <col min="13319" max="13319" width="9.375" style="2231" bestFit="1" customWidth="1"/>
    <col min="13320" max="13321" width="9" style="2231"/>
    <col min="13322" max="13322" width="9.375" style="2231" bestFit="1" customWidth="1"/>
    <col min="13323" max="13323" width="4" style="2231" customWidth="1"/>
    <col min="13324" max="13324" width="5.125" style="2231" customWidth="1"/>
    <col min="13325" max="13325" width="13.75" style="2231" customWidth="1"/>
    <col min="13326" max="13568" width="9" style="2231"/>
    <col min="13569" max="13569" width="4.875" style="2231" customWidth="1"/>
    <col min="13570" max="13570" width="13.25" style="2231" customWidth="1"/>
    <col min="13571" max="13571" width="15.625" style="2231" customWidth="1"/>
    <col min="13572" max="13572" width="9.375" style="2231" bestFit="1" customWidth="1"/>
    <col min="13573" max="13573" width="13.5" style="2231" customWidth="1"/>
    <col min="13574" max="13574" width="9" style="2231"/>
    <col min="13575" max="13575" width="9.375" style="2231" bestFit="1" customWidth="1"/>
    <col min="13576" max="13577" width="9" style="2231"/>
    <col min="13578" max="13578" width="9.375" style="2231" bestFit="1" customWidth="1"/>
    <col min="13579" max="13579" width="4" style="2231" customWidth="1"/>
    <col min="13580" max="13580" width="5.125" style="2231" customWidth="1"/>
    <col min="13581" max="13581" width="13.75" style="2231" customWidth="1"/>
    <col min="13582" max="13824" width="9" style="2231"/>
    <col min="13825" max="13825" width="4.875" style="2231" customWidth="1"/>
    <col min="13826" max="13826" width="13.25" style="2231" customWidth="1"/>
    <col min="13827" max="13827" width="15.625" style="2231" customWidth="1"/>
    <col min="13828" max="13828" width="9.375" style="2231" bestFit="1" customWidth="1"/>
    <col min="13829" max="13829" width="13.5" style="2231" customWidth="1"/>
    <col min="13830" max="13830" width="9" style="2231"/>
    <col min="13831" max="13831" width="9.375" style="2231" bestFit="1" customWidth="1"/>
    <col min="13832" max="13833" width="9" style="2231"/>
    <col min="13834" max="13834" width="9.375" style="2231" bestFit="1" customWidth="1"/>
    <col min="13835" max="13835" width="4" style="2231" customWidth="1"/>
    <col min="13836" max="13836" width="5.125" style="2231" customWidth="1"/>
    <col min="13837" max="13837" width="13.75" style="2231" customWidth="1"/>
    <col min="13838" max="14080" width="9" style="2231"/>
    <col min="14081" max="14081" width="4.875" style="2231" customWidth="1"/>
    <col min="14082" max="14082" width="13.25" style="2231" customWidth="1"/>
    <col min="14083" max="14083" width="15.625" style="2231" customWidth="1"/>
    <col min="14084" max="14084" width="9.375" style="2231" bestFit="1" customWidth="1"/>
    <col min="14085" max="14085" width="13.5" style="2231" customWidth="1"/>
    <col min="14086" max="14086" width="9" style="2231"/>
    <col min="14087" max="14087" width="9.375" style="2231" bestFit="1" customWidth="1"/>
    <col min="14088" max="14089" width="9" style="2231"/>
    <col min="14090" max="14090" width="9.375" style="2231" bestFit="1" customWidth="1"/>
    <col min="14091" max="14091" width="4" style="2231" customWidth="1"/>
    <col min="14092" max="14092" width="5.125" style="2231" customWidth="1"/>
    <col min="14093" max="14093" width="13.75" style="2231" customWidth="1"/>
    <col min="14094" max="14336" width="9" style="2231"/>
    <col min="14337" max="14337" width="4.875" style="2231" customWidth="1"/>
    <col min="14338" max="14338" width="13.25" style="2231" customWidth="1"/>
    <col min="14339" max="14339" width="15.625" style="2231" customWidth="1"/>
    <col min="14340" max="14340" width="9.375" style="2231" bestFit="1" customWidth="1"/>
    <col min="14341" max="14341" width="13.5" style="2231" customWidth="1"/>
    <col min="14342" max="14342" width="9" style="2231"/>
    <col min="14343" max="14343" width="9.375" style="2231" bestFit="1" customWidth="1"/>
    <col min="14344" max="14345" width="9" style="2231"/>
    <col min="14346" max="14346" width="9.375" style="2231" bestFit="1" customWidth="1"/>
    <col min="14347" max="14347" width="4" style="2231" customWidth="1"/>
    <col min="14348" max="14348" width="5.125" style="2231" customWidth="1"/>
    <col min="14349" max="14349" width="13.75" style="2231" customWidth="1"/>
    <col min="14350" max="14592" width="9" style="2231"/>
    <col min="14593" max="14593" width="4.875" style="2231" customWidth="1"/>
    <col min="14594" max="14594" width="13.25" style="2231" customWidth="1"/>
    <col min="14595" max="14595" width="15.625" style="2231" customWidth="1"/>
    <col min="14596" max="14596" width="9.375" style="2231" bestFit="1" customWidth="1"/>
    <col min="14597" max="14597" width="13.5" style="2231" customWidth="1"/>
    <col min="14598" max="14598" width="9" style="2231"/>
    <col min="14599" max="14599" width="9.375" style="2231" bestFit="1" customWidth="1"/>
    <col min="14600" max="14601" width="9" style="2231"/>
    <col min="14602" max="14602" width="9.375" style="2231" bestFit="1" customWidth="1"/>
    <col min="14603" max="14603" width="4" style="2231" customWidth="1"/>
    <col min="14604" max="14604" width="5.125" style="2231" customWidth="1"/>
    <col min="14605" max="14605" width="13.75" style="2231" customWidth="1"/>
    <col min="14606" max="14848" width="9" style="2231"/>
    <col min="14849" max="14849" width="4.875" style="2231" customWidth="1"/>
    <col min="14850" max="14850" width="13.25" style="2231" customWidth="1"/>
    <col min="14851" max="14851" width="15.625" style="2231" customWidth="1"/>
    <col min="14852" max="14852" width="9.375" style="2231" bestFit="1" customWidth="1"/>
    <col min="14853" max="14853" width="13.5" style="2231" customWidth="1"/>
    <col min="14854" max="14854" width="9" style="2231"/>
    <col min="14855" max="14855" width="9.375" style="2231" bestFit="1" customWidth="1"/>
    <col min="14856" max="14857" width="9" style="2231"/>
    <col min="14858" max="14858" width="9.375" style="2231" bestFit="1" customWidth="1"/>
    <col min="14859" max="14859" width="4" style="2231" customWidth="1"/>
    <col min="14860" max="14860" width="5.125" style="2231" customWidth="1"/>
    <col min="14861" max="14861" width="13.75" style="2231" customWidth="1"/>
    <col min="14862" max="15104" width="9" style="2231"/>
    <col min="15105" max="15105" width="4.875" style="2231" customWidth="1"/>
    <col min="15106" max="15106" width="13.25" style="2231" customWidth="1"/>
    <col min="15107" max="15107" width="15.625" style="2231" customWidth="1"/>
    <col min="15108" max="15108" width="9.375" style="2231" bestFit="1" customWidth="1"/>
    <col min="15109" max="15109" width="13.5" style="2231" customWidth="1"/>
    <col min="15110" max="15110" width="9" style="2231"/>
    <col min="15111" max="15111" width="9.375" style="2231" bestFit="1" customWidth="1"/>
    <col min="15112" max="15113" width="9" style="2231"/>
    <col min="15114" max="15114" width="9.375" style="2231" bestFit="1" customWidth="1"/>
    <col min="15115" max="15115" width="4" style="2231" customWidth="1"/>
    <col min="15116" max="15116" width="5.125" style="2231" customWidth="1"/>
    <col min="15117" max="15117" width="13.75" style="2231" customWidth="1"/>
    <col min="15118" max="15360" width="9" style="2231"/>
    <col min="15361" max="15361" width="4.875" style="2231" customWidth="1"/>
    <col min="15362" max="15362" width="13.25" style="2231" customWidth="1"/>
    <col min="15363" max="15363" width="15.625" style="2231" customWidth="1"/>
    <col min="15364" max="15364" width="9.375" style="2231" bestFit="1" customWidth="1"/>
    <col min="15365" max="15365" width="13.5" style="2231" customWidth="1"/>
    <col min="15366" max="15366" width="9" style="2231"/>
    <col min="15367" max="15367" width="9.375" style="2231" bestFit="1" customWidth="1"/>
    <col min="15368" max="15369" width="9" style="2231"/>
    <col min="15370" max="15370" width="9.375" style="2231" bestFit="1" customWidth="1"/>
    <col min="15371" max="15371" width="4" style="2231" customWidth="1"/>
    <col min="15372" max="15372" width="5.125" style="2231" customWidth="1"/>
    <col min="15373" max="15373" width="13.75" style="2231" customWidth="1"/>
    <col min="15374" max="15616" width="9" style="2231"/>
    <col min="15617" max="15617" width="4.875" style="2231" customWidth="1"/>
    <col min="15618" max="15618" width="13.25" style="2231" customWidth="1"/>
    <col min="15619" max="15619" width="15.625" style="2231" customWidth="1"/>
    <col min="15620" max="15620" width="9.375" style="2231" bestFit="1" customWidth="1"/>
    <col min="15621" max="15621" width="13.5" style="2231" customWidth="1"/>
    <col min="15622" max="15622" width="9" style="2231"/>
    <col min="15623" max="15623" width="9.375" style="2231" bestFit="1" customWidth="1"/>
    <col min="15624" max="15625" width="9" style="2231"/>
    <col min="15626" max="15626" width="9.375" style="2231" bestFit="1" customWidth="1"/>
    <col min="15627" max="15627" width="4" style="2231" customWidth="1"/>
    <col min="15628" max="15628" width="5.125" style="2231" customWidth="1"/>
    <col min="15629" max="15629" width="13.75" style="2231" customWidth="1"/>
    <col min="15630" max="15872" width="9" style="2231"/>
    <col min="15873" max="15873" width="4.875" style="2231" customWidth="1"/>
    <col min="15874" max="15874" width="13.25" style="2231" customWidth="1"/>
    <col min="15875" max="15875" width="15.625" style="2231" customWidth="1"/>
    <col min="15876" max="15876" width="9.375" style="2231" bestFit="1" customWidth="1"/>
    <col min="15877" max="15877" width="13.5" style="2231" customWidth="1"/>
    <col min="15878" max="15878" width="9" style="2231"/>
    <col min="15879" max="15879" width="9.375" style="2231" bestFit="1" customWidth="1"/>
    <col min="15880" max="15881" width="9" style="2231"/>
    <col min="15882" max="15882" width="9.375" style="2231" bestFit="1" customWidth="1"/>
    <col min="15883" max="15883" width="4" style="2231" customWidth="1"/>
    <col min="15884" max="15884" width="5.125" style="2231" customWidth="1"/>
    <col min="15885" max="15885" width="13.75" style="2231" customWidth="1"/>
    <col min="15886" max="16128" width="9" style="2231"/>
    <col min="16129" max="16129" width="4.875" style="2231" customWidth="1"/>
    <col min="16130" max="16130" width="13.25" style="2231" customWidth="1"/>
    <col min="16131" max="16131" width="15.625" style="2231" customWidth="1"/>
    <col min="16132" max="16132" width="9.375" style="2231" bestFit="1" customWidth="1"/>
    <col min="16133" max="16133" width="13.5" style="2231" customWidth="1"/>
    <col min="16134" max="16134" width="9" style="2231"/>
    <col min="16135" max="16135" width="9.375" style="2231" bestFit="1" customWidth="1"/>
    <col min="16136" max="16137" width="9" style="2231"/>
    <col min="16138" max="16138" width="9.375" style="2231" bestFit="1" customWidth="1"/>
    <col min="16139" max="16139" width="4" style="2231" customWidth="1"/>
    <col min="16140" max="16140" width="5.125" style="2231" customWidth="1"/>
    <col min="16141" max="16141" width="13.75" style="2231" customWidth="1"/>
    <col min="16142" max="16384" width="9" style="2231"/>
  </cols>
  <sheetData>
    <row r="1" spans="1:257" s="2285" customFormat="1" ht="14.25" thickBot="1">
      <c r="A1" s="2233"/>
      <c r="B1" s="2287" t="s">
        <v>2063</v>
      </c>
      <c r="C1" s="2291">
        <f>项目基本情况!D3</f>
        <v>45617</v>
      </c>
      <c r="H1" s="2230">
        <f>IF(C1&gt;C13,0,MATCH(C1,C$13:C$114,-1))+IF(SUMIF(C13:C114,C1,D13:D114)=0,13,12)</f>
        <v>13</v>
      </c>
      <c r="I1" s="2230">
        <f>MATCH(C2,H3:H7,1)+IF(SUMIF(H3:H7,C2,I3:I7)=0,2,1)</f>
        <v>5</v>
      </c>
      <c r="J1" s="2286">
        <f ca="1">MATCH(C3,H3:H7,1)+IF(SUMIF(H3:H7,C3,J3:J7)=0,2,1)</f>
        <v>2</v>
      </c>
      <c r="N1" s="2230">
        <f>IF(C1&gt;M13,0,MATCH(C1,M$13:M$100,-1))+IF(SUMIF(M13:M100,C1,N13:N100)=0,13,12)</f>
        <v>13</v>
      </c>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3"/>
      <c r="BF1" s="2233"/>
      <c r="BG1" s="2233"/>
      <c r="BH1" s="2233"/>
      <c r="BI1" s="2233"/>
      <c r="BJ1" s="2233"/>
      <c r="BK1" s="2233"/>
      <c r="BL1" s="2233"/>
      <c r="BM1" s="2233"/>
      <c r="BN1" s="2233"/>
      <c r="BO1" s="2233"/>
      <c r="BP1" s="2233"/>
      <c r="BQ1" s="2233"/>
      <c r="BR1" s="2233"/>
      <c r="BS1" s="2233"/>
      <c r="BT1" s="2233"/>
      <c r="BU1" s="2233"/>
      <c r="BV1" s="2233"/>
      <c r="BW1" s="2233"/>
      <c r="BX1" s="2233"/>
      <c r="BY1" s="2233"/>
      <c r="BZ1" s="2233"/>
      <c r="CA1" s="2233"/>
      <c r="CB1" s="2233"/>
      <c r="CC1" s="2233"/>
      <c r="CD1" s="2233"/>
      <c r="CE1" s="2233"/>
      <c r="CF1" s="2233"/>
      <c r="CG1" s="2233"/>
      <c r="CH1" s="2233"/>
      <c r="CI1" s="2233"/>
      <c r="CJ1" s="2233"/>
      <c r="CK1" s="2233"/>
      <c r="CL1" s="2233"/>
      <c r="CM1" s="2233"/>
      <c r="CN1" s="2233"/>
      <c r="CO1" s="2233"/>
      <c r="CP1" s="2233"/>
      <c r="CQ1" s="2233"/>
      <c r="CR1" s="2233"/>
      <c r="CS1" s="2233"/>
      <c r="CT1" s="2233"/>
      <c r="CU1" s="2233"/>
      <c r="CV1" s="2233"/>
      <c r="CW1" s="2233"/>
      <c r="CX1" s="2233"/>
      <c r="CY1" s="2233"/>
      <c r="CZ1" s="2233"/>
      <c r="DA1" s="2233"/>
      <c r="DB1" s="2233"/>
      <c r="DC1" s="2233"/>
      <c r="DD1" s="2233"/>
      <c r="DE1" s="2233"/>
      <c r="DF1" s="2233"/>
      <c r="DG1" s="2233"/>
      <c r="DH1" s="2233"/>
      <c r="DI1" s="2233"/>
      <c r="DJ1" s="2233"/>
      <c r="DK1" s="2233"/>
      <c r="DL1" s="2233"/>
      <c r="DM1" s="2233"/>
      <c r="DN1" s="2233"/>
      <c r="DO1" s="2233"/>
      <c r="DP1" s="2233"/>
      <c r="DQ1" s="2233"/>
      <c r="DR1" s="2233"/>
      <c r="DS1" s="2233"/>
      <c r="DT1" s="2233"/>
      <c r="DU1" s="2233"/>
      <c r="DV1" s="2233"/>
      <c r="DW1" s="2233"/>
      <c r="DX1" s="2233"/>
      <c r="DY1" s="2233"/>
      <c r="DZ1" s="2233"/>
      <c r="EA1" s="2233"/>
      <c r="EB1" s="2233"/>
      <c r="EC1" s="2233"/>
      <c r="ED1" s="2233"/>
      <c r="EE1" s="2233"/>
      <c r="EF1" s="2233"/>
      <c r="EG1" s="2233"/>
      <c r="EH1" s="2233"/>
      <c r="EI1" s="2233"/>
      <c r="EJ1" s="2233"/>
      <c r="EK1" s="2233"/>
      <c r="EL1" s="2233"/>
      <c r="EM1" s="2233"/>
      <c r="EN1" s="2233"/>
      <c r="EO1" s="2233"/>
      <c r="EP1" s="2233"/>
      <c r="EQ1" s="2233"/>
      <c r="ER1" s="2233"/>
      <c r="ES1" s="2233"/>
      <c r="ET1" s="2233"/>
      <c r="EU1" s="2233"/>
      <c r="EV1" s="2233"/>
      <c r="EW1" s="2233"/>
      <c r="EX1" s="2233"/>
      <c r="EY1" s="2233"/>
      <c r="EZ1" s="2233"/>
      <c r="FA1" s="2233"/>
      <c r="FB1" s="2233"/>
      <c r="FC1" s="2233"/>
      <c r="FD1" s="2233"/>
      <c r="FE1" s="2233"/>
      <c r="FF1" s="2233"/>
      <c r="FG1" s="2233"/>
      <c r="FH1" s="2233"/>
      <c r="FI1" s="2233"/>
      <c r="FJ1" s="2233"/>
      <c r="FK1" s="2233"/>
      <c r="FL1" s="2233"/>
      <c r="FM1" s="2233"/>
      <c r="FN1" s="2233"/>
      <c r="FO1" s="2233"/>
      <c r="FP1" s="2233"/>
      <c r="FQ1" s="2233"/>
      <c r="FR1" s="2233"/>
      <c r="FS1" s="2233"/>
      <c r="FT1" s="2233"/>
      <c r="FU1" s="2233"/>
      <c r="FV1" s="2233"/>
      <c r="FW1" s="2233"/>
      <c r="FX1" s="2233"/>
      <c r="FY1" s="2233"/>
      <c r="FZ1" s="2233"/>
      <c r="GA1" s="2233"/>
      <c r="GB1" s="2233"/>
      <c r="GC1" s="2233"/>
      <c r="GD1" s="2233"/>
      <c r="GE1" s="2233"/>
      <c r="GF1" s="2233"/>
      <c r="GG1" s="2233"/>
      <c r="GH1" s="2233"/>
      <c r="GI1" s="2233"/>
      <c r="GJ1" s="2233"/>
      <c r="GK1" s="2233"/>
      <c r="GL1" s="2233"/>
      <c r="GM1" s="2233"/>
      <c r="GN1" s="2233"/>
      <c r="GO1" s="2233"/>
      <c r="GP1" s="2233"/>
      <c r="GQ1" s="2233"/>
      <c r="GR1" s="2233"/>
      <c r="GS1" s="2233"/>
      <c r="GT1" s="2233"/>
      <c r="GU1" s="2233"/>
      <c r="GV1" s="2233"/>
      <c r="GW1" s="2233"/>
      <c r="GX1" s="2233"/>
      <c r="GY1" s="2233"/>
      <c r="GZ1" s="2233"/>
      <c r="HA1" s="2233"/>
      <c r="HB1" s="2233"/>
      <c r="HC1" s="2233"/>
      <c r="HD1" s="2233"/>
      <c r="HE1" s="2233"/>
      <c r="HF1" s="2233"/>
      <c r="HG1" s="2233"/>
      <c r="HH1" s="2233"/>
      <c r="HI1" s="2233"/>
      <c r="HJ1" s="2233"/>
      <c r="HK1" s="2233"/>
      <c r="HL1" s="2233"/>
      <c r="HM1" s="2233"/>
      <c r="HN1" s="2233"/>
      <c r="HO1" s="2233"/>
      <c r="HP1" s="2233"/>
      <c r="HQ1" s="2233"/>
      <c r="HR1" s="2233"/>
      <c r="HS1" s="2233"/>
      <c r="HT1" s="2233"/>
      <c r="HU1" s="2233"/>
      <c r="HV1" s="2233"/>
      <c r="HW1" s="2233"/>
      <c r="HX1" s="2233"/>
      <c r="HY1" s="2233"/>
      <c r="HZ1" s="2233"/>
      <c r="IA1" s="2233"/>
      <c r="IB1" s="2233"/>
      <c r="IC1" s="2233"/>
      <c r="ID1" s="2233"/>
      <c r="IE1" s="2233"/>
      <c r="IF1" s="2233"/>
      <c r="IG1" s="2233"/>
      <c r="IH1" s="2233"/>
      <c r="II1" s="2233"/>
      <c r="IJ1" s="2233"/>
      <c r="IK1" s="2233"/>
      <c r="IL1" s="2233"/>
      <c r="IM1" s="2233"/>
      <c r="IN1" s="2233"/>
      <c r="IO1" s="2233"/>
      <c r="IP1" s="2233"/>
      <c r="IQ1" s="2233"/>
      <c r="IR1" s="2233"/>
      <c r="IS1" s="2233"/>
      <c r="IT1" s="2233"/>
      <c r="IU1" s="2233"/>
      <c r="IV1" s="2233"/>
    </row>
    <row r="2" spans="1:257" s="2285" customFormat="1" ht="15" thickTop="1" thickBot="1">
      <c r="A2" s="2232"/>
      <c r="B2" s="2288" t="s">
        <v>2094</v>
      </c>
      <c r="C2" s="2292">
        <f>'数据-取费表'!B22</f>
        <v>2</v>
      </c>
      <c r="D2" s="2287" t="s">
        <v>2064</v>
      </c>
      <c r="E2" s="2290">
        <f ca="1">INDIRECT("I"&amp;$I$1)/100</f>
        <v>3.1E-2</v>
      </c>
      <c r="G2" s="2232"/>
      <c r="H2" s="2232"/>
      <c r="I2" s="2232" t="s">
        <v>2065</v>
      </c>
      <c r="K2" s="2232"/>
      <c r="L2" s="2232"/>
      <c r="M2" s="2232"/>
      <c r="N2" s="2232" t="s">
        <v>2066</v>
      </c>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c r="BP2" s="2232"/>
      <c r="BQ2" s="2232"/>
      <c r="BR2" s="2232"/>
      <c r="BS2" s="2232"/>
      <c r="BT2" s="2232"/>
      <c r="BU2" s="2232"/>
      <c r="BV2" s="2232"/>
      <c r="BW2" s="2232"/>
      <c r="BX2" s="2232"/>
      <c r="BY2" s="2232"/>
      <c r="BZ2" s="2232"/>
      <c r="CA2" s="2232"/>
      <c r="CB2" s="2232"/>
      <c r="CC2" s="2232"/>
      <c r="CD2" s="2232"/>
      <c r="CE2" s="2232"/>
      <c r="CF2" s="2232"/>
      <c r="CG2" s="2232"/>
      <c r="CH2" s="2232"/>
      <c r="CI2" s="2232"/>
      <c r="CJ2" s="2232"/>
      <c r="CK2" s="2232"/>
      <c r="CL2" s="2232"/>
      <c r="CM2" s="2232"/>
      <c r="CN2" s="2232"/>
      <c r="CO2" s="2232"/>
      <c r="CP2" s="2232"/>
      <c r="CQ2" s="2232"/>
      <c r="CR2" s="2232"/>
      <c r="CS2" s="2232"/>
      <c r="CT2" s="2232"/>
      <c r="CU2" s="2232"/>
      <c r="CV2" s="2232"/>
      <c r="CW2" s="2232"/>
      <c r="CX2" s="2232"/>
      <c r="CY2" s="2232"/>
      <c r="CZ2" s="2232"/>
      <c r="DA2" s="2232"/>
      <c r="DB2" s="2232"/>
      <c r="DC2" s="2232"/>
      <c r="DD2" s="2232"/>
      <c r="DE2" s="2232"/>
      <c r="DF2" s="2232"/>
      <c r="DG2" s="2232"/>
      <c r="DH2" s="2232"/>
      <c r="DI2" s="2232"/>
      <c r="DJ2" s="2232"/>
      <c r="DK2" s="2232"/>
      <c r="DL2" s="2232"/>
      <c r="DM2" s="2232"/>
      <c r="DN2" s="2232"/>
      <c r="DO2" s="2232"/>
      <c r="DP2" s="2232"/>
      <c r="DQ2" s="2232"/>
      <c r="DR2" s="2232"/>
      <c r="DS2" s="2232"/>
      <c r="DT2" s="2232"/>
      <c r="DU2" s="2232"/>
      <c r="DV2" s="2232"/>
      <c r="DW2" s="2232"/>
      <c r="DX2" s="2232"/>
      <c r="DY2" s="2232"/>
      <c r="DZ2" s="2232"/>
      <c r="EA2" s="2232"/>
      <c r="EB2" s="2232"/>
      <c r="EC2" s="2232"/>
      <c r="ED2" s="2232"/>
      <c r="EE2" s="2232"/>
      <c r="EF2" s="2232"/>
      <c r="EG2" s="2232"/>
      <c r="EH2" s="2232"/>
      <c r="EI2" s="2232"/>
      <c r="EJ2" s="2232"/>
      <c r="EK2" s="2232"/>
      <c r="EL2" s="2232"/>
      <c r="EM2" s="2232"/>
      <c r="EN2" s="2232"/>
      <c r="EO2" s="2232"/>
      <c r="EP2" s="2232"/>
      <c r="EQ2" s="2232"/>
      <c r="ER2" s="2232"/>
      <c r="ES2" s="2232"/>
      <c r="ET2" s="2232"/>
      <c r="EU2" s="2232"/>
      <c r="EV2" s="2232"/>
      <c r="EW2" s="2232"/>
      <c r="EX2" s="2232"/>
      <c r="EY2" s="2232"/>
      <c r="EZ2" s="2232"/>
      <c r="FA2" s="2232"/>
      <c r="FB2" s="2232"/>
      <c r="FC2" s="2232"/>
      <c r="FD2" s="2232"/>
      <c r="FE2" s="2232"/>
      <c r="FF2" s="2232"/>
      <c r="FG2" s="2232"/>
      <c r="FH2" s="2232"/>
      <c r="FI2" s="2232"/>
      <c r="FJ2" s="2232"/>
      <c r="FK2" s="2232"/>
      <c r="FL2" s="2232"/>
      <c r="FM2" s="2232"/>
      <c r="FN2" s="2232"/>
      <c r="FO2" s="2232"/>
      <c r="FP2" s="2232"/>
      <c r="FQ2" s="2232"/>
      <c r="FR2" s="2232"/>
      <c r="FS2" s="2232"/>
      <c r="FT2" s="2232"/>
      <c r="FU2" s="2232"/>
      <c r="FV2" s="2232"/>
      <c r="FW2" s="2232"/>
      <c r="FX2" s="2232"/>
      <c r="FY2" s="2232"/>
      <c r="FZ2" s="2232"/>
      <c r="GA2" s="2232"/>
      <c r="GB2" s="2232"/>
      <c r="GC2" s="2232"/>
      <c r="GD2" s="2232"/>
      <c r="GE2" s="2232"/>
      <c r="GF2" s="2232"/>
      <c r="GG2" s="2232"/>
      <c r="GH2" s="2232"/>
      <c r="GI2" s="2232"/>
      <c r="GJ2" s="2232"/>
      <c r="GK2" s="2232"/>
      <c r="GL2" s="2232"/>
      <c r="GM2" s="2232"/>
      <c r="GN2" s="2232"/>
      <c r="GO2" s="2232"/>
      <c r="GP2" s="2232"/>
      <c r="GQ2" s="2232"/>
      <c r="GR2" s="2232"/>
      <c r="GS2" s="2232"/>
      <c r="GT2" s="2232"/>
      <c r="GU2" s="2232"/>
      <c r="GV2" s="2232"/>
      <c r="GW2" s="2232"/>
      <c r="GX2" s="2232"/>
      <c r="GY2" s="2232"/>
      <c r="GZ2" s="2232"/>
      <c r="HA2" s="2232"/>
      <c r="HB2" s="2232"/>
      <c r="HC2" s="2232"/>
      <c r="HD2" s="2232"/>
      <c r="HE2" s="2232"/>
      <c r="HF2" s="2232"/>
      <c r="HG2" s="2232"/>
      <c r="HH2" s="2232"/>
      <c r="HI2" s="2232"/>
      <c r="HJ2" s="2232"/>
      <c r="HK2" s="2232"/>
      <c r="HL2" s="2232"/>
      <c r="HM2" s="2232"/>
      <c r="HN2" s="2232"/>
      <c r="HO2" s="2232"/>
      <c r="HP2" s="2232"/>
      <c r="HQ2" s="2232"/>
      <c r="HR2" s="2232"/>
      <c r="HS2" s="2232"/>
      <c r="HT2" s="2232"/>
      <c r="HU2" s="2232"/>
      <c r="HV2" s="2232"/>
      <c r="HW2" s="2232"/>
      <c r="HX2" s="2232"/>
      <c r="HY2" s="2232"/>
      <c r="HZ2" s="2232"/>
      <c r="IA2" s="2232"/>
      <c r="IB2" s="2232"/>
      <c r="IC2" s="2232"/>
      <c r="ID2" s="2232"/>
      <c r="IE2" s="2232"/>
      <c r="IF2" s="2232"/>
      <c r="IG2" s="2232"/>
      <c r="IH2" s="2232"/>
      <c r="II2" s="2232"/>
      <c r="IJ2" s="2232"/>
      <c r="IK2" s="2232"/>
      <c r="IL2" s="2232"/>
      <c r="IM2" s="2232"/>
      <c r="IN2" s="2232"/>
      <c r="IO2" s="2232"/>
      <c r="IP2" s="2232"/>
      <c r="IQ2" s="2232"/>
      <c r="IR2" s="2232"/>
      <c r="IS2" s="2232"/>
      <c r="IT2" s="2232"/>
      <c r="IU2" s="2232"/>
      <c r="IV2" s="2232"/>
      <c r="IW2" s="2232"/>
    </row>
    <row r="3" spans="1:257" s="2285" customFormat="1">
      <c r="A3" s="2233"/>
      <c r="B3" s="2287" t="s">
        <v>2096</v>
      </c>
      <c r="C3" s="2289">
        <f>'数据-取费表'!B19</f>
        <v>0</v>
      </c>
      <c r="D3" s="2287" t="s">
        <v>2064</v>
      </c>
      <c r="E3" s="2290">
        <f ca="1">INDIRECT("J"&amp;$J$1)/100</f>
        <v>0</v>
      </c>
      <c r="G3" s="2234" t="s">
        <v>2067</v>
      </c>
      <c r="H3" s="2235">
        <v>0</v>
      </c>
      <c r="I3" s="2236">
        <f ca="1">INDIRECT("d"&amp;$H$1)</f>
        <v>3.1</v>
      </c>
      <c r="J3" s="2236">
        <f ca="1">INDIRECT("d"&amp;$H$1)</f>
        <v>3.1</v>
      </c>
      <c r="K3" s="2233"/>
      <c r="L3" s="2233"/>
      <c r="M3" s="2237">
        <v>0.5</v>
      </c>
      <c r="N3" s="2238">
        <f ca="1">INDIRECT("p"&amp;$N$1)</f>
        <v>1.3</v>
      </c>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c r="BP3" s="2233"/>
      <c r="BQ3" s="2233"/>
      <c r="BR3" s="2233"/>
      <c r="BS3" s="2233"/>
      <c r="BT3" s="2233"/>
      <c r="BU3" s="2233"/>
      <c r="BV3" s="2233"/>
      <c r="BW3" s="2233"/>
      <c r="BX3" s="2233"/>
      <c r="BY3" s="2233"/>
      <c r="BZ3" s="2233"/>
      <c r="CA3" s="2233"/>
      <c r="CB3" s="2233"/>
      <c r="CC3" s="2233"/>
      <c r="CD3" s="2233"/>
      <c r="CE3" s="2233"/>
      <c r="CF3" s="2233"/>
      <c r="CG3" s="2233"/>
      <c r="CH3" s="2233"/>
      <c r="CI3" s="2233"/>
      <c r="CJ3" s="2233"/>
      <c r="CK3" s="2233"/>
      <c r="CL3" s="2233"/>
      <c r="CM3" s="2233"/>
      <c r="CN3" s="2233"/>
      <c r="CO3" s="2233"/>
      <c r="CP3" s="2233"/>
      <c r="CQ3" s="2233"/>
      <c r="CR3" s="2233"/>
      <c r="CS3" s="2233"/>
      <c r="CT3" s="2233"/>
      <c r="CU3" s="2233"/>
      <c r="CV3" s="2233"/>
      <c r="CW3" s="2233"/>
      <c r="CX3" s="2233"/>
      <c r="CY3" s="2233"/>
      <c r="CZ3" s="2233"/>
      <c r="DA3" s="2233"/>
      <c r="DB3" s="2233"/>
      <c r="DC3" s="2233"/>
      <c r="DD3" s="2233"/>
      <c r="DE3" s="2233"/>
      <c r="DF3" s="2233"/>
      <c r="DG3" s="2233"/>
      <c r="DH3" s="2233"/>
      <c r="DI3" s="2233"/>
      <c r="DJ3" s="2233"/>
      <c r="DK3" s="2233"/>
      <c r="DL3" s="2233"/>
      <c r="DM3" s="2233"/>
      <c r="DN3" s="2233"/>
      <c r="DO3" s="2233"/>
      <c r="DP3" s="2233"/>
      <c r="DQ3" s="2233"/>
      <c r="DR3" s="2233"/>
      <c r="DS3" s="2233"/>
      <c r="DT3" s="2233"/>
      <c r="DU3" s="2233"/>
      <c r="DV3" s="2233"/>
      <c r="DW3" s="2233"/>
      <c r="DX3" s="2233"/>
      <c r="DY3" s="2233"/>
      <c r="DZ3" s="2233"/>
      <c r="EA3" s="2233"/>
      <c r="EB3" s="2233"/>
      <c r="EC3" s="2233"/>
      <c r="ED3" s="2233"/>
      <c r="EE3" s="2233"/>
      <c r="EF3" s="2233"/>
      <c r="EG3" s="2233"/>
      <c r="EH3" s="2233"/>
      <c r="EI3" s="2233"/>
      <c r="EJ3" s="2233"/>
      <c r="EK3" s="2233"/>
      <c r="EL3" s="2233"/>
      <c r="EM3" s="2233"/>
      <c r="EN3" s="2233"/>
      <c r="EO3" s="2233"/>
      <c r="EP3" s="2233"/>
      <c r="EQ3" s="2233"/>
      <c r="ER3" s="2233"/>
      <c r="ES3" s="2233"/>
      <c r="ET3" s="2233"/>
      <c r="EU3" s="2233"/>
      <c r="EV3" s="2233"/>
      <c r="EW3" s="2233"/>
      <c r="EX3" s="2233"/>
      <c r="EY3" s="2233"/>
      <c r="EZ3" s="2233"/>
      <c r="FA3" s="2233"/>
      <c r="FB3" s="2233"/>
      <c r="FC3" s="2233"/>
      <c r="FD3" s="2233"/>
      <c r="FE3" s="2233"/>
      <c r="FF3" s="2233"/>
      <c r="FG3" s="2233"/>
      <c r="FH3" s="2233"/>
      <c r="FI3" s="2233"/>
      <c r="FJ3" s="2233"/>
      <c r="FK3" s="2233"/>
      <c r="FL3" s="2233"/>
      <c r="FM3" s="2233"/>
      <c r="FN3" s="2233"/>
      <c r="FO3" s="2233"/>
      <c r="FP3" s="2233"/>
      <c r="FQ3" s="2233"/>
      <c r="FR3" s="2233"/>
      <c r="FS3" s="2233"/>
      <c r="FT3" s="2233"/>
      <c r="FU3" s="2233"/>
      <c r="FV3" s="2233"/>
      <c r="FW3" s="2233"/>
      <c r="FX3" s="2233"/>
      <c r="FY3" s="2233"/>
      <c r="FZ3" s="2233"/>
      <c r="GA3" s="2233"/>
      <c r="GB3" s="2233"/>
      <c r="GC3" s="2233"/>
      <c r="GD3" s="2233"/>
      <c r="GE3" s="2233"/>
      <c r="GF3" s="2233"/>
      <c r="GG3" s="2233"/>
      <c r="GH3" s="2233"/>
      <c r="GI3" s="2233"/>
      <c r="GJ3" s="2233"/>
      <c r="GK3" s="2233"/>
      <c r="GL3" s="2233"/>
      <c r="GM3" s="2233"/>
      <c r="GN3" s="2233"/>
      <c r="GO3" s="2233"/>
      <c r="GP3" s="2233"/>
      <c r="GQ3" s="2233"/>
      <c r="GR3" s="2233"/>
      <c r="GS3" s="2233"/>
      <c r="GT3" s="2233"/>
      <c r="GU3" s="2233"/>
      <c r="GV3" s="2233"/>
      <c r="GW3" s="2233"/>
      <c r="GX3" s="2233"/>
      <c r="GY3" s="2233"/>
      <c r="GZ3" s="2233"/>
      <c r="HA3" s="2233"/>
      <c r="HB3" s="2233"/>
      <c r="HC3" s="2233"/>
      <c r="HD3" s="2233"/>
      <c r="HE3" s="2233"/>
      <c r="HF3" s="2233"/>
      <c r="HG3" s="2233"/>
      <c r="HH3" s="2233"/>
      <c r="HI3" s="2233"/>
      <c r="HJ3" s="2233"/>
      <c r="HK3" s="2233"/>
      <c r="HL3" s="2233"/>
      <c r="HM3" s="2233"/>
      <c r="HN3" s="2233"/>
      <c r="HO3" s="2233"/>
      <c r="HP3" s="2233"/>
      <c r="HQ3" s="2233"/>
      <c r="HR3" s="2233"/>
      <c r="HS3" s="2233"/>
      <c r="HT3" s="2233"/>
      <c r="HU3" s="2233"/>
      <c r="HV3" s="2233"/>
      <c r="HW3" s="2233"/>
      <c r="HX3" s="2233"/>
      <c r="HY3" s="2233"/>
      <c r="HZ3" s="2233"/>
      <c r="IA3" s="2233"/>
      <c r="IB3" s="2233"/>
      <c r="IC3" s="2233"/>
      <c r="ID3" s="2233"/>
      <c r="IE3" s="2233"/>
      <c r="IF3" s="2233"/>
      <c r="IG3" s="2233"/>
      <c r="IH3" s="2233"/>
      <c r="II3" s="2233"/>
      <c r="IJ3" s="2233"/>
      <c r="IK3" s="2233"/>
      <c r="IL3" s="2233"/>
      <c r="IM3" s="2233"/>
      <c r="IN3" s="2233"/>
      <c r="IO3" s="2233"/>
      <c r="IP3" s="2233"/>
      <c r="IQ3" s="2233"/>
      <c r="IR3" s="2233"/>
      <c r="IS3" s="2233"/>
      <c r="IT3" s="2233"/>
      <c r="IU3" s="2233"/>
      <c r="IV3" s="2233"/>
    </row>
    <row r="4" spans="1:257" s="2285" customFormat="1">
      <c r="A4" s="2233"/>
      <c r="B4" s="2287" t="s">
        <v>2095</v>
      </c>
      <c r="C4" s="2290">
        <f ca="1">N4/100</f>
        <v>1.4999999999999999E-2</v>
      </c>
      <c r="G4" s="2240" t="s">
        <v>2068</v>
      </c>
      <c r="H4" s="2241">
        <v>0.5</v>
      </c>
      <c r="I4" s="2242">
        <f ca="1">INDIRECT("e"&amp;$H$1)</f>
        <v>3.1</v>
      </c>
      <c r="J4" s="2242">
        <f ca="1">INDIRECT("e"&amp;$H$1)</f>
        <v>3.1</v>
      </c>
      <c r="K4" s="2233"/>
      <c r="L4" s="2233"/>
      <c r="M4" s="2243">
        <v>1</v>
      </c>
      <c r="N4" s="2244">
        <f ca="1">INDIRECT("q"&amp;$N$1)</f>
        <v>1.5</v>
      </c>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c r="BP4" s="2233"/>
      <c r="BQ4" s="2233"/>
      <c r="BR4" s="2233"/>
      <c r="BS4" s="2233"/>
      <c r="BT4" s="2233"/>
      <c r="BU4" s="2233"/>
      <c r="BV4" s="2233"/>
      <c r="BW4" s="2233"/>
      <c r="BX4" s="2233"/>
      <c r="BY4" s="2233"/>
      <c r="BZ4" s="2233"/>
      <c r="CA4" s="2233"/>
      <c r="CB4" s="2233"/>
      <c r="CC4" s="2233"/>
      <c r="CD4" s="2233"/>
      <c r="CE4" s="2233"/>
      <c r="CF4" s="2233"/>
      <c r="CG4" s="2233"/>
      <c r="CH4" s="2233"/>
      <c r="CI4" s="2233"/>
      <c r="CJ4" s="2233"/>
      <c r="CK4" s="2233"/>
      <c r="CL4" s="2233"/>
      <c r="CM4" s="2233"/>
      <c r="CN4" s="2233"/>
      <c r="CO4" s="2233"/>
      <c r="CP4" s="2233"/>
      <c r="CQ4" s="2233"/>
      <c r="CR4" s="2233"/>
      <c r="CS4" s="2233"/>
      <c r="CT4" s="2233"/>
      <c r="CU4" s="2233"/>
      <c r="CV4" s="2233"/>
      <c r="CW4" s="2233"/>
      <c r="CX4" s="2233"/>
      <c r="CY4" s="2233"/>
      <c r="CZ4" s="2233"/>
      <c r="DA4" s="2233"/>
      <c r="DB4" s="2233"/>
      <c r="DC4" s="2233"/>
      <c r="DD4" s="2233"/>
      <c r="DE4" s="2233"/>
      <c r="DF4" s="2233"/>
      <c r="DG4" s="2233"/>
      <c r="DH4" s="2233"/>
      <c r="DI4" s="2233"/>
      <c r="DJ4" s="2233"/>
      <c r="DK4" s="2233"/>
      <c r="DL4" s="2233"/>
      <c r="DM4" s="2233"/>
      <c r="DN4" s="2233"/>
      <c r="DO4" s="2233"/>
      <c r="DP4" s="2233"/>
      <c r="DQ4" s="2233"/>
      <c r="DR4" s="2233"/>
      <c r="DS4" s="2233"/>
      <c r="DT4" s="2233"/>
      <c r="DU4" s="2233"/>
      <c r="DV4" s="2233"/>
      <c r="DW4" s="2233"/>
      <c r="DX4" s="2233"/>
      <c r="DY4" s="2233"/>
      <c r="DZ4" s="2233"/>
      <c r="EA4" s="2233"/>
      <c r="EB4" s="2233"/>
      <c r="EC4" s="2233"/>
      <c r="ED4" s="2233"/>
      <c r="EE4" s="2233"/>
      <c r="EF4" s="2233"/>
      <c r="EG4" s="2233"/>
      <c r="EH4" s="2233"/>
      <c r="EI4" s="2233"/>
      <c r="EJ4" s="2233"/>
      <c r="EK4" s="2233"/>
      <c r="EL4" s="2233"/>
      <c r="EM4" s="2233"/>
      <c r="EN4" s="2233"/>
      <c r="EO4" s="2233"/>
      <c r="EP4" s="2233"/>
      <c r="EQ4" s="2233"/>
      <c r="ER4" s="2233"/>
      <c r="ES4" s="2233"/>
      <c r="ET4" s="2233"/>
      <c r="EU4" s="2233"/>
      <c r="EV4" s="2233"/>
      <c r="EW4" s="2233"/>
      <c r="EX4" s="2233"/>
      <c r="EY4" s="2233"/>
      <c r="EZ4" s="2233"/>
      <c r="FA4" s="2233"/>
      <c r="FB4" s="2233"/>
      <c r="FC4" s="2233"/>
      <c r="FD4" s="2233"/>
      <c r="FE4" s="2233"/>
      <c r="FF4" s="2233"/>
      <c r="FG4" s="2233"/>
      <c r="FH4" s="2233"/>
      <c r="FI4" s="2233"/>
      <c r="FJ4" s="2233"/>
      <c r="FK4" s="2233"/>
      <c r="FL4" s="2233"/>
      <c r="FM4" s="2233"/>
      <c r="FN4" s="2233"/>
      <c r="FO4" s="2233"/>
      <c r="FP4" s="2233"/>
      <c r="FQ4" s="2233"/>
      <c r="FR4" s="2233"/>
      <c r="FS4" s="2233"/>
      <c r="FT4" s="2233"/>
      <c r="FU4" s="2233"/>
      <c r="FV4" s="2233"/>
      <c r="FW4" s="2233"/>
      <c r="FX4" s="2233"/>
      <c r="FY4" s="2233"/>
      <c r="FZ4" s="2233"/>
      <c r="GA4" s="2233"/>
      <c r="GB4" s="2233"/>
      <c r="GC4" s="2233"/>
      <c r="GD4" s="2233"/>
      <c r="GE4" s="2233"/>
      <c r="GF4" s="2233"/>
      <c r="GG4" s="2233"/>
      <c r="GH4" s="2233"/>
      <c r="GI4" s="2233"/>
      <c r="GJ4" s="2233"/>
      <c r="GK4" s="2233"/>
      <c r="GL4" s="2233"/>
      <c r="GM4" s="2233"/>
      <c r="GN4" s="2233"/>
      <c r="GO4" s="2233"/>
      <c r="GP4" s="2233"/>
      <c r="GQ4" s="2233"/>
      <c r="GR4" s="2233"/>
      <c r="GS4" s="2233"/>
      <c r="GT4" s="2233"/>
      <c r="GU4" s="2233"/>
      <c r="GV4" s="2233"/>
      <c r="GW4" s="2233"/>
      <c r="GX4" s="2233"/>
      <c r="GY4" s="2233"/>
      <c r="GZ4" s="2233"/>
      <c r="HA4" s="2233"/>
      <c r="HB4" s="2233"/>
      <c r="HC4" s="2233"/>
      <c r="HD4" s="2233"/>
      <c r="HE4" s="2233"/>
      <c r="HF4" s="2233"/>
      <c r="HG4" s="2233"/>
      <c r="HH4" s="2233"/>
      <c r="HI4" s="2233"/>
      <c r="HJ4" s="2233"/>
      <c r="HK4" s="2233"/>
      <c r="HL4" s="2233"/>
      <c r="HM4" s="2233"/>
      <c r="HN4" s="2233"/>
      <c r="HO4" s="2233"/>
      <c r="HP4" s="2233"/>
      <c r="HQ4" s="2233"/>
      <c r="HR4" s="2233"/>
      <c r="HS4" s="2233"/>
      <c r="HT4" s="2233"/>
      <c r="HU4" s="2233"/>
      <c r="HV4" s="2233"/>
      <c r="HW4" s="2233"/>
      <c r="HX4" s="2233"/>
      <c r="HY4" s="2233"/>
      <c r="HZ4" s="2233"/>
      <c r="IA4" s="2233"/>
      <c r="IB4" s="2233"/>
      <c r="IC4" s="2233"/>
      <c r="ID4" s="2233"/>
      <c r="IE4" s="2233"/>
      <c r="IF4" s="2233"/>
      <c r="IG4" s="2233"/>
      <c r="IH4" s="2233"/>
      <c r="II4" s="2233"/>
      <c r="IJ4" s="2233"/>
      <c r="IK4" s="2233"/>
      <c r="IL4" s="2233"/>
      <c r="IM4" s="2233"/>
      <c r="IN4" s="2233"/>
      <c r="IO4" s="2233"/>
      <c r="IP4" s="2233"/>
      <c r="IQ4" s="2233"/>
      <c r="IR4" s="2233"/>
      <c r="IS4" s="2233"/>
      <c r="IT4" s="2233"/>
      <c r="IU4" s="2233"/>
      <c r="IV4" s="2233"/>
    </row>
    <row r="5" spans="1:257" s="2285" customFormat="1">
      <c r="A5" s="2233"/>
      <c r="G5" s="2240" t="s">
        <v>2069</v>
      </c>
      <c r="H5" s="2241">
        <v>1</v>
      </c>
      <c r="I5" s="2242">
        <f ca="1">INDIRECT("f"&amp;$H$1)</f>
        <v>3.1</v>
      </c>
      <c r="J5" s="2242">
        <f ca="1">INDIRECT("f"&amp;$H$1)</f>
        <v>3.1</v>
      </c>
      <c r="K5" s="2233"/>
      <c r="L5" s="2233"/>
      <c r="M5" s="2243">
        <v>2</v>
      </c>
      <c r="N5" s="2244">
        <f ca="1">INDIRECT("r"&amp;$N$1)</f>
        <v>2.1</v>
      </c>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BT5" s="2233"/>
      <c r="BU5" s="2233"/>
      <c r="BV5" s="2233"/>
      <c r="BW5" s="2233"/>
      <c r="BX5" s="2233"/>
      <c r="BY5" s="2233"/>
      <c r="BZ5" s="2233"/>
      <c r="CA5" s="2233"/>
      <c r="CB5" s="2233"/>
      <c r="CC5" s="2233"/>
      <c r="CD5" s="2233"/>
      <c r="CE5" s="2233"/>
      <c r="CF5" s="2233"/>
      <c r="CG5" s="2233"/>
      <c r="CH5" s="2233"/>
      <c r="CI5" s="2233"/>
      <c r="CJ5" s="2233"/>
      <c r="CK5" s="2233"/>
      <c r="CL5" s="2233"/>
      <c r="CM5" s="2233"/>
      <c r="CN5" s="2233"/>
      <c r="CO5" s="2233"/>
      <c r="CP5" s="2233"/>
      <c r="CQ5" s="2233"/>
      <c r="CR5" s="2233"/>
      <c r="CS5" s="2233"/>
      <c r="CT5" s="2233"/>
      <c r="CU5" s="2233"/>
      <c r="CV5" s="2233"/>
      <c r="CW5" s="2233"/>
      <c r="CX5" s="2233"/>
      <c r="CY5" s="2233"/>
      <c r="CZ5" s="2233"/>
      <c r="DA5" s="2233"/>
      <c r="DB5" s="2233"/>
      <c r="DC5" s="2233"/>
      <c r="DD5" s="2233"/>
      <c r="DE5" s="2233"/>
      <c r="DF5" s="2233"/>
      <c r="DG5" s="2233"/>
      <c r="DH5" s="2233"/>
      <c r="DI5" s="2233"/>
      <c r="DJ5" s="2233"/>
      <c r="DK5" s="2233"/>
      <c r="DL5" s="2233"/>
      <c r="DM5" s="2233"/>
      <c r="DN5" s="2233"/>
      <c r="DO5" s="2233"/>
      <c r="DP5" s="2233"/>
      <c r="DQ5" s="2233"/>
      <c r="DR5" s="2233"/>
      <c r="DS5" s="2233"/>
      <c r="DT5" s="2233"/>
      <c r="DU5" s="2233"/>
      <c r="DV5" s="2233"/>
      <c r="DW5" s="2233"/>
      <c r="DX5" s="2233"/>
      <c r="DY5" s="2233"/>
      <c r="DZ5" s="2233"/>
      <c r="EA5" s="2233"/>
      <c r="EB5" s="2233"/>
      <c r="EC5" s="2233"/>
      <c r="ED5" s="2233"/>
      <c r="EE5" s="2233"/>
      <c r="EF5" s="2233"/>
      <c r="EG5" s="2233"/>
      <c r="EH5" s="2233"/>
      <c r="EI5" s="2233"/>
      <c r="EJ5" s="2233"/>
      <c r="EK5" s="2233"/>
      <c r="EL5" s="2233"/>
      <c r="EM5" s="2233"/>
      <c r="EN5" s="2233"/>
      <c r="EO5" s="2233"/>
      <c r="EP5" s="2233"/>
      <c r="EQ5" s="2233"/>
      <c r="ER5" s="2233"/>
      <c r="ES5" s="2233"/>
      <c r="ET5" s="2233"/>
      <c r="EU5" s="2233"/>
      <c r="EV5" s="2233"/>
      <c r="EW5" s="2233"/>
      <c r="EX5" s="2233"/>
      <c r="EY5" s="2233"/>
      <c r="EZ5" s="2233"/>
      <c r="FA5" s="2233"/>
      <c r="FB5" s="2233"/>
      <c r="FC5" s="2233"/>
      <c r="FD5" s="2233"/>
      <c r="FE5" s="2233"/>
      <c r="FF5" s="2233"/>
      <c r="FG5" s="2233"/>
      <c r="FH5" s="2233"/>
      <c r="FI5" s="2233"/>
      <c r="FJ5" s="2233"/>
      <c r="FK5" s="2233"/>
      <c r="FL5" s="2233"/>
      <c r="FM5" s="2233"/>
      <c r="FN5" s="2233"/>
      <c r="FO5" s="2233"/>
      <c r="FP5" s="2233"/>
      <c r="FQ5" s="2233"/>
      <c r="FR5" s="2233"/>
      <c r="FS5" s="2233"/>
      <c r="FT5" s="2233"/>
      <c r="FU5" s="2233"/>
      <c r="FV5" s="2233"/>
      <c r="FW5" s="2233"/>
      <c r="FX5" s="2233"/>
      <c r="FY5" s="2233"/>
      <c r="FZ5" s="2233"/>
      <c r="GA5" s="2233"/>
      <c r="GB5" s="2233"/>
      <c r="GC5" s="2233"/>
      <c r="GD5" s="2233"/>
      <c r="GE5" s="2233"/>
      <c r="GF5" s="2233"/>
      <c r="GG5" s="2233"/>
      <c r="GH5" s="2233"/>
      <c r="GI5" s="2233"/>
      <c r="GJ5" s="2233"/>
      <c r="GK5" s="2233"/>
      <c r="GL5" s="2233"/>
      <c r="GM5" s="2233"/>
      <c r="GN5" s="2233"/>
      <c r="GO5" s="2233"/>
      <c r="GP5" s="2233"/>
      <c r="GQ5" s="2233"/>
      <c r="GR5" s="2233"/>
      <c r="GS5" s="2233"/>
      <c r="GT5" s="2233"/>
      <c r="GU5" s="2233"/>
      <c r="GV5" s="2233"/>
      <c r="GW5" s="2233"/>
      <c r="GX5" s="2233"/>
      <c r="GY5" s="2233"/>
      <c r="GZ5" s="2233"/>
      <c r="HA5" s="2233"/>
      <c r="HB5" s="2233"/>
      <c r="HC5" s="2233"/>
      <c r="HD5" s="2233"/>
      <c r="HE5" s="2233"/>
      <c r="HF5" s="2233"/>
      <c r="HG5" s="2233"/>
      <c r="HH5" s="2233"/>
      <c r="HI5" s="2233"/>
      <c r="HJ5" s="2233"/>
      <c r="HK5" s="2233"/>
      <c r="HL5" s="2233"/>
      <c r="HM5" s="2233"/>
      <c r="HN5" s="2233"/>
      <c r="HO5" s="2233"/>
      <c r="HP5" s="2233"/>
      <c r="HQ5" s="2233"/>
      <c r="HR5" s="2233"/>
      <c r="HS5" s="2233"/>
      <c r="HT5" s="2233"/>
      <c r="HU5" s="2233"/>
      <c r="HV5" s="2233"/>
      <c r="HW5" s="2233"/>
      <c r="HX5" s="2233"/>
      <c r="HY5" s="2233"/>
      <c r="HZ5" s="2233"/>
      <c r="IA5" s="2233"/>
      <c r="IB5" s="2233"/>
      <c r="IC5" s="2233"/>
      <c r="ID5" s="2233"/>
      <c r="IE5" s="2233"/>
      <c r="IF5" s="2233"/>
      <c r="IG5" s="2233"/>
      <c r="IH5" s="2233"/>
      <c r="II5" s="2233"/>
      <c r="IJ5" s="2233"/>
      <c r="IK5" s="2233"/>
      <c r="IL5" s="2233"/>
      <c r="IM5" s="2233"/>
      <c r="IN5" s="2233"/>
      <c r="IO5" s="2233"/>
      <c r="IP5" s="2233"/>
      <c r="IQ5" s="2233"/>
      <c r="IR5" s="2233"/>
      <c r="IS5" s="2233"/>
      <c r="IT5" s="2233"/>
      <c r="IU5" s="2233"/>
      <c r="IV5" s="2233"/>
    </row>
    <row r="6" spans="1:257" s="2285" customFormat="1">
      <c r="A6" s="2233"/>
      <c r="G6" s="2240" t="s">
        <v>2070</v>
      </c>
      <c r="H6" s="2241">
        <v>3</v>
      </c>
      <c r="I6" s="2242">
        <f ca="1">INDIRECT("g"&amp;$H$1)</f>
        <v>3.1</v>
      </c>
      <c r="J6" s="2242">
        <f ca="1">INDIRECT("g"&amp;$H$1)</f>
        <v>3.1</v>
      </c>
      <c r="K6" s="2233"/>
      <c r="L6" s="2233"/>
      <c r="M6" s="2243">
        <v>3</v>
      </c>
      <c r="N6" s="2244">
        <f ca="1">INDIRECT("s"&amp;$N$1)</f>
        <v>2.75</v>
      </c>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c r="AR6" s="2233"/>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BT6" s="2233"/>
      <c r="BU6" s="2233"/>
      <c r="BV6" s="2233"/>
      <c r="BW6" s="2233"/>
      <c r="BX6" s="2233"/>
      <c r="BY6" s="2233"/>
      <c r="BZ6" s="2233"/>
      <c r="CA6" s="2233"/>
      <c r="CB6" s="2233"/>
      <c r="CC6" s="2233"/>
      <c r="CD6" s="2233"/>
      <c r="CE6" s="2233"/>
      <c r="CF6" s="2233"/>
      <c r="CG6" s="2233"/>
      <c r="CH6" s="2233"/>
      <c r="CI6" s="2233"/>
      <c r="CJ6" s="2233"/>
      <c r="CK6" s="2233"/>
      <c r="CL6" s="2233"/>
      <c r="CM6" s="2233"/>
      <c r="CN6" s="2233"/>
      <c r="CO6" s="2233"/>
      <c r="CP6" s="2233"/>
      <c r="CQ6" s="2233"/>
      <c r="CR6" s="2233"/>
      <c r="CS6" s="2233"/>
      <c r="CT6" s="2233"/>
      <c r="CU6" s="2233"/>
      <c r="CV6" s="2233"/>
      <c r="CW6" s="2233"/>
      <c r="CX6" s="2233"/>
      <c r="CY6" s="2233"/>
      <c r="CZ6" s="2233"/>
      <c r="DA6" s="2233"/>
      <c r="DB6" s="2233"/>
      <c r="DC6" s="2233"/>
      <c r="DD6" s="2233"/>
      <c r="DE6" s="2233"/>
      <c r="DF6" s="2233"/>
      <c r="DG6" s="2233"/>
      <c r="DH6" s="2233"/>
      <c r="DI6" s="2233"/>
      <c r="DJ6" s="2233"/>
      <c r="DK6" s="2233"/>
      <c r="DL6" s="2233"/>
      <c r="DM6" s="2233"/>
      <c r="DN6" s="2233"/>
      <c r="DO6" s="2233"/>
      <c r="DP6" s="2233"/>
      <c r="DQ6" s="2233"/>
      <c r="DR6" s="2233"/>
      <c r="DS6" s="2233"/>
      <c r="DT6" s="2233"/>
      <c r="DU6" s="2233"/>
      <c r="DV6" s="2233"/>
      <c r="DW6" s="2233"/>
      <c r="DX6" s="2233"/>
      <c r="DY6" s="2233"/>
      <c r="DZ6" s="2233"/>
      <c r="EA6" s="2233"/>
      <c r="EB6" s="2233"/>
      <c r="EC6" s="2233"/>
      <c r="ED6" s="2233"/>
      <c r="EE6" s="2233"/>
      <c r="EF6" s="2233"/>
      <c r="EG6" s="2233"/>
      <c r="EH6" s="2233"/>
      <c r="EI6" s="2233"/>
      <c r="EJ6" s="2233"/>
      <c r="EK6" s="2233"/>
      <c r="EL6" s="2233"/>
      <c r="EM6" s="2233"/>
      <c r="EN6" s="2233"/>
      <c r="EO6" s="2233"/>
      <c r="EP6" s="2233"/>
      <c r="EQ6" s="2233"/>
      <c r="ER6" s="2233"/>
      <c r="ES6" s="2233"/>
      <c r="ET6" s="2233"/>
      <c r="EU6" s="2233"/>
      <c r="EV6" s="2233"/>
      <c r="EW6" s="2233"/>
      <c r="EX6" s="2233"/>
      <c r="EY6" s="2233"/>
      <c r="EZ6" s="2233"/>
      <c r="FA6" s="2233"/>
      <c r="FB6" s="2233"/>
      <c r="FC6" s="2233"/>
      <c r="FD6" s="2233"/>
      <c r="FE6" s="2233"/>
      <c r="FF6" s="2233"/>
      <c r="FG6" s="2233"/>
      <c r="FH6" s="2233"/>
      <c r="FI6" s="2233"/>
      <c r="FJ6" s="2233"/>
      <c r="FK6" s="2233"/>
      <c r="FL6" s="2233"/>
      <c r="FM6" s="2233"/>
      <c r="FN6" s="2233"/>
      <c r="FO6" s="2233"/>
      <c r="FP6" s="2233"/>
      <c r="FQ6" s="2233"/>
      <c r="FR6" s="2233"/>
      <c r="FS6" s="2233"/>
      <c r="FT6" s="2233"/>
      <c r="FU6" s="2233"/>
      <c r="FV6" s="2233"/>
      <c r="FW6" s="2233"/>
      <c r="FX6" s="2233"/>
      <c r="FY6" s="2233"/>
      <c r="FZ6" s="2233"/>
      <c r="GA6" s="2233"/>
      <c r="GB6" s="2233"/>
      <c r="GC6" s="2233"/>
      <c r="GD6" s="2233"/>
      <c r="GE6" s="2233"/>
      <c r="GF6" s="2233"/>
      <c r="GG6" s="2233"/>
      <c r="GH6" s="2233"/>
      <c r="GI6" s="2233"/>
      <c r="GJ6" s="2233"/>
      <c r="GK6" s="2233"/>
      <c r="GL6" s="2233"/>
      <c r="GM6" s="2233"/>
      <c r="GN6" s="2233"/>
      <c r="GO6" s="2233"/>
      <c r="GP6" s="2233"/>
      <c r="GQ6" s="2233"/>
      <c r="GR6" s="2233"/>
      <c r="GS6" s="2233"/>
      <c r="GT6" s="2233"/>
      <c r="GU6" s="2233"/>
      <c r="GV6" s="2233"/>
      <c r="GW6" s="2233"/>
      <c r="GX6" s="2233"/>
      <c r="GY6" s="2233"/>
      <c r="GZ6" s="2233"/>
      <c r="HA6" s="2233"/>
      <c r="HB6" s="2233"/>
      <c r="HC6" s="2233"/>
      <c r="HD6" s="2233"/>
      <c r="HE6" s="2233"/>
      <c r="HF6" s="2233"/>
      <c r="HG6" s="2233"/>
      <c r="HH6" s="2233"/>
      <c r="HI6" s="2233"/>
      <c r="HJ6" s="2233"/>
      <c r="HK6" s="2233"/>
      <c r="HL6" s="2233"/>
      <c r="HM6" s="2233"/>
      <c r="HN6" s="2233"/>
      <c r="HO6" s="2233"/>
      <c r="HP6" s="2233"/>
      <c r="HQ6" s="2233"/>
      <c r="HR6" s="2233"/>
      <c r="HS6" s="2233"/>
      <c r="HT6" s="2233"/>
      <c r="HU6" s="2233"/>
      <c r="HV6" s="2233"/>
      <c r="HW6" s="2233"/>
      <c r="HX6" s="2233"/>
      <c r="HY6" s="2233"/>
      <c r="HZ6" s="2233"/>
      <c r="IA6" s="2233"/>
      <c r="IB6" s="2233"/>
      <c r="IC6" s="2233"/>
      <c r="ID6" s="2233"/>
      <c r="IE6" s="2233"/>
      <c r="IF6" s="2233"/>
      <c r="IG6" s="2233"/>
      <c r="IH6" s="2233"/>
      <c r="II6" s="2233"/>
      <c r="IJ6" s="2233"/>
      <c r="IK6" s="2233"/>
      <c r="IL6" s="2233"/>
      <c r="IM6" s="2233"/>
      <c r="IN6" s="2233"/>
      <c r="IO6" s="2233"/>
      <c r="IP6" s="2233"/>
      <c r="IQ6" s="2233"/>
      <c r="IR6" s="2233"/>
      <c r="IS6" s="2233"/>
      <c r="IT6" s="2233"/>
      <c r="IU6" s="2233"/>
      <c r="IV6" s="2233"/>
    </row>
    <row r="7" spans="1:257" s="2285" customFormat="1" ht="14.25" thickBot="1">
      <c r="A7" s="2233"/>
      <c r="G7" s="2245" t="s">
        <v>2071</v>
      </c>
      <c r="H7" s="2246">
        <v>5</v>
      </c>
      <c r="I7" s="2247">
        <f ca="1">INDIRECT("h"&amp;$H$1)</f>
        <v>3.6</v>
      </c>
      <c r="J7" s="2247">
        <f ca="1">INDIRECT("h"&amp;$H$1)</f>
        <v>3.6</v>
      </c>
      <c r="K7" s="2233"/>
      <c r="L7" s="2233"/>
      <c r="M7" s="2248">
        <v>5</v>
      </c>
      <c r="N7" s="2249">
        <f ca="1">INDIRECT("t"&amp;$N$1)</f>
        <v>0</v>
      </c>
      <c r="O7" s="2233"/>
      <c r="P7" s="2233"/>
      <c r="Q7" s="2233"/>
      <c r="R7" s="2233"/>
      <c r="S7" s="2233"/>
      <c r="T7" s="2233"/>
      <c r="U7" s="2233"/>
      <c r="V7" s="2233"/>
      <c r="W7" s="2233"/>
      <c r="X7" s="2233"/>
      <c r="Y7" s="2233"/>
      <c r="Z7" s="2233"/>
      <c r="AA7" s="2233"/>
      <c r="AB7" s="2233"/>
      <c r="AC7" s="2233"/>
      <c r="AD7" s="2233"/>
      <c r="AE7" s="2233"/>
      <c r="AF7" s="2233"/>
      <c r="AG7" s="2233"/>
      <c r="AH7" s="2233"/>
      <c r="AI7" s="2233"/>
      <c r="AJ7" s="2233"/>
      <c r="AK7" s="2233"/>
      <c r="AL7" s="2233"/>
      <c r="AM7" s="2233"/>
      <c r="AN7" s="2233"/>
      <c r="AO7" s="2233"/>
      <c r="AP7" s="2233"/>
      <c r="AQ7" s="2233"/>
      <c r="AR7" s="2233"/>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c r="BP7" s="2233"/>
      <c r="BQ7" s="2233"/>
      <c r="BR7" s="2233"/>
      <c r="BS7" s="2233"/>
      <c r="BT7" s="2233"/>
      <c r="BU7" s="2233"/>
      <c r="BV7" s="2233"/>
      <c r="BW7" s="2233"/>
      <c r="BX7" s="2233"/>
      <c r="BY7" s="2233"/>
      <c r="BZ7" s="2233"/>
      <c r="CA7" s="2233"/>
      <c r="CB7" s="2233"/>
      <c r="CC7" s="2233"/>
      <c r="CD7" s="2233"/>
      <c r="CE7" s="2233"/>
      <c r="CF7" s="2233"/>
      <c r="CG7" s="2233"/>
      <c r="CH7" s="2233"/>
      <c r="CI7" s="2233"/>
      <c r="CJ7" s="2233"/>
      <c r="CK7" s="2233"/>
      <c r="CL7" s="2233"/>
      <c r="CM7" s="2233"/>
      <c r="CN7" s="2233"/>
      <c r="CO7" s="2233"/>
      <c r="CP7" s="2233"/>
      <c r="CQ7" s="2233"/>
      <c r="CR7" s="2233"/>
      <c r="CS7" s="2233"/>
      <c r="CT7" s="2233"/>
      <c r="CU7" s="2233"/>
      <c r="CV7" s="2233"/>
      <c r="CW7" s="2233"/>
      <c r="CX7" s="2233"/>
      <c r="CY7" s="2233"/>
      <c r="CZ7" s="2233"/>
      <c r="DA7" s="2233"/>
      <c r="DB7" s="2233"/>
      <c r="DC7" s="2233"/>
      <c r="DD7" s="2233"/>
      <c r="DE7" s="2233"/>
      <c r="DF7" s="2233"/>
      <c r="DG7" s="2233"/>
      <c r="DH7" s="2233"/>
      <c r="DI7" s="2233"/>
      <c r="DJ7" s="2233"/>
      <c r="DK7" s="2233"/>
      <c r="DL7" s="2233"/>
      <c r="DM7" s="2233"/>
      <c r="DN7" s="2233"/>
      <c r="DO7" s="2233"/>
      <c r="DP7" s="2233"/>
      <c r="DQ7" s="2233"/>
      <c r="DR7" s="2233"/>
      <c r="DS7" s="2233"/>
      <c r="DT7" s="2233"/>
      <c r="DU7" s="2233"/>
      <c r="DV7" s="2233"/>
      <c r="DW7" s="2233"/>
      <c r="DX7" s="2233"/>
      <c r="DY7" s="2233"/>
      <c r="DZ7" s="2233"/>
      <c r="EA7" s="2233"/>
      <c r="EB7" s="2233"/>
      <c r="EC7" s="2233"/>
      <c r="ED7" s="2233"/>
      <c r="EE7" s="2233"/>
      <c r="EF7" s="2233"/>
      <c r="EG7" s="2233"/>
      <c r="EH7" s="2233"/>
      <c r="EI7" s="2233"/>
      <c r="EJ7" s="2233"/>
      <c r="EK7" s="2233"/>
      <c r="EL7" s="2233"/>
      <c r="EM7" s="2233"/>
      <c r="EN7" s="2233"/>
      <c r="EO7" s="2233"/>
      <c r="EP7" s="2233"/>
      <c r="EQ7" s="2233"/>
      <c r="ER7" s="2233"/>
      <c r="ES7" s="2233"/>
      <c r="ET7" s="2233"/>
      <c r="EU7" s="2233"/>
      <c r="EV7" s="2233"/>
      <c r="EW7" s="2233"/>
      <c r="EX7" s="2233"/>
      <c r="EY7" s="2233"/>
      <c r="EZ7" s="2233"/>
      <c r="FA7" s="2233"/>
      <c r="FB7" s="2233"/>
      <c r="FC7" s="2233"/>
      <c r="FD7" s="2233"/>
      <c r="FE7" s="2233"/>
      <c r="FF7" s="2233"/>
      <c r="FG7" s="2233"/>
      <c r="FH7" s="2233"/>
      <c r="FI7" s="2233"/>
      <c r="FJ7" s="2233"/>
      <c r="FK7" s="2233"/>
      <c r="FL7" s="2233"/>
      <c r="FM7" s="2233"/>
      <c r="FN7" s="2233"/>
      <c r="FO7" s="2233"/>
      <c r="FP7" s="2233"/>
      <c r="FQ7" s="2233"/>
      <c r="FR7" s="2233"/>
      <c r="FS7" s="2233"/>
      <c r="FT7" s="2233"/>
      <c r="FU7" s="2233"/>
      <c r="FV7" s="2233"/>
      <c r="FW7" s="2233"/>
      <c r="FX7" s="2233"/>
      <c r="FY7" s="2233"/>
      <c r="FZ7" s="2233"/>
      <c r="GA7" s="2233"/>
      <c r="GB7" s="2233"/>
      <c r="GC7" s="2233"/>
      <c r="GD7" s="2233"/>
      <c r="GE7" s="2233"/>
      <c r="GF7" s="2233"/>
      <c r="GG7" s="2233"/>
      <c r="GH7" s="2233"/>
      <c r="GI7" s="2233"/>
      <c r="GJ7" s="2233"/>
      <c r="GK7" s="2233"/>
      <c r="GL7" s="2233"/>
      <c r="GM7" s="2233"/>
      <c r="GN7" s="2233"/>
      <c r="GO7" s="2233"/>
      <c r="GP7" s="2233"/>
      <c r="GQ7" s="2233"/>
      <c r="GR7" s="2233"/>
      <c r="GS7" s="2233"/>
      <c r="GT7" s="2233"/>
      <c r="GU7" s="2233"/>
      <c r="GV7" s="2233"/>
      <c r="GW7" s="2233"/>
      <c r="GX7" s="2233"/>
      <c r="GY7" s="2233"/>
      <c r="GZ7" s="2233"/>
      <c r="HA7" s="2233"/>
      <c r="HB7" s="2233"/>
      <c r="HC7" s="2233"/>
      <c r="HD7" s="2233"/>
      <c r="HE7" s="2233"/>
      <c r="HF7" s="2233"/>
      <c r="HG7" s="2233"/>
      <c r="HH7" s="2233"/>
      <c r="HI7" s="2233"/>
      <c r="HJ7" s="2233"/>
      <c r="HK7" s="2233"/>
      <c r="HL7" s="2233"/>
      <c r="HM7" s="2233"/>
      <c r="HN7" s="2233"/>
      <c r="HO7" s="2233"/>
      <c r="HP7" s="2233"/>
      <c r="HQ7" s="2233"/>
      <c r="HR7" s="2233"/>
      <c r="HS7" s="2233"/>
      <c r="HT7" s="2233"/>
      <c r="HU7" s="2233"/>
      <c r="HV7" s="2233"/>
      <c r="HW7" s="2233"/>
      <c r="HX7" s="2233"/>
      <c r="HY7" s="2233"/>
      <c r="HZ7" s="2233"/>
      <c r="IA7" s="2233"/>
      <c r="IB7" s="2233"/>
      <c r="IC7" s="2233"/>
      <c r="ID7" s="2233"/>
      <c r="IE7" s="2233"/>
      <c r="IF7" s="2233"/>
      <c r="IG7" s="2233"/>
      <c r="IH7" s="2233"/>
      <c r="II7" s="2233"/>
      <c r="IJ7" s="2233"/>
      <c r="IK7" s="2233"/>
      <c r="IL7" s="2233"/>
      <c r="IM7" s="2233"/>
      <c r="IN7" s="2233"/>
      <c r="IO7" s="2233"/>
      <c r="IP7" s="2233"/>
      <c r="IQ7" s="2233"/>
      <c r="IR7" s="2233"/>
      <c r="IS7" s="2233"/>
      <c r="IT7" s="2233"/>
      <c r="IU7" s="2233"/>
      <c r="IV7" s="2233"/>
    </row>
    <row r="8" spans="1:257">
      <c r="A8" s="2250"/>
      <c r="B8" s="2251"/>
      <c r="C8" s="2252"/>
      <c r="D8" s="2233"/>
      <c r="E8" s="2233"/>
      <c r="F8" s="2233"/>
      <c r="G8" s="2233"/>
      <c r="H8" s="2233"/>
      <c r="I8" s="2233"/>
      <c r="J8" s="2233"/>
      <c r="L8" s="2233"/>
      <c r="M8" s="2233"/>
      <c r="N8" s="2233"/>
      <c r="O8" s="2233"/>
      <c r="P8" s="2233"/>
      <c r="Q8" s="2233"/>
      <c r="R8" s="2233"/>
      <c r="S8" s="2233"/>
      <c r="T8" s="2233"/>
      <c r="U8" s="2233"/>
      <c r="V8" s="2233"/>
      <c r="W8" s="2233"/>
      <c r="X8" s="2233"/>
      <c r="Y8" s="2233"/>
      <c r="Z8" s="2233"/>
    </row>
    <row r="9" spans="1:257" ht="20.25">
      <c r="A9" s="2253"/>
      <c r="B9" s="2254" t="s">
        <v>2072</v>
      </c>
      <c r="C9" s="2255"/>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7"/>
      <c r="AB9" s="2257"/>
      <c r="AC9" s="2257"/>
      <c r="AD9" s="2257"/>
      <c r="AE9" s="2257"/>
      <c r="AF9" s="2257"/>
      <c r="AG9" s="2257"/>
      <c r="AH9" s="2257"/>
      <c r="AI9" s="2257"/>
      <c r="AJ9" s="2257"/>
      <c r="AK9" s="2257"/>
      <c r="AL9" s="2257"/>
      <c r="AM9" s="2257"/>
      <c r="AN9" s="2257"/>
      <c r="AO9" s="2257"/>
      <c r="AP9" s="2257"/>
      <c r="AQ9" s="2257"/>
      <c r="AR9" s="2257"/>
      <c r="AS9" s="2257"/>
      <c r="AT9" s="2257"/>
      <c r="AU9" s="2257"/>
      <c r="AV9" s="2257"/>
      <c r="AW9" s="2257"/>
      <c r="AX9" s="2257"/>
      <c r="AY9" s="2257"/>
      <c r="AZ9" s="2257"/>
      <c r="BA9" s="2257"/>
      <c r="BB9" s="2257"/>
      <c r="BC9" s="2257"/>
      <c r="BD9" s="2257"/>
      <c r="BE9" s="2257"/>
      <c r="BF9" s="2257"/>
      <c r="BG9" s="2257"/>
      <c r="BH9" s="2257"/>
      <c r="BI9" s="2257"/>
      <c r="BJ9" s="2257"/>
      <c r="BK9" s="2257"/>
      <c r="BL9" s="2257"/>
      <c r="BM9" s="2257"/>
      <c r="BN9" s="2257"/>
      <c r="BO9" s="2257"/>
      <c r="BP9" s="2257"/>
      <c r="BQ9" s="2257"/>
      <c r="BR9" s="2257"/>
      <c r="BS9" s="2257"/>
      <c r="BT9" s="2257"/>
      <c r="BU9" s="2257"/>
      <c r="BV9" s="2257"/>
      <c r="BW9" s="2257"/>
      <c r="BX9" s="2257"/>
      <c r="BY9" s="2257"/>
      <c r="BZ9" s="2257"/>
      <c r="CA9" s="2257"/>
      <c r="CB9" s="2257"/>
      <c r="CC9" s="2257"/>
      <c r="CD9" s="2257"/>
      <c r="CE9" s="2257"/>
      <c r="CF9" s="2257"/>
      <c r="CG9" s="2257"/>
      <c r="CH9" s="2257"/>
      <c r="CI9" s="2257"/>
      <c r="CJ9" s="2257"/>
      <c r="CK9" s="2257"/>
      <c r="CL9" s="2257"/>
      <c r="CM9" s="2257"/>
      <c r="CN9" s="2257"/>
      <c r="CO9" s="2257"/>
      <c r="CP9" s="2257"/>
      <c r="CQ9" s="2257"/>
      <c r="CR9" s="2257"/>
      <c r="CS9" s="2257"/>
      <c r="CT9" s="2257"/>
      <c r="CU9" s="2257"/>
      <c r="CV9" s="2257"/>
      <c r="CW9" s="2257"/>
      <c r="CX9" s="2257"/>
      <c r="CY9" s="2257"/>
      <c r="CZ9" s="2257"/>
      <c r="DA9" s="2257"/>
      <c r="DB9" s="2257"/>
      <c r="DC9" s="2257"/>
      <c r="DD9" s="2257"/>
      <c r="DE9" s="2257"/>
      <c r="DF9" s="2257"/>
      <c r="DG9" s="2257"/>
      <c r="DH9" s="2257"/>
      <c r="DI9" s="2257"/>
      <c r="DJ9" s="2257"/>
      <c r="DK9" s="2257"/>
      <c r="DL9" s="2257"/>
      <c r="DM9" s="2257"/>
      <c r="DN9" s="2257"/>
      <c r="DO9" s="2257"/>
      <c r="DP9" s="2257"/>
      <c r="DQ9" s="2257"/>
      <c r="DR9" s="2257"/>
      <c r="DS9" s="2257"/>
      <c r="DT9" s="2257"/>
      <c r="DU9" s="2257"/>
      <c r="DV9" s="2257"/>
      <c r="DW9" s="2257"/>
      <c r="DX9" s="2257"/>
      <c r="DY9" s="2257"/>
      <c r="DZ9" s="2257"/>
      <c r="EA9" s="2257"/>
      <c r="EB9" s="2257"/>
      <c r="EC9" s="2257"/>
      <c r="ED9" s="2257"/>
      <c r="EE9" s="2257"/>
      <c r="EF9" s="2257"/>
      <c r="EG9" s="2257"/>
      <c r="EH9" s="2257"/>
      <c r="EI9" s="2257"/>
      <c r="EJ9" s="2257"/>
      <c r="EK9" s="2257"/>
      <c r="EL9" s="2257"/>
      <c r="EM9" s="2257"/>
      <c r="EN9" s="2257"/>
      <c r="EO9" s="2257"/>
      <c r="EP9" s="2257"/>
      <c r="EQ9" s="2257"/>
      <c r="ER9" s="2257"/>
      <c r="ES9" s="2257"/>
      <c r="ET9" s="2257"/>
      <c r="EU9" s="2257"/>
      <c r="EV9" s="2257"/>
      <c r="EW9" s="2257"/>
      <c r="EX9" s="2257"/>
      <c r="EY9" s="2257"/>
      <c r="EZ9" s="2257"/>
      <c r="FA9" s="2257"/>
      <c r="FB9" s="2257"/>
      <c r="FC9" s="2257"/>
      <c r="FD9" s="2257"/>
      <c r="FE9" s="2257"/>
      <c r="FF9" s="2257"/>
      <c r="FG9" s="2257"/>
      <c r="FH9" s="2257"/>
      <c r="FI9" s="2257"/>
      <c r="FJ9" s="2257"/>
      <c r="FK9" s="2257"/>
      <c r="FL9" s="2257"/>
      <c r="FM9" s="2257"/>
      <c r="FN9" s="2257"/>
      <c r="FO9" s="2257"/>
      <c r="FP9" s="2257"/>
      <c r="FQ9" s="2257"/>
      <c r="FR9" s="2257"/>
      <c r="FS9" s="2257"/>
      <c r="FT9" s="2257"/>
      <c r="FU9" s="2257"/>
      <c r="FV9" s="2257"/>
      <c r="FW9" s="2257"/>
      <c r="FX9" s="2257"/>
      <c r="FY9" s="2257"/>
      <c r="FZ9" s="2257"/>
      <c r="GA9" s="2257"/>
      <c r="GB9" s="2257"/>
      <c r="GC9" s="2257"/>
      <c r="GD9" s="2257"/>
      <c r="GE9" s="2257"/>
      <c r="GF9" s="2257"/>
      <c r="GG9" s="2257"/>
      <c r="GH9" s="2257"/>
      <c r="GI9" s="2257"/>
      <c r="GJ9" s="2257"/>
      <c r="GK9" s="2257"/>
      <c r="GL9" s="2257"/>
      <c r="GM9" s="2257"/>
      <c r="GN9" s="2257"/>
      <c r="GO9" s="2257"/>
      <c r="GP9" s="2257"/>
      <c r="GQ9" s="2257"/>
      <c r="GR9" s="2257"/>
      <c r="GS9" s="2257"/>
      <c r="GT9" s="2257"/>
      <c r="GU9" s="2257"/>
      <c r="GV9" s="2257"/>
      <c r="GW9" s="2257"/>
      <c r="GX9" s="2257"/>
      <c r="GY9" s="2257"/>
      <c r="GZ9" s="2257"/>
      <c r="HA9" s="2257"/>
      <c r="HB9" s="2257"/>
      <c r="HC9" s="2257"/>
      <c r="HD9" s="2257"/>
      <c r="HE9" s="2257"/>
      <c r="HF9" s="2257"/>
      <c r="HG9" s="2257"/>
      <c r="HH9" s="2257"/>
      <c r="HI9" s="2257"/>
      <c r="HJ9" s="2257"/>
      <c r="HK9" s="2257"/>
      <c r="HL9" s="2257"/>
      <c r="HM9" s="2257"/>
      <c r="HN9" s="2257"/>
      <c r="HO9" s="2257"/>
      <c r="HP9" s="2257"/>
      <c r="HQ9" s="2257"/>
      <c r="HR9" s="2257"/>
      <c r="HS9" s="2257"/>
      <c r="HT9" s="2257"/>
      <c r="HU9" s="2257"/>
      <c r="HV9" s="2257"/>
      <c r="HW9" s="2257"/>
      <c r="HX9" s="2257"/>
      <c r="HY9" s="2257"/>
      <c r="HZ9" s="2257"/>
      <c r="IA9" s="2257"/>
      <c r="IB9" s="2257"/>
      <c r="IC9" s="2257"/>
      <c r="ID9" s="2257"/>
      <c r="IE9" s="2257"/>
      <c r="IF9" s="2257"/>
      <c r="IG9" s="2257"/>
      <c r="IH9" s="2257"/>
      <c r="II9" s="2257"/>
      <c r="IJ9" s="2257"/>
      <c r="IK9" s="2257"/>
      <c r="IL9" s="2257"/>
      <c r="IM9" s="2257"/>
      <c r="IN9" s="2257"/>
      <c r="IO9" s="2257"/>
      <c r="IP9" s="2257"/>
      <c r="IQ9" s="2257"/>
      <c r="IR9" s="2257"/>
      <c r="IS9" s="2257"/>
      <c r="IT9" s="2257"/>
      <c r="IU9" s="2257"/>
      <c r="IV9" s="2257"/>
      <c r="IW9" s="2258"/>
    </row>
    <row r="10" spans="1:257" ht="22.5">
      <c r="A10" s="2259"/>
      <c r="B10" s="2260" t="s">
        <v>2073</v>
      </c>
      <c r="C10" s="2259"/>
      <c r="D10" s="2259"/>
      <c r="E10" s="2259"/>
      <c r="F10" s="2259"/>
      <c r="G10" s="2259"/>
      <c r="H10" s="2259"/>
      <c r="I10" s="2233"/>
      <c r="J10" s="2233"/>
      <c r="K10" s="2259"/>
      <c r="L10" s="2260" t="s">
        <v>2074</v>
      </c>
      <c r="M10" s="2259"/>
      <c r="N10" s="2259"/>
      <c r="O10" s="2259"/>
      <c r="P10" s="2259"/>
      <c r="Q10" s="2259"/>
      <c r="R10" s="2259"/>
      <c r="S10" s="2259"/>
      <c r="T10" s="2259"/>
      <c r="U10" s="2259"/>
      <c r="V10" s="2259"/>
      <c r="W10" s="2259"/>
      <c r="X10" s="2259"/>
      <c r="Y10" s="2259"/>
      <c r="Z10" s="2259"/>
      <c r="AA10" s="2261"/>
      <c r="AB10" s="2261"/>
      <c r="AC10" s="2261"/>
      <c r="AD10" s="2261"/>
      <c r="AE10" s="2261"/>
      <c r="AF10" s="2261"/>
      <c r="AG10" s="2261"/>
      <c r="AH10" s="2261"/>
      <c r="AI10" s="2261"/>
      <c r="AJ10" s="2261"/>
      <c r="AK10" s="2261"/>
      <c r="AL10" s="2261"/>
      <c r="AM10" s="2261"/>
      <c r="AN10" s="2261"/>
      <c r="AO10" s="2261"/>
      <c r="AP10" s="2261"/>
      <c r="AQ10" s="2261"/>
      <c r="AR10" s="2261"/>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c r="BP10" s="2261"/>
      <c r="BQ10" s="2261"/>
      <c r="BR10" s="2261"/>
      <c r="BS10" s="2261"/>
      <c r="BT10" s="2261"/>
      <c r="BU10" s="2261"/>
      <c r="BV10" s="2261"/>
      <c r="BW10" s="2261"/>
      <c r="BX10" s="2261"/>
      <c r="BY10" s="2261"/>
      <c r="BZ10" s="2261"/>
      <c r="CA10" s="2261"/>
      <c r="CB10" s="2261"/>
      <c r="CC10" s="2261"/>
      <c r="CD10" s="2261"/>
      <c r="CE10" s="2261"/>
      <c r="CF10" s="2261"/>
      <c r="CG10" s="2261"/>
      <c r="CH10" s="2261"/>
      <c r="CI10" s="2261"/>
      <c r="CJ10" s="2261"/>
      <c r="CK10" s="2261"/>
      <c r="CL10" s="2261"/>
      <c r="CM10" s="2261"/>
      <c r="CN10" s="2261"/>
      <c r="CO10" s="2261"/>
      <c r="CP10" s="2261"/>
      <c r="CQ10" s="2261"/>
      <c r="CR10" s="2261"/>
      <c r="CS10" s="2261"/>
      <c r="CT10" s="2261"/>
      <c r="CU10" s="2261"/>
      <c r="CV10" s="2261"/>
      <c r="CW10" s="2261"/>
      <c r="CX10" s="2261"/>
      <c r="CY10" s="2261"/>
      <c r="CZ10" s="2261"/>
      <c r="DA10" s="2261"/>
      <c r="DB10" s="2261"/>
      <c r="DC10" s="2261"/>
      <c r="DD10" s="2261"/>
      <c r="DE10" s="2261"/>
      <c r="DF10" s="2261"/>
      <c r="DG10" s="2261"/>
      <c r="DH10" s="2261"/>
      <c r="DI10" s="2261"/>
      <c r="DJ10" s="2261"/>
      <c r="DK10" s="2261"/>
      <c r="DL10" s="2261"/>
      <c r="DM10" s="2261"/>
      <c r="DN10" s="2261"/>
      <c r="DO10" s="2261"/>
      <c r="DP10" s="2261"/>
      <c r="DQ10" s="2261"/>
      <c r="DR10" s="2261"/>
      <c r="DS10" s="2261"/>
      <c r="DT10" s="2261"/>
      <c r="DU10" s="2261"/>
      <c r="DV10" s="2261"/>
      <c r="DW10" s="2261"/>
      <c r="DX10" s="2261"/>
      <c r="DY10" s="2261"/>
      <c r="DZ10" s="2261"/>
      <c r="EA10" s="2261"/>
      <c r="EB10" s="2261"/>
      <c r="EC10" s="2261"/>
      <c r="ED10" s="2261"/>
      <c r="EE10" s="2261"/>
      <c r="EF10" s="2261"/>
      <c r="EG10" s="2261"/>
      <c r="EH10" s="2261"/>
      <c r="EI10" s="2261"/>
      <c r="EJ10" s="2261"/>
      <c r="EK10" s="2261"/>
      <c r="EL10" s="2261"/>
      <c r="EM10" s="2261"/>
      <c r="EN10" s="2261"/>
      <c r="EO10" s="2261"/>
      <c r="EP10" s="2261"/>
      <c r="EQ10" s="2261"/>
      <c r="ER10" s="2261"/>
      <c r="ES10" s="2261"/>
      <c r="ET10" s="2261"/>
      <c r="EU10" s="2261"/>
      <c r="EV10" s="2261"/>
      <c r="EW10" s="2261"/>
      <c r="EX10" s="2261"/>
      <c r="EY10" s="2261"/>
      <c r="EZ10" s="2261"/>
      <c r="FA10" s="2261"/>
      <c r="FB10" s="2261"/>
      <c r="FC10" s="2261"/>
      <c r="FD10" s="2261"/>
      <c r="FE10" s="2261"/>
      <c r="FF10" s="2261"/>
      <c r="FG10" s="2261"/>
      <c r="FH10" s="2261"/>
      <c r="FI10" s="2261"/>
      <c r="FJ10" s="2261"/>
      <c r="FK10" s="2261"/>
      <c r="FL10" s="2261"/>
      <c r="FM10" s="2261"/>
      <c r="FN10" s="2261"/>
      <c r="FO10" s="2261"/>
      <c r="FP10" s="2261"/>
      <c r="FQ10" s="2261"/>
      <c r="FR10" s="2261"/>
      <c r="FS10" s="2261"/>
      <c r="FT10" s="2261"/>
      <c r="FU10" s="2261"/>
      <c r="FV10" s="2261"/>
      <c r="FW10" s="2261"/>
      <c r="FX10" s="2261"/>
      <c r="FY10" s="2261"/>
      <c r="FZ10" s="2261"/>
      <c r="GA10" s="2261"/>
      <c r="GB10" s="2261"/>
      <c r="GC10" s="2261"/>
      <c r="GD10" s="2261"/>
      <c r="GE10" s="2261"/>
      <c r="GF10" s="2261"/>
      <c r="GG10" s="2261"/>
      <c r="GH10" s="2261"/>
      <c r="GI10" s="2261"/>
      <c r="GJ10" s="2261"/>
      <c r="GK10" s="2261"/>
      <c r="GL10" s="2261"/>
      <c r="GM10" s="2261"/>
      <c r="GN10" s="2261"/>
      <c r="GO10" s="2261"/>
      <c r="GP10" s="2261"/>
      <c r="GQ10" s="2261"/>
      <c r="GR10" s="2261"/>
      <c r="GS10" s="2261"/>
      <c r="GT10" s="2261"/>
      <c r="GU10" s="2261"/>
      <c r="GV10" s="2261"/>
      <c r="GW10" s="2261"/>
      <c r="GX10" s="2261"/>
      <c r="GY10" s="2261"/>
      <c r="GZ10" s="2261"/>
      <c r="HA10" s="2261"/>
      <c r="HB10" s="2261"/>
      <c r="HC10" s="2261"/>
      <c r="HD10" s="2261"/>
      <c r="HE10" s="2261"/>
      <c r="HF10" s="2261"/>
      <c r="HG10" s="2261"/>
      <c r="HH10" s="2261"/>
      <c r="HI10" s="2261"/>
      <c r="HJ10" s="2261"/>
      <c r="HK10" s="2261"/>
      <c r="HL10" s="2261"/>
      <c r="HM10" s="2261"/>
      <c r="HN10" s="2261"/>
      <c r="HO10" s="2261"/>
      <c r="HP10" s="2261"/>
      <c r="HQ10" s="2261"/>
      <c r="HR10" s="2261"/>
      <c r="HS10" s="2261"/>
      <c r="HT10" s="2261"/>
      <c r="HU10" s="2261"/>
      <c r="HV10" s="2261"/>
      <c r="HW10" s="2261"/>
      <c r="HX10" s="2261"/>
      <c r="HY10" s="2261"/>
      <c r="HZ10" s="2261"/>
      <c r="IA10" s="2261"/>
      <c r="IB10" s="2261"/>
      <c r="IC10" s="2261"/>
      <c r="ID10" s="2261"/>
      <c r="IE10" s="2261"/>
      <c r="IF10" s="2261"/>
      <c r="IG10" s="2261"/>
      <c r="IH10" s="2261"/>
      <c r="II10" s="2261"/>
      <c r="IJ10" s="2261"/>
      <c r="IK10" s="2261"/>
      <c r="IL10" s="2261"/>
      <c r="IM10" s="2261"/>
      <c r="IN10" s="2261"/>
      <c r="IO10" s="2261"/>
      <c r="IP10" s="2261"/>
      <c r="IQ10" s="2261"/>
      <c r="IR10" s="2261"/>
      <c r="IS10" s="2261"/>
      <c r="IT10" s="2261"/>
      <c r="IU10" s="2261"/>
      <c r="IV10" s="2261"/>
    </row>
    <row r="11" spans="1:257">
      <c r="A11" s="2262"/>
      <c r="B11" s="2263" t="s">
        <v>2075</v>
      </c>
      <c r="C11" s="2264" t="s">
        <v>2076</v>
      </c>
      <c r="D11" s="2265" t="s">
        <v>2077</v>
      </c>
      <c r="E11" s="2266"/>
      <c r="F11" s="2265" t="s">
        <v>2078</v>
      </c>
      <c r="G11" s="2267"/>
      <c r="H11" s="2266"/>
      <c r="I11" s="2265" t="s">
        <v>2079</v>
      </c>
      <c r="J11" s="2266"/>
      <c r="K11" s="2262"/>
      <c r="L11" s="2263" t="s">
        <v>2075</v>
      </c>
      <c r="M11" s="2264" t="s">
        <v>2076</v>
      </c>
      <c r="N11" s="2263" t="s">
        <v>2080</v>
      </c>
      <c r="O11" s="2265" t="s">
        <v>2081</v>
      </c>
      <c r="P11" s="2267"/>
      <c r="Q11" s="2267"/>
      <c r="R11" s="2267"/>
      <c r="S11" s="2267"/>
      <c r="T11" s="2266"/>
      <c r="U11" s="2265" t="s">
        <v>2082</v>
      </c>
      <c r="V11" s="2267"/>
      <c r="W11" s="2266"/>
      <c r="X11" s="2263" t="s">
        <v>2083</v>
      </c>
      <c r="Y11" s="2263" t="s">
        <v>2084</v>
      </c>
      <c r="Z11" s="2263" t="s">
        <v>2085</v>
      </c>
      <c r="AA11" s="2268"/>
      <c r="AB11" s="2268"/>
      <c r="AC11" s="2268"/>
      <c r="AD11" s="2268"/>
      <c r="AE11" s="2268"/>
      <c r="AF11" s="2268"/>
      <c r="AG11" s="2268"/>
      <c r="AH11" s="2268"/>
      <c r="AI11" s="2268"/>
      <c r="AJ11" s="2268"/>
      <c r="AK11" s="2268"/>
      <c r="AL11" s="2268"/>
      <c r="AM11" s="2268"/>
      <c r="AN11" s="2268"/>
      <c r="AO11" s="2268"/>
      <c r="AP11" s="2268"/>
      <c r="AQ11" s="2268"/>
      <c r="AR11" s="2268"/>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c r="BP11" s="2268"/>
      <c r="BQ11" s="2268"/>
      <c r="BR11" s="2268"/>
      <c r="BS11" s="2268"/>
      <c r="BT11" s="2268"/>
      <c r="BU11" s="2268"/>
      <c r="BV11" s="2268"/>
      <c r="BW11" s="2268"/>
      <c r="BX11" s="2268"/>
      <c r="BY11" s="2268"/>
      <c r="BZ11" s="2268"/>
      <c r="CA11" s="2268"/>
      <c r="CB11" s="2268"/>
      <c r="CC11" s="2268"/>
      <c r="CD11" s="2268"/>
      <c r="CE11" s="2268"/>
      <c r="CF11" s="2268"/>
      <c r="CG11" s="2268"/>
      <c r="CH11" s="2268"/>
      <c r="CI11" s="2268"/>
      <c r="CJ11" s="2268"/>
      <c r="CK11" s="2268"/>
      <c r="CL11" s="2268"/>
      <c r="CM11" s="2268"/>
      <c r="CN11" s="2268"/>
      <c r="CO11" s="2268"/>
      <c r="CP11" s="2268"/>
      <c r="CQ11" s="2268"/>
      <c r="CR11" s="2268"/>
      <c r="CS11" s="2268"/>
      <c r="CT11" s="2268"/>
      <c r="CU11" s="2268"/>
      <c r="CV11" s="2268"/>
      <c r="CW11" s="2268"/>
      <c r="CX11" s="2268"/>
      <c r="CY11" s="2268"/>
      <c r="CZ11" s="2268"/>
      <c r="DA11" s="2268"/>
      <c r="DB11" s="2268"/>
      <c r="DC11" s="2268"/>
      <c r="DD11" s="2268"/>
      <c r="DE11" s="2268"/>
      <c r="DF11" s="2268"/>
      <c r="DG11" s="2268"/>
      <c r="DH11" s="2268"/>
      <c r="DI11" s="2268"/>
      <c r="DJ11" s="2268"/>
      <c r="DK11" s="2268"/>
      <c r="DL11" s="2268"/>
      <c r="DM11" s="2268"/>
      <c r="DN11" s="2268"/>
      <c r="DO11" s="2268"/>
      <c r="DP11" s="2268"/>
      <c r="DQ11" s="2268"/>
      <c r="DR11" s="2268"/>
      <c r="DS11" s="2268"/>
      <c r="DT11" s="2268"/>
      <c r="DU11" s="2268"/>
      <c r="DV11" s="2268"/>
      <c r="DW11" s="2268"/>
      <c r="DX11" s="2268"/>
      <c r="DY11" s="2268"/>
      <c r="DZ11" s="2268"/>
      <c r="EA11" s="2268"/>
      <c r="EB11" s="2268"/>
      <c r="EC11" s="2268"/>
      <c r="ED11" s="2268"/>
      <c r="EE11" s="2268"/>
      <c r="EF11" s="2268"/>
      <c r="EG11" s="2268"/>
      <c r="EH11" s="2268"/>
      <c r="EI11" s="2268"/>
      <c r="EJ11" s="2268"/>
      <c r="EK11" s="2268"/>
      <c r="EL11" s="2268"/>
      <c r="EM11" s="2268"/>
      <c r="EN11" s="2268"/>
      <c r="EO11" s="2268"/>
      <c r="EP11" s="2268"/>
      <c r="EQ11" s="2268"/>
      <c r="ER11" s="2268"/>
      <c r="ES11" s="2268"/>
      <c r="ET11" s="2268"/>
      <c r="EU11" s="2268"/>
      <c r="EV11" s="2268"/>
      <c r="EW11" s="2268"/>
      <c r="EX11" s="2268"/>
      <c r="EY11" s="2268"/>
      <c r="EZ11" s="2268"/>
      <c r="FA11" s="2268"/>
      <c r="FB11" s="2268"/>
      <c r="FC11" s="2268"/>
      <c r="FD11" s="2268"/>
      <c r="FE11" s="2268"/>
      <c r="FF11" s="2268"/>
      <c r="FG11" s="2268"/>
      <c r="FH11" s="2268"/>
      <c r="FI11" s="2268"/>
      <c r="FJ11" s="2268"/>
      <c r="FK11" s="2268"/>
      <c r="FL11" s="2268"/>
      <c r="FM11" s="2268"/>
      <c r="FN11" s="2268"/>
      <c r="FO11" s="2268"/>
      <c r="FP11" s="2268"/>
      <c r="FQ11" s="2268"/>
      <c r="FR11" s="2268"/>
      <c r="FS11" s="2268"/>
      <c r="FT11" s="2268"/>
      <c r="FU11" s="2268"/>
      <c r="FV11" s="2268"/>
      <c r="FW11" s="2268"/>
      <c r="FX11" s="2268"/>
      <c r="FY11" s="2268"/>
      <c r="FZ11" s="2268"/>
      <c r="GA11" s="2268"/>
      <c r="GB11" s="2268"/>
      <c r="GC11" s="2268"/>
      <c r="GD11" s="2268"/>
      <c r="GE11" s="2268"/>
      <c r="GF11" s="2268"/>
      <c r="GG11" s="2268"/>
      <c r="GH11" s="2268"/>
      <c r="GI11" s="2268"/>
      <c r="GJ11" s="2268"/>
      <c r="GK11" s="2268"/>
      <c r="GL11" s="2268"/>
      <c r="GM11" s="2268"/>
      <c r="GN11" s="2268"/>
      <c r="GO11" s="2268"/>
      <c r="GP11" s="2268"/>
      <c r="GQ11" s="2268"/>
      <c r="GR11" s="2268"/>
      <c r="GS11" s="2268"/>
      <c r="GT11" s="2268"/>
      <c r="GU11" s="2268"/>
      <c r="GV11" s="2268"/>
      <c r="GW11" s="2268"/>
      <c r="GX11" s="2268"/>
      <c r="GY11" s="2268"/>
      <c r="GZ11" s="2268"/>
      <c r="HA11" s="2268"/>
      <c r="HB11" s="2268"/>
      <c r="HC11" s="2268"/>
      <c r="HD11" s="2268"/>
      <c r="HE11" s="2268"/>
      <c r="HF11" s="2268"/>
      <c r="HG11" s="2268"/>
      <c r="HH11" s="2268"/>
      <c r="HI11" s="2268"/>
      <c r="HJ11" s="2268"/>
      <c r="HK11" s="2268"/>
      <c r="HL11" s="2268"/>
      <c r="HM11" s="2268"/>
      <c r="HN11" s="2268"/>
      <c r="HO11" s="2268"/>
      <c r="HP11" s="2268"/>
      <c r="HQ11" s="2268"/>
      <c r="HR11" s="2268"/>
      <c r="HS11" s="2268"/>
      <c r="HT11" s="2268"/>
      <c r="HU11" s="2268"/>
      <c r="HV11" s="2268"/>
      <c r="HW11" s="2268"/>
      <c r="HX11" s="2268"/>
      <c r="HY11" s="2268"/>
      <c r="HZ11" s="2268"/>
      <c r="IA11" s="2268"/>
      <c r="IB11" s="2268"/>
      <c r="IC11" s="2268"/>
      <c r="ID11" s="2268"/>
      <c r="IE11" s="2268"/>
      <c r="IF11" s="2268"/>
      <c r="IG11" s="2268"/>
      <c r="IH11" s="2268"/>
      <c r="II11" s="2268"/>
      <c r="IJ11" s="2268"/>
      <c r="IK11" s="2268"/>
      <c r="IL11" s="2268"/>
      <c r="IM11" s="2268"/>
      <c r="IN11" s="2268"/>
      <c r="IO11" s="2268"/>
      <c r="IP11" s="2268"/>
      <c r="IQ11" s="2268"/>
      <c r="IR11" s="2268"/>
      <c r="IS11" s="2268"/>
      <c r="IT11" s="2268"/>
      <c r="IU11" s="2268"/>
      <c r="IV11" s="2268"/>
    </row>
    <row r="12" spans="1:257">
      <c r="A12" s="2262"/>
      <c r="B12" s="2269"/>
      <c r="C12" s="2270"/>
      <c r="D12" s="2271" t="s">
        <v>2086</v>
      </c>
      <c r="E12" s="2271" t="s">
        <v>2087</v>
      </c>
      <c r="F12" s="2271" t="s">
        <v>2088</v>
      </c>
      <c r="G12" s="2271" t="s">
        <v>2089</v>
      </c>
      <c r="H12" s="2271" t="s">
        <v>2071</v>
      </c>
      <c r="I12" s="2272" t="s">
        <v>2090</v>
      </c>
      <c r="J12" s="2272" t="s">
        <v>2090</v>
      </c>
      <c r="K12" s="2262"/>
      <c r="L12" s="2269"/>
      <c r="M12" s="2270"/>
      <c r="N12" s="2269"/>
      <c r="O12" s="2272" t="s">
        <v>2091</v>
      </c>
      <c r="P12" s="2272">
        <v>0.5</v>
      </c>
      <c r="Q12" s="2272">
        <v>1</v>
      </c>
      <c r="R12" s="2272">
        <v>2</v>
      </c>
      <c r="S12" s="2272">
        <v>3</v>
      </c>
      <c r="T12" s="2272">
        <v>5</v>
      </c>
      <c r="U12" s="2272">
        <v>1</v>
      </c>
      <c r="V12" s="2272">
        <v>3</v>
      </c>
      <c r="W12" s="2272">
        <v>5</v>
      </c>
      <c r="X12" s="2269"/>
      <c r="Y12" s="2269"/>
      <c r="Z12" s="2269"/>
      <c r="AA12" s="2268"/>
      <c r="AB12" s="2268"/>
      <c r="AC12" s="2268"/>
      <c r="AD12" s="2268"/>
      <c r="AE12" s="2268"/>
      <c r="AF12" s="2268"/>
      <c r="AG12" s="2268"/>
      <c r="AH12" s="2268"/>
      <c r="AI12" s="2268"/>
      <c r="AJ12" s="2268"/>
      <c r="AK12" s="2268"/>
      <c r="AL12" s="2268"/>
      <c r="AM12" s="2268"/>
      <c r="AN12" s="2268"/>
      <c r="AO12" s="2268"/>
      <c r="AP12" s="2268"/>
      <c r="AQ12" s="2268"/>
      <c r="AR12" s="2268"/>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c r="BP12" s="2268"/>
      <c r="BQ12" s="2268"/>
      <c r="BR12" s="2268"/>
      <c r="BS12" s="2268"/>
      <c r="BT12" s="2268"/>
      <c r="BU12" s="2268"/>
      <c r="BV12" s="2268"/>
      <c r="BW12" s="2268"/>
      <c r="BX12" s="2268"/>
      <c r="BY12" s="2268"/>
      <c r="BZ12" s="2268"/>
      <c r="CA12" s="2268"/>
      <c r="CB12" s="2268"/>
      <c r="CC12" s="2268"/>
      <c r="CD12" s="2268"/>
      <c r="CE12" s="2268"/>
      <c r="CF12" s="2268"/>
      <c r="CG12" s="2268"/>
      <c r="CH12" s="2268"/>
      <c r="CI12" s="2268"/>
      <c r="CJ12" s="2268"/>
      <c r="CK12" s="2268"/>
      <c r="CL12" s="2268"/>
      <c r="CM12" s="2268"/>
      <c r="CN12" s="2268"/>
      <c r="CO12" s="2268"/>
      <c r="CP12" s="2268"/>
      <c r="CQ12" s="2268"/>
      <c r="CR12" s="2268"/>
      <c r="CS12" s="2268"/>
      <c r="CT12" s="2268"/>
      <c r="CU12" s="2268"/>
      <c r="CV12" s="2268"/>
      <c r="CW12" s="2268"/>
      <c r="CX12" s="2268"/>
      <c r="CY12" s="2268"/>
      <c r="CZ12" s="2268"/>
      <c r="DA12" s="2268"/>
      <c r="DB12" s="2268"/>
      <c r="DC12" s="2268"/>
      <c r="DD12" s="2268"/>
      <c r="DE12" s="2268"/>
      <c r="DF12" s="2268"/>
      <c r="DG12" s="2268"/>
      <c r="DH12" s="2268"/>
      <c r="DI12" s="2268"/>
      <c r="DJ12" s="2268"/>
      <c r="DK12" s="2268"/>
      <c r="DL12" s="2268"/>
      <c r="DM12" s="2268"/>
      <c r="DN12" s="2268"/>
      <c r="DO12" s="2268"/>
      <c r="DP12" s="2268"/>
      <c r="DQ12" s="2268"/>
      <c r="DR12" s="2268"/>
      <c r="DS12" s="2268"/>
      <c r="DT12" s="2268"/>
      <c r="DU12" s="2268"/>
      <c r="DV12" s="2268"/>
      <c r="DW12" s="2268"/>
      <c r="DX12" s="2268"/>
      <c r="DY12" s="2268"/>
      <c r="DZ12" s="2268"/>
      <c r="EA12" s="2268"/>
      <c r="EB12" s="2268"/>
      <c r="EC12" s="2268"/>
      <c r="ED12" s="2268"/>
      <c r="EE12" s="2268"/>
      <c r="EF12" s="2268"/>
      <c r="EG12" s="2268"/>
      <c r="EH12" s="2268"/>
      <c r="EI12" s="2268"/>
      <c r="EJ12" s="2268"/>
      <c r="EK12" s="2268"/>
      <c r="EL12" s="2268"/>
      <c r="EM12" s="2268"/>
      <c r="EN12" s="2268"/>
      <c r="EO12" s="2268"/>
      <c r="EP12" s="2268"/>
      <c r="EQ12" s="2268"/>
      <c r="ER12" s="2268"/>
      <c r="ES12" s="2268"/>
      <c r="ET12" s="2268"/>
      <c r="EU12" s="2268"/>
      <c r="EV12" s="2268"/>
      <c r="EW12" s="2268"/>
      <c r="EX12" s="2268"/>
      <c r="EY12" s="2268"/>
      <c r="EZ12" s="2268"/>
      <c r="FA12" s="2268"/>
      <c r="FB12" s="2268"/>
      <c r="FC12" s="2268"/>
      <c r="FD12" s="2268"/>
      <c r="FE12" s="2268"/>
      <c r="FF12" s="2268"/>
      <c r="FG12" s="2268"/>
      <c r="FH12" s="2268"/>
      <c r="FI12" s="2268"/>
      <c r="FJ12" s="2268"/>
      <c r="FK12" s="2268"/>
      <c r="FL12" s="2268"/>
      <c r="FM12" s="2268"/>
      <c r="FN12" s="2268"/>
      <c r="FO12" s="2268"/>
      <c r="FP12" s="2268"/>
      <c r="FQ12" s="2268"/>
      <c r="FR12" s="2268"/>
      <c r="FS12" s="2268"/>
      <c r="FT12" s="2268"/>
      <c r="FU12" s="2268"/>
      <c r="FV12" s="2268"/>
      <c r="FW12" s="2268"/>
      <c r="FX12" s="2268"/>
      <c r="FY12" s="2268"/>
      <c r="FZ12" s="2268"/>
      <c r="GA12" s="2268"/>
      <c r="GB12" s="2268"/>
      <c r="GC12" s="2268"/>
      <c r="GD12" s="2268"/>
      <c r="GE12" s="2268"/>
      <c r="GF12" s="2268"/>
      <c r="GG12" s="2268"/>
      <c r="GH12" s="2268"/>
      <c r="GI12" s="2268"/>
      <c r="GJ12" s="2268"/>
      <c r="GK12" s="2268"/>
      <c r="GL12" s="2268"/>
      <c r="GM12" s="2268"/>
      <c r="GN12" s="2268"/>
      <c r="GO12" s="2268"/>
      <c r="GP12" s="2268"/>
      <c r="GQ12" s="2268"/>
      <c r="GR12" s="2268"/>
      <c r="GS12" s="2268"/>
      <c r="GT12" s="2268"/>
      <c r="GU12" s="2268"/>
      <c r="GV12" s="2268"/>
      <c r="GW12" s="2268"/>
      <c r="GX12" s="2268"/>
      <c r="GY12" s="2268"/>
      <c r="GZ12" s="2268"/>
      <c r="HA12" s="2268"/>
      <c r="HB12" s="2268"/>
      <c r="HC12" s="2268"/>
      <c r="HD12" s="2268"/>
      <c r="HE12" s="2268"/>
      <c r="HF12" s="2268"/>
      <c r="HG12" s="2268"/>
      <c r="HH12" s="2268"/>
      <c r="HI12" s="2268"/>
      <c r="HJ12" s="2268"/>
      <c r="HK12" s="2268"/>
      <c r="HL12" s="2268"/>
      <c r="HM12" s="2268"/>
      <c r="HN12" s="2268"/>
      <c r="HO12" s="2268"/>
      <c r="HP12" s="2268"/>
      <c r="HQ12" s="2268"/>
      <c r="HR12" s="2268"/>
      <c r="HS12" s="2268"/>
      <c r="HT12" s="2268"/>
      <c r="HU12" s="2268"/>
      <c r="HV12" s="2268"/>
      <c r="HW12" s="2268"/>
      <c r="HX12" s="2268"/>
      <c r="HY12" s="2268"/>
      <c r="HZ12" s="2268"/>
      <c r="IA12" s="2268"/>
      <c r="IB12" s="2268"/>
      <c r="IC12" s="2268"/>
      <c r="ID12" s="2268"/>
      <c r="IE12" s="2268"/>
      <c r="IF12" s="2268"/>
      <c r="IG12" s="2268"/>
      <c r="IH12" s="2268"/>
      <c r="II12" s="2268"/>
      <c r="IJ12" s="2268"/>
      <c r="IK12" s="2268"/>
      <c r="IL12" s="2268"/>
      <c r="IM12" s="2268"/>
      <c r="IN12" s="2268"/>
      <c r="IO12" s="2268"/>
      <c r="IP12" s="2268"/>
      <c r="IQ12" s="2268"/>
      <c r="IR12" s="2268"/>
      <c r="IS12" s="2268"/>
      <c r="IT12" s="2268"/>
      <c r="IU12" s="2268"/>
      <c r="IV12" s="2268"/>
    </row>
    <row r="13" spans="1:257" ht="14.25">
      <c r="A13" s="2273"/>
      <c r="B13" s="2274" t="s">
        <v>2092</v>
      </c>
      <c r="C13" s="2275">
        <v>45586</v>
      </c>
      <c r="D13" s="2276">
        <v>3.1</v>
      </c>
      <c r="E13" s="2276">
        <f>D13</f>
        <v>3.1</v>
      </c>
      <c r="F13" s="2276">
        <f>D13</f>
        <v>3.1</v>
      </c>
      <c r="G13" s="2276">
        <f>D13</f>
        <v>3.1</v>
      </c>
      <c r="H13" s="2276">
        <v>3.6</v>
      </c>
      <c r="I13" s="2276"/>
      <c r="J13" s="2276"/>
      <c r="K13" s="2273"/>
      <c r="L13" s="2274" t="s">
        <v>2092</v>
      </c>
      <c r="M13" s="2277">
        <v>42301</v>
      </c>
      <c r="N13" s="2276">
        <v>0.35</v>
      </c>
      <c r="O13" s="2276">
        <v>1.1000000000000001</v>
      </c>
      <c r="P13" s="2276">
        <v>1.3</v>
      </c>
      <c r="Q13" s="2276">
        <v>1.5</v>
      </c>
      <c r="R13" s="2276">
        <v>2.1</v>
      </c>
      <c r="S13" s="2276">
        <v>2.75</v>
      </c>
      <c r="T13" s="2276"/>
      <c r="U13" s="2276"/>
      <c r="V13" s="2276"/>
      <c r="W13" s="2276"/>
      <c r="X13" s="2276"/>
      <c r="Y13" s="2276"/>
      <c r="Z13" s="2276"/>
      <c r="AA13" s="2278"/>
      <c r="AB13" s="2278"/>
      <c r="AC13" s="2278"/>
      <c r="AD13" s="2278"/>
      <c r="AE13" s="2278"/>
      <c r="AF13" s="2278"/>
      <c r="AG13" s="2278"/>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c r="BP13" s="2278"/>
      <c r="BQ13" s="2278"/>
      <c r="BR13" s="2278"/>
      <c r="BS13" s="2278"/>
      <c r="BT13" s="2278"/>
      <c r="BU13" s="2278"/>
      <c r="BV13" s="2278"/>
      <c r="BW13" s="2278"/>
      <c r="BX13" s="2278"/>
      <c r="BY13" s="2278"/>
      <c r="BZ13" s="2278"/>
      <c r="CA13" s="2278"/>
      <c r="CB13" s="2278"/>
      <c r="CC13" s="2278"/>
      <c r="CD13" s="2278"/>
      <c r="CE13" s="2278"/>
      <c r="CF13" s="2278"/>
      <c r="CG13" s="2278"/>
      <c r="CH13" s="2278"/>
      <c r="CI13" s="2278"/>
      <c r="CJ13" s="2278"/>
      <c r="CK13" s="2278"/>
      <c r="CL13" s="2278"/>
      <c r="CM13" s="2278"/>
      <c r="CN13" s="2278"/>
      <c r="CO13" s="2278"/>
      <c r="CP13" s="2278"/>
      <c r="CQ13" s="2278"/>
      <c r="CR13" s="2278"/>
      <c r="CS13" s="2278"/>
      <c r="CT13" s="2278"/>
      <c r="CU13" s="2278"/>
      <c r="CV13" s="2278"/>
      <c r="CW13" s="2278"/>
      <c r="CX13" s="2278"/>
      <c r="CY13" s="2278"/>
      <c r="CZ13" s="2278"/>
      <c r="DA13" s="2278"/>
      <c r="DB13" s="2278"/>
      <c r="DC13" s="2278"/>
      <c r="DD13" s="2278"/>
      <c r="DE13" s="2278"/>
      <c r="DF13" s="2278"/>
      <c r="DG13" s="2278"/>
      <c r="DH13" s="2278"/>
      <c r="DI13" s="2278"/>
      <c r="DJ13" s="2278"/>
      <c r="DK13" s="2278"/>
      <c r="DL13" s="2278"/>
      <c r="DM13" s="2278"/>
      <c r="DN13" s="2278"/>
      <c r="DO13" s="2278"/>
      <c r="DP13" s="2278"/>
      <c r="DQ13" s="2278"/>
      <c r="DR13" s="2278"/>
      <c r="DS13" s="2278"/>
      <c r="DT13" s="2278"/>
      <c r="DU13" s="2278"/>
      <c r="DV13" s="2278"/>
      <c r="DW13" s="2278"/>
      <c r="DX13" s="2278"/>
      <c r="DY13" s="2278"/>
      <c r="DZ13" s="2278"/>
      <c r="EA13" s="2278"/>
      <c r="EB13" s="2278"/>
      <c r="EC13" s="2278"/>
      <c r="ED13" s="2278"/>
      <c r="EE13" s="2278"/>
      <c r="EF13" s="2278"/>
      <c r="EG13" s="2278"/>
      <c r="EH13" s="2278"/>
      <c r="EI13" s="2278"/>
      <c r="EJ13" s="2278"/>
      <c r="EK13" s="2278"/>
      <c r="EL13" s="2278"/>
      <c r="EM13" s="2278"/>
      <c r="EN13" s="2278"/>
      <c r="EO13" s="2278"/>
      <c r="EP13" s="2278"/>
      <c r="EQ13" s="2278"/>
      <c r="ER13" s="2278"/>
      <c r="ES13" s="2278"/>
      <c r="ET13" s="2278"/>
      <c r="EU13" s="2278"/>
      <c r="EV13" s="2278"/>
      <c r="EW13" s="2278"/>
      <c r="EX13" s="2278"/>
      <c r="EY13" s="2278"/>
      <c r="EZ13" s="2278"/>
      <c r="FA13" s="2278"/>
      <c r="FB13" s="2278"/>
      <c r="FC13" s="2278"/>
      <c r="FD13" s="2278"/>
      <c r="FE13" s="2278"/>
      <c r="FF13" s="2278"/>
      <c r="FG13" s="2278"/>
      <c r="FH13" s="2278"/>
      <c r="FI13" s="2278"/>
      <c r="FJ13" s="2278"/>
      <c r="FK13" s="2278"/>
      <c r="FL13" s="2278"/>
      <c r="FM13" s="2278"/>
      <c r="FN13" s="2278"/>
      <c r="FO13" s="2278"/>
      <c r="FP13" s="2278"/>
      <c r="FQ13" s="2278"/>
      <c r="FR13" s="2278"/>
      <c r="FS13" s="2278"/>
      <c r="FT13" s="2278"/>
      <c r="FU13" s="2278"/>
      <c r="FV13" s="2278"/>
      <c r="FW13" s="2278"/>
      <c r="FX13" s="2278"/>
      <c r="FY13" s="2278"/>
      <c r="FZ13" s="2278"/>
      <c r="GA13" s="2278"/>
      <c r="GB13" s="2278"/>
      <c r="GC13" s="2278"/>
      <c r="GD13" s="2278"/>
      <c r="GE13" s="2278"/>
      <c r="GF13" s="2278"/>
      <c r="GG13" s="2278"/>
      <c r="GH13" s="2278"/>
      <c r="GI13" s="2278"/>
      <c r="GJ13" s="2278"/>
      <c r="GK13" s="2278"/>
      <c r="GL13" s="2278"/>
      <c r="GM13" s="2278"/>
      <c r="GN13" s="2278"/>
      <c r="GO13" s="2278"/>
      <c r="GP13" s="2278"/>
      <c r="GQ13" s="2278"/>
      <c r="GR13" s="2278"/>
      <c r="GS13" s="2278"/>
      <c r="GT13" s="2278"/>
      <c r="GU13" s="2278"/>
      <c r="GV13" s="2278"/>
      <c r="GW13" s="2278"/>
      <c r="GX13" s="2278"/>
      <c r="GY13" s="2278"/>
      <c r="GZ13" s="2278"/>
      <c r="HA13" s="2278"/>
      <c r="HB13" s="2278"/>
      <c r="HC13" s="2278"/>
      <c r="HD13" s="2278"/>
      <c r="HE13" s="2278"/>
      <c r="HF13" s="2278"/>
      <c r="HG13" s="2278"/>
      <c r="HH13" s="2278"/>
      <c r="HI13" s="2278"/>
      <c r="HJ13" s="2278"/>
      <c r="HK13" s="2278"/>
      <c r="HL13" s="2278"/>
      <c r="HM13" s="2278"/>
      <c r="HN13" s="2278"/>
      <c r="HO13" s="2278"/>
      <c r="HP13" s="2278"/>
      <c r="HQ13" s="2278"/>
      <c r="HR13" s="2278"/>
      <c r="HS13" s="2278"/>
      <c r="HT13" s="2278"/>
      <c r="HU13" s="2278"/>
      <c r="HV13" s="2278"/>
      <c r="HW13" s="2278"/>
      <c r="HX13" s="2278"/>
      <c r="HY13" s="2278"/>
      <c r="HZ13" s="2278"/>
      <c r="IA13" s="2278"/>
      <c r="IB13" s="2278"/>
      <c r="IC13" s="2278"/>
      <c r="ID13" s="2278"/>
      <c r="IE13" s="2278"/>
      <c r="IF13" s="2278"/>
      <c r="IG13" s="2278"/>
      <c r="IH13" s="2278"/>
      <c r="II13" s="2278"/>
      <c r="IJ13" s="2278"/>
      <c r="IK13" s="2278"/>
      <c r="IL13" s="2278"/>
      <c r="IM13" s="2278"/>
      <c r="IN13" s="2278"/>
      <c r="IO13" s="2278"/>
      <c r="IP13" s="2278"/>
      <c r="IQ13" s="2278"/>
      <c r="IR13" s="2278"/>
      <c r="IS13" s="2278"/>
      <c r="IT13" s="2278"/>
      <c r="IU13" s="2278"/>
      <c r="IV13" s="2278"/>
      <c r="IW13" s="2279"/>
    </row>
    <row r="14" spans="1:257" ht="14.25">
      <c r="A14" s="2273"/>
      <c r="B14" s="2274"/>
      <c r="C14" s="2281">
        <v>45495</v>
      </c>
      <c r="D14" s="2280">
        <v>3.35</v>
      </c>
      <c r="E14" s="2280">
        <f>D14</f>
        <v>3.35</v>
      </c>
      <c r="F14" s="2280">
        <f>D14</f>
        <v>3.35</v>
      </c>
      <c r="G14" s="2280">
        <f>D14</f>
        <v>3.35</v>
      </c>
      <c r="H14" s="2280">
        <v>3.85</v>
      </c>
      <c r="I14" s="2276"/>
      <c r="J14" s="2276"/>
      <c r="K14" s="2273"/>
      <c r="L14" s="2280"/>
      <c r="M14" s="2281">
        <v>42242</v>
      </c>
      <c r="N14" s="2280">
        <v>0.35</v>
      </c>
      <c r="O14" s="2280">
        <v>1.35</v>
      </c>
      <c r="P14" s="2280">
        <v>1.55</v>
      </c>
      <c r="Q14" s="2280">
        <v>1.75</v>
      </c>
      <c r="R14" s="2280">
        <v>2.35</v>
      </c>
      <c r="S14" s="2280">
        <v>3</v>
      </c>
      <c r="T14" s="2280"/>
      <c r="U14" s="2280"/>
      <c r="V14" s="2280"/>
      <c r="W14" s="2280"/>
      <c r="X14" s="2280"/>
      <c r="Y14" s="2280"/>
      <c r="Z14" s="2280"/>
    </row>
    <row r="15" spans="1:257" ht="14.25">
      <c r="A15" s="2273"/>
      <c r="B15" s="2274"/>
      <c r="C15" s="2281">
        <v>45342</v>
      </c>
      <c r="D15" s="2280">
        <v>3.45</v>
      </c>
      <c r="E15" s="2280">
        <f>D15</f>
        <v>3.45</v>
      </c>
      <c r="F15" s="2280">
        <f>D15</f>
        <v>3.45</v>
      </c>
      <c r="G15" s="2280">
        <f>D15</f>
        <v>3.45</v>
      </c>
      <c r="H15" s="2280">
        <v>3.95</v>
      </c>
      <c r="I15" s="2276"/>
      <c r="J15" s="2276"/>
      <c r="K15" s="2273"/>
      <c r="L15" s="2280"/>
      <c r="M15" s="2281">
        <v>42183</v>
      </c>
      <c r="N15" s="2280">
        <v>0.35</v>
      </c>
      <c r="O15" s="2280">
        <v>1.6</v>
      </c>
      <c r="P15" s="2280">
        <v>1.8</v>
      </c>
      <c r="Q15" s="2280">
        <v>2</v>
      </c>
      <c r="R15" s="2280">
        <v>2.6</v>
      </c>
      <c r="S15" s="2280">
        <v>3.25</v>
      </c>
      <c r="T15" s="2280"/>
      <c r="U15" s="2280"/>
      <c r="V15" s="2280"/>
      <c r="W15" s="2280"/>
      <c r="X15" s="2280"/>
      <c r="Y15" s="2280"/>
      <c r="Z15" s="2280"/>
    </row>
    <row r="16" spans="1:257" ht="14.25">
      <c r="A16" s="2273"/>
      <c r="B16" s="2274"/>
      <c r="C16" s="2281">
        <v>45159</v>
      </c>
      <c r="D16" s="2280">
        <v>3.45</v>
      </c>
      <c r="E16" s="2280">
        <f>D16</f>
        <v>3.45</v>
      </c>
      <c r="F16" s="2280">
        <f>D16</f>
        <v>3.45</v>
      </c>
      <c r="G16" s="2280">
        <f>D16</f>
        <v>3.45</v>
      </c>
      <c r="H16" s="2280">
        <v>4.2</v>
      </c>
      <c r="I16" s="2276"/>
      <c r="J16" s="2276"/>
      <c r="L16" s="2280"/>
      <c r="M16" s="2281">
        <v>42135</v>
      </c>
      <c r="N16" s="2280">
        <v>0.35</v>
      </c>
      <c r="O16" s="2280">
        <v>1.85</v>
      </c>
      <c r="P16" s="2280">
        <v>2.0499999999999998</v>
      </c>
      <c r="Q16" s="2280">
        <v>2.25</v>
      </c>
      <c r="R16" s="2280">
        <v>2.85</v>
      </c>
      <c r="S16" s="2280">
        <v>3.5</v>
      </c>
      <c r="T16" s="2280"/>
      <c r="U16" s="2280"/>
      <c r="V16" s="2280"/>
      <c r="W16" s="2280"/>
      <c r="X16" s="2280"/>
      <c r="Y16" s="2280"/>
      <c r="Z16" s="2280"/>
    </row>
    <row r="17" spans="1:256" ht="14.25">
      <c r="A17" s="2273"/>
      <c r="B17" s="2274"/>
      <c r="C17" s="2281">
        <v>45097</v>
      </c>
      <c r="D17" s="2280">
        <v>3.55</v>
      </c>
      <c r="E17" s="2280">
        <f>D17</f>
        <v>3.55</v>
      </c>
      <c r="F17" s="2280">
        <f>D17</f>
        <v>3.55</v>
      </c>
      <c r="G17" s="2280">
        <f>D17</f>
        <v>3.55</v>
      </c>
      <c r="H17" s="2280">
        <v>4.2</v>
      </c>
      <c r="I17" s="2276"/>
      <c r="J17" s="2276"/>
      <c r="L17" s="2280"/>
      <c r="M17" s="2281">
        <v>42064</v>
      </c>
      <c r="N17" s="2280">
        <v>0.35</v>
      </c>
      <c r="O17" s="2280">
        <v>2.1</v>
      </c>
      <c r="P17" s="2280">
        <v>2.2999999999999998</v>
      </c>
      <c r="Q17" s="2280">
        <v>2.5</v>
      </c>
      <c r="R17" s="2280">
        <v>3.1</v>
      </c>
      <c r="S17" s="2280">
        <v>3.75</v>
      </c>
      <c r="T17" s="2280">
        <v>4.5</v>
      </c>
      <c r="U17" s="2280">
        <v>2.35</v>
      </c>
      <c r="V17" s="2280">
        <v>2.5499999999999998</v>
      </c>
      <c r="W17" s="2280">
        <v>2.75</v>
      </c>
      <c r="X17" s="2280"/>
      <c r="Y17" s="2280">
        <v>0.8</v>
      </c>
      <c r="Z17" s="2280">
        <v>1.35</v>
      </c>
    </row>
    <row r="18" spans="1:256" ht="15">
      <c r="A18" s="2273"/>
      <c r="B18" s="2274"/>
      <c r="C18" s="2281">
        <v>44795</v>
      </c>
      <c r="D18" s="2280">
        <v>3.65</v>
      </c>
      <c r="E18" s="2280">
        <v>3.65</v>
      </c>
      <c r="F18" s="2280">
        <v>3.65</v>
      </c>
      <c r="G18" s="2280">
        <v>3.65</v>
      </c>
      <c r="H18" s="2280">
        <v>4.3</v>
      </c>
      <c r="I18" s="2276"/>
      <c r="J18" s="2276"/>
      <c r="L18" s="2778"/>
      <c r="M18" s="2777">
        <v>41965</v>
      </c>
      <c r="N18" s="2778">
        <v>0.35</v>
      </c>
      <c r="O18" s="2778">
        <v>2.35</v>
      </c>
      <c r="P18" s="2778">
        <v>2.5499999999999998</v>
      </c>
      <c r="Q18" s="2778">
        <v>2.75</v>
      </c>
      <c r="R18" s="2778">
        <v>3.35</v>
      </c>
      <c r="S18" s="2778">
        <v>4</v>
      </c>
      <c r="T18" s="2778">
        <v>4.75</v>
      </c>
      <c r="U18" s="2779">
        <v>2.35</v>
      </c>
      <c r="V18" s="2779">
        <v>2.5499999999999998</v>
      </c>
      <c r="W18" s="2779">
        <v>2.75</v>
      </c>
      <c r="X18" s="2778"/>
      <c r="Y18" s="2779">
        <v>0.8</v>
      </c>
      <c r="Z18" s="2779">
        <v>1.35</v>
      </c>
    </row>
    <row r="19" spans="1:256" s="2780" customFormat="1" ht="14.25">
      <c r="A19" s="2273"/>
      <c r="B19" s="2274"/>
      <c r="C19" s="2281">
        <v>44701</v>
      </c>
      <c r="D19" s="2280">
        <v>3.7</v>
      </c>
      <c r="E19" s="2280">
        <f>D19</f>
        <v>3.7</v>
      </c>
      <c r="F19" s="2280">
        <f>D19</f>
        <v>3.7</v>
      </c>
      <c r="G19" s="2280">
        <f>D19</f>
        <v>3.7</v>
      </c>
      <c r="H19" s="2280">
        <v>4.45</v>
      </c>
      <c r="I19" s="2276"/>
      <c r="J19" s="2276"/>
      <c r="K19" s="2233"/>
      <c r="L19" s="2280"/>
      <c r="M19" s="2281">
        <v>41096</v>
      </c>
      <c r="N19" s="2280">
        <v>0.35</v>
      </c>
      <c r="O19" s="2280">
        <v>2.6</v>
      </c>
      <c r="P19" s="2280">
        <v>2.8</v>
      </c>
      <c r="Q19" s="2280">
        <v>3</v>
      </c>
      <c r="R19" s="2280">
        <v>3.75</v>
      </c>
      <c r="S19" s="2280">
        <v>4.25</v>
      </c>
      <c r="T19" s="2280">
        <v>4.75</v>
      </c>
      <c r="U19" s="2280">
        <v>2.85</v>
      </c>
      <c r="V19" s="2280">
        <v>2.9</v>
      </c>
      <c r="W19" s="2280">
        <v>3</v>
      </c>
      <c r="X19" s="2280">
        <v>1.1499999999999999</v>
      </c>
      <c r="Y19" s="2280">
        <v>0.8</v>
      </c>
      <c r="Z19" s="2280">
        <v>1.35</v>
      </c>
      <c r="AA19" s="2268"/>
      <c r="AB19" s="2268"/>
      <c r="AC19" s="2268"/>
      <c r="AD19" s="2268"/>
      <c r="AE19" s="2268"/>
      <c r="AF19" s="2268"/>
      <c r="AG19" s="2268"/>
      <c r="AH19" s="2268"/>
      <c r="AI19" s="2268"/>
      <c r="AJ19" s="2268"/>
      <c r="AK19" s="2268"/>
      <c r="AL19" s="2268"/>
      <c r="AM19" s="2268"/>
      <c r="AN19" s="2268"/>
      <c r="AO19" s="2268"/>
      <c r="AP19" s="2268"/>
      <c r="AQ19" s="2268"/>
      <c r="AR19" s="2268"/>
      <c r="AS19" s="2268"/>
      <c r="AT19" s="2268"/>
      <c r="AU19" s="2268"/>
      <c r="AV19" s="2268"/>
      <c r="AW19" s="2268"/>
      <c r="AX19" s="2268"/>
      <c r="AY19" s="2268"/>
      <c r="AZ19" s="2268"/>
      <c r="BA19" s="2268"/>
      <c r="BB19" s="2268"/>
      <c r="BC19" s="2268"/>
      <c r="BD19" s="2268"/>
      <c r="BE19" s="2268"/>
      <c r="BF19" s="2268"/>
      <c r="BG19" s="2268"/>
      <c r="BH19" s="2268"/>
      <c r="BI19" s="2268"/>
      <c r="BJ19" s="2268"/>
      <c r="BK19" s="2268"/>
      <c r="BL19" s="2268"/>
      <c r="BM19" s="2268"/>
      <c r="BN19" s="2268"/>
      <c r="BO19" s="2268"/>
      <c r="BP19" s="2268"/>
      <c r="BQ19" s="2268"/>
      <c r="BR19" s="2268"/>
      <c r="BS19" s="2268"/>
      <c r="BT19" s="2268"/>
      <c r="BU19" s="2268"/>
      <c r="BV19" s="2268"/>
      <c r="BW19" s="2268"/>
      <c r="BX19" s="2268"/>
      <c r="BY19" s="2268"/>
      <c r="BZ19" s="2268"/>
      <c r="CA19" s="2268"/>
      <c r="CB19" s="2268"/>
      <c r="CC19" s="2268"/>
      <c r="CD19" s="2268"/>
      <c r="CE19" s="2268"/>
      <c r="CF19" s="2268"/>
      <c r="CG19" s="2268"/>
      <c r="CH19" s="2268"/>
      <c r="CI19" s="2268"/>
      <c r="CJ19" s="2268"/>
      <c r="CK19" s="2268"/>
      <c r="CL19" s="2268"/>
      <c r="CM19" s="2268"/>
      <c r="CN19" s="2268"/>
      <c r="CO19" s="2268"/>
      <c r="CP19" s="2268"/>
      <c r="CQ19" s="2268"/>
      <c r="CR19" s="2268"/>
      <c r="CS19" s="2268"/>
      <c r="CT19" s="2268"/>
      <c r="CU19" s="2268"/>
      <c r="CV19" s="2268"/>
      <c r="CW19" s="2268"/>
      <c r="CX19" s="2268"/>
      <c r="CY19" s="2268"/>
      <c r="CZ19" s="2268"/>
      <c r="DA19" s="2268"/>
      <c r="DB19" s="2268"/>
      <c r="DC19" s="2268"/>
      <c r="DD19" s="2268"/>
      <c r="DE19" s="2268"/>
      <c r="DF19" s="2268"/>
      <c r="DG19" s="2268"/>
      <c r="DH19" s="2268"/>
      <c r="DI19" s="2268"/>
      <c r="DJ19" s="2268"/>
      <c r="DK19" s="2268"/>
      <c r="DL19" s="2268"/>
      <c r="DM19" s="2268"/>
      <c r="DN19" s="2268"/>
      <c r="DO19" s="2268"/>
      <c r="DP19" s="2268"/>
      <c r="DQ19" s="2268"/>
      <c r="DR19" s="2268"/>
      <c r="DS19" s="2268"/>
      <c r="DT19" s="2268"/>
      <c r="DU19" s="2268"/>
      <c r="DV19" s="2268"/>
      <c r="DW19" s="2268"/>
      <c r="DX19" s="2268"/>
      <c r="DY19" s="2268"/>
      <c r="DZ19" s="2268"/>
      <c r="EA19" s="2268"/>
      <c r="EB19" s="2268"/>
      <c r="EC19" s="2268"/>
      <c r="ED19" s="2268"/>
      <c r="EE19" s="2268"/>
      <c r="EF19" s="2268"/>
      <c r="EG19" s="2268"/>
      <c r="EH19" s="2268"/>
      <c r="EI19" s="2268"/>
      <c r="EJ19" s="2268"/>
      <c r="EK19" s="2268"/>
      <c r="EL19" s="2268"/>
      <c r="EM19" s="2268"/>
      <c r="EN19" s="2268"/>
      <c r="EO19" s="2268"/>
      <c r="EP19" s="2268"/>
      <c r="EQ19" s="2268"/>
      <c r="ER19" s="2268"/>
      <c r="ES19" s="2268"/>
      <c r="ET19" s="2268"/>
      <c r="EU19" s="2268"/>
      <c r="EV19" s="2268"/>
      <c r="EW19" s="2268"/>
      <c r="EX19" s="2268"/>
      <c r="EY19" s="2268"/>
      <c r="EZ19" s="2268"/>
      <c r="FA19" s="2268"/>
      <c r="FB19" s="2268"/>
      <c r="FC19" s="2268"/>
      <c r="FD19" s="2268"/>
      <c r="FE19" s="2268"/>
      <c r="FF19" s="2268"/>
      <c r="FG19" s="2268"/>
      <c r="FH19" s="2268"/>
      <c r="FI19" s="2268"/>
      <c r="FJ19" s="2268"/>
      <c r="FK19" s="2268"/>
      <c r="FL19" s="2268"/>
      <c r="FM19" s="2268"/>
      <c r="FN19" s="2268"/>
      <c r="FO19" s="2268"/>
      <c r="FP19" s="2268"/>
      <c r="FQ19" s="2268"/>
      <c r="FR19" s="2268"/>
      <c r="FS19" s="2268"/>
      <c r="FT19" s="2268"/>
      <c r="FU19" s="2268"/>
      <c r="FV19" s="2268"/>
      <c r="FW19" s="2268"/>
      <c r="FX19" s="2268"/>
      <c r="FY19" s="2268"/>
      <c r="FZ19" s="2268"/>
      <c r="GA19" s="2268"/>
      <c r="GB19" s="2268"/>
      <c r="GC19" s="2268"/>
      <c r="GD19" s="2268"/>
      <c r="GE19" s="2268"/>
      <c r="GF19" s="2268"/>
      <c r="GG19" s="2268"/>
      <c r="GH19" s="2268"/>
      <c r="GI19" s="2268"/>
      <c r="GJ19" s="2268"/>
      <c r="GK19" s="2268"/>
      <c r="GL19" s="2268"/>
      <c r="GM19" s="2268"/>
      <c r="GN19" s="2268"/>
      <c r="GO19" s="2268"/>
      <c r="GP19" s="2268"/>
      <c r="GQ19" s="2268"/>
      <c r="GR19" s="2268"/>
      <c r="GS19" s="2268"/>
      <c r="GT19" s="2268"/>
      <c r="GU19" s="2268"/>
      <c r="GV19" s="2268"/>
      <c r="GW19" s="2268"/>
      <c r="GX19" s="2268"/>
      <c r="GY19" s="2268"/>
      <c r="GZ19" s="2268"/>
      <c r="HA19" s="2268"/>
      <c r="HB19" s="2268"/>
      <c r="HC19" s="2268"/>
      <c r="HD19" s="2268"/>
      <c r="HE19" s="2268"/>
      <c r="HF19" s="2268"/>
      <c r="HG19" s="2268"/>
      <c r="HH19" s="2268"/>
      <c r="HI19" s="2268"/>
      <c r="HJ19" s="2268"/>
      <c r="HK19" s="2268"/>
      <c r="HL19" s="2268"/>
      <c r="HM19" s="2268"/>
      <c r="HN19" s="2268"/>
      <c r="HO19" s="2268"/>
      <c r="HP19" s="2268"/>
      <c r="HQ19" s="2268"/>
      <c r="HR19" s="2268"/>
      <c r="HS19" s="2268"/>
      <c r="HT19" s="2268"/>
      <c r="HU19" s="2268"/>
      <c r="HV19" s="2268"/>
      <c r="HW19" s="2268"/>
      <c r="HX19" s="2268"/>
      <c r="HY19" s="2268"/>
      <c r="HZ19" s="2268"/>
      <c r="IA19" s="2268"/>
      <c r="IB19" s="2268"/>
      <c r="IC19" s="2268"/>
      <c r="ID19" s="2268"/>
      <c r="IE19" s="2268"/>
      <c r="IF19" s="2268"/>
      <c r="IG19" s="2268"/>
      <c r="IH19" s="2268"/>
      <c r="II19" s="2268"/>
      <c r="IJ19" s="2268"/>
      <c r="IK19" s="2268"/>
      <c r="IL19" s="2268"/>
      <c r="IM19" s="2268"/>
      <c r="IN19" s="2268"/>
      <c r="IO19" s="2268"/>
      <c r="IP19" s="2268"/>
      <c r="IQ19" s="2268"/>
      <c r="IR19" s="2268"/>
      <c r="IS19" s="2268"/>
      <c r="IT19" s="2268"/>
      <c r="IU19" s="2268"/>
      <c r="IV19" s="2268"/>
    </row>
    <row r="20" spans="1:256" ht="14.25">
      <c r="A20" s="2273"/>
      <c r="B20" s="2274"/>
      <c r="C20" s="2281">
        <v>44581</v>
      </c>
      <c r="D20" s="2280">
        <v>3.7</v>
      </c>
      <c r="E20" s="2280">
        <f>D20</f>
        <v>3.7</v>
      </c>
      <c r="F20" s="2280">
        <f>D20</f>
        <v>3.7</v>
      </c>
      <c r="G20" s="2280">
        <f>D20</f>
        <v>3.7</v>
      </c>
      <c r="H20" s="2280">
        <v>4.5999999999999996</v>
      </c>
      <c r="I20" s="2276"/>
      <c r="J20" s="2276"/>
      <c r="L20" s="2280"/>
      <c r="M20" s="2281">
        <v>41068</v>
      </c>
      <c r="N20" s="2280">
        <v>0.4</v>
      </c>
      <c r="O20" s="2280">
        <v>2.85</v>
      </c>
      <c r="P20" s="2280">
        <v>3.05</v>
      </c>
      <c r="Q20" s="2280">
        <v>3.25</v>
      </c>
      <c r="R20" s="2280">
        <v>4.0999999999999996</v>
      </c>
      <c r="S20" s="2280">
        <v>4.6500000000000004</v>
      </c>
      <c r="T20" s="2280">
        <v>5.0999999999999996</v>
      </c>
      <c r="U20" s="2280">
        <v>3.1</v>
      </c>
      <c r="V20" s="2280">
        <v>3.15</v>
      </c>
      <c r="W20" s="2280">
        <v>3.25</v>
      </c>
      <c r="X20" s="2280">
        <v>1.31</v>
      </c>
      <c r="Y20" s="2280">
        <v>0.94</v>
      </c>
      <c r="Z20" s="2280">
        <v>1.49</v>
      </c>
    </row>
    <row r="21" spans="1:256" ht="14.25">
      <c r="A21" s="2273"/>
      <c r="B21" s="2274"/>
      <c r="C21" s="2281">
        <v>44550</v>
      </c>
      <c r="D21" s="2280">
        <v>3.8</v>
      </c>
      <c r="E21" s="2280">
        <f>D21</f>
        <v>3.8</v>
      </c>
      <c r="F21" s="2280">
        <f>D21</f>
        <v>3.8</v>
      </c>
      <c r="G21" s="2280">
        <f>D21</f>
        <v>3.8</v>
      </c>
      <c r="H21" s="2280">
        <v>4.6500000000000004</v>
      </c>
      <c r="I21" s="2276"/>
      <c r="J21" s="2276"/>
      <c r="K21" s="2262"/>
      <c r="L21" s="2280"/>
      <c r="M21" s="2281">
        <v>40731</v>
      </c>
      <c r="N21" s="2280">
        <v>0.5</v>
      </c>
      <c r="O21" s="2280">
        <v>3.1</v>
      </c>
      <c r="P21" s="2280">
        <v>3.3</v>
      </c>
      <c r="Q21" s="2280">
        <v>3.5</v>
      </c>
      <c r="R21" s="2280">
        <v>4.4000000000000004</v>
      </c>
      <c r="S21" s="2280">
        <v>5</v>
      </c>
      <c r="T21" s="2280">
        <v>5.5</v>
      </c>
      <c r="U21" s="2280">
        <v>3.1</v>
      </c>
      <c r="V21" s="2280">
        <v>3.3</v>
      </c>
      <c r="W21" s="2280">
        <v>3.5</v>
      </c>
      <c r="X21" s="2280">
        <v>1.31</v>
      </c>
      <c r="Y21" s="2280">
        <v>0.95</v>
      </c>
      <c r="Z21" s="2280">
        <v>1.49</v>
      </c>
    </row>
    <row r="22" spans="1:256" ht="14.25">
      <c r="A22" s="2273"/>
      <c r="B22" s="2280"/>
      <c r="C22" s="2281">
        <v>43941</v>
      </c>
      <c r="D22" s="2280">
        <v>3.85</v>
      </c>
      <c r="E22" s="2280">
        <v>3.85</v>
      </c>
      <c r="F22" s="2280">
        <v>3.85</v>
      </c>
      <c r="G22" s="2280">
        <v>3.85</v>
      </c>
      <c r="H22" s="2280">
        <v>4.6500000000000004</v>
      </c>
      <c r="I22" s="2280"/>
      <c r="J22" s="2280"/>
      <c r="L22" s="2280"/>
      <c r="M22" s="2281">
        <v>40639</v>
      </c>
      <c r="N22" s="2280">
        <v>0.5</v>
      </c>
      <c r="O22" s="2280">
        <v>2.85</v>
      </c>
      <c r="P22" s="2280">
        <v>3.05</v>
      </c>
      <c r="Q22" s="2280">
        <v>3.25</v>
      </c>
      <c r="R22" s="2280">
        <v>4.1500000000000004</v>
      </c>
      <c r="S22" s="2280">
        <v>4.75</v>
      </c>
      <c r="T22" s="2280">
        <v>5.25</v>
      </c>
      <c r="U22" s="2280">
        <v>2.85</v>
      </c>
      <c r="V22" s="2280">
        <v>3.05</v>
      </c>
      <c r="W22" s="2280">
        <v>3.25</v>
      </c>
      <c r="X22" s="2280">
        <v>1.31</v>
      </c>
      <c r="Y22" s="2280">
        <v>0.95</v>
      </c>
      <c r="Z22" s="2280">
        <v>1.49</v>
      </c>
    </row>
    <row r="23" spans="1:256" ht="14.25">
      <c r="A23" s="2775"/>
      <c r="B23" s="2280"/>
      <c r="C23" s="2281">
        <v>43881</v>
      </c>
      <c r="D23" s="2280">
        <v>4.05</v>
      </c>
      <c r="E23" s="2280">
        <v>4.05</v>
      </c>
      <c r="F23" s="2280">
        <v>4.05</v>
      </c>
      <c r="G23" s="2280">
        <v>4.05</v>
      </c>
      <c r="H23" s="2280">
        <v>4.75</v>
      </c>
      <c r="I23" s="2280"/>
      <c r="J23" s="2280"/>
      <c r="L23" s="2280"/>
      <c r="M23" s="2281">
        <v>40583</v>
      </c>
      <c r="N23" s="2280">
        <v>0.4</v>
      </c>
      <c r="O23" s="2280">
        <v>2.6</v>
      </c>
      <c r="P23" s="2280">
        <v>2.8</v>
      </c>
      <c r="Q23" s="2280">
        <v>3</v>
      </c>
      <c r="R23" s="2280">
        <v>3.9</v>
      </c>
      <c r="S23" s="2280">
        <v>4.5</v>
      </c>
      <c r="T23" s="2280">
        <v>5</v>
      </c>
      <c r="U23" s="2280">
        <v>2.6</v>
      </c>
      <c r="V23" s="2280">
        <v>2.8</v>
      </c>
      <c r="W23" s="2280">
        <v>3</v>
      </c>
      <c r="X23" s="2280">
        <v>1.21</v>
      </c>
      <c r="Y23" s="2280">
        <v>0.85</v>
      </c>
      <c r="Z23" s="2280">
        <v>1.39</v>
      </c>
    </row>
    <row r="24" spans="1:256">
      <c r="B24" s="2280"/>
      <c r="C24" s="2281">
        <v>43789</v>
      </c>
      <c r="D24" s="2280">
        <v>4.1500000000000004</v>
      </c>
      <c r="E24" s="2280">
        <v>4.1500000000000004</v>
      </c>
      <c r="F24" s="2280">
        <v>4.1500000000000004</v>
      </c>
      <c r="G24" s="2280">
        <v>4.1500000000000004</v>
      </c>
      <c r="H24" s="2280">
        <v>4.8</v>
      </c>
      <c r="I24" s="2280"/>
      <c r="J24" s="2280"/>
      <c r="L24" s="2280"/>
      <c r="M24" s="2281">
        <v>40538</v>
      </c>
      <c r="N24" s="2280">
        <v>0.36</v>
      </c>
      <c r="O24" s="2280">
        <v>2.25</v>
      </c>
      <c r="P24" s="2280">
        <v>2.5</v>
      </c>
      <c r="Q24" s="2280">
        <v>2.75</v>
      </c>
      <c r="R24" s="2280">
        <v>3.55</v>
      </c>
      <c r="S24" s="2280">
        <v>4.1500000000000004</v>
      </c>
      <c r="T24" s="2280">
        <v>4.55</v>
      </c>
      <c r="U24" s="2280">
        <v>2.16</v>
      </c>
      <c r="V24" s="2280">
        <v>2.5</v>
      </c>
      <c r="W24" s="2280">
        <v>2.85</v>
      </c>
      <c r="X24" s="2280">
        <v>1.17</v>
      </c>
      <c r="Y24" s="2280">
        <v>0.81</v>
      </c>
      <c r="Z24" s="2280">
        <v>1.35</v>
      </c>
    </row>
    <row r="25" spans="1:256">
      <c r="B25" s="2280"/>
      <c r="C25" s="2281">
        <v>43728</v>
      </c>
      <c r="D25" s="2280">
        <v>4.2</v>
      </c>
      <c r="E25" s="2280">
        <v>4.2</v>
      </c>
      <c r="F25" s="2280">
        <v>4.2</v>
      </c>
      <c r="G25" s="2280">
        <v>4.2</v>
      </c>
      <c r="H25" s="2280">
        <v>4.8499999999999996</v>
      </c>
      <c r="I25" s="2280"/>
      <c r="J25" s="2280"/>
      <c r="L25" s="2280"/>
      <c r="M25" s="2281">
        <v>40471</v>
      </c>
      <c r="N25" s="2280">
        <v>0.36</v>
      </c>
      <c r="O25" s="2280">
        <v>1.91</v>
      </c>
      <c r="P25" s="2280">
        <v>2.2000000000000002</v>
      </c>
      <c r="Q25" s="2280">
        <v>2.5</v>
      </c>
      <c r="R25" s="2280">
        <v>3.25</v>
      </c>
      <c r="S25" s="2280">
        <v>3.85</v>
      </c>
      <c r="T25" s="2280">
        <v>4.2</v>
      </c>
      <c r="U25" s="2280">
        <v>1.91</v>
      </c>
      <c r="V25" s="2280">
        <v>2.2000000000000002</v>
      </c>
      <c r="W25" s="2280">
        <v>2.5</v>
      </c>
      <c r="X25" s="2280">
        <v>1.17</v>
      </c>
      <c r="Y25" s="2280">
        <v>0.81</v>
      </c>
      <c r="Z25" s="2280">
        <v>1.35</v>
      </c>
    </row>
    <row r="26" spans="1:256" ht="14.25">
      <c r="B26" s="2274" t="s">
        <v>2281</v>
      </c>
      <c r="C26" s="2282">
        <v>43697</v>
      </c>
      <c r="D26" s="2772">
        <v>4.25</v>
      </c>
      <c r="E26" s="2772">
        <v>4.25</v>
      </c>
      <c r="F26" s="2772">
        <v>4.25</v>
      </c>
      <c r="G26" s="2772">
        <v>4.25</v>
      </c>
      <c r="H26" s="2772">
        <v>4.8499999999999996</v>
      </c>
      <c r="I26" s="2772"/>
      <c r="J26" s="2772"/>
      <c r="L26" s="2280"/>
      <c r="M26" s="2281">
        <v>39805</v>
      </c>
      <c r="N26" s="2280">
        <v>0.36</v>
      </c>
      <c r="O26" s="2280">
        <v>1.71</v>
      </c>
      <c r="P26" s="2280">
        <v>1.98</v>
      </c>
      <c r="Q26" s="2280">
        <v>2.25</v>
      </c>
      <c r="R26" s="2280">
        <v>2.79</v>
      </c>
      <c r="S26" s="2280">
        <v>3.33</v>
      </c>
      <c r="T26" s="2280">
        <v>3.6</v>
      </c>
      <c r="U26" s="2280">
        <v>1.71</v>
      </c>
      <c r="V26" s="2280">
        <v>1.98</v>
      </c>
      <c r="W26" s="2280">
        <v>2.25</v>
      </c>
      <c r="X26" s="2280">
        <v>1.17</v>
      </c>
      <c r="Y26" s="2280">
        <v>0.81</v>
      </c>
      <c r="Z26" s="2280">
        <v>1.35</v>
      </c>
    </row>
    <row r="27" spans="1:256" ht="14.25">
      <c r="B27" s="2776"/>
      <c r="C27" s="2777">
        <v>42301</v>
      </c>
      <c r="D27" s="2778">
        <v>4.3499999999999996</v>
      </c>
      <c r="E27" s="2778">
        <v>4.3499999999999996</v>
      </c>
      <c r="F27" s="2778">
        <v>4.75</v>
      </c>
      <c r="G27" s="2778">
        <v>4.75</v>
      </c>
      <c r="H27" s="2778">
        <v>4.9000000000000004</v>
      </c>
      <c r="I27" s="2778"/>
      <c r="J27" s="2778"/>
      <c r="L27" s="2280"/>
      <c r="M27" s="2281">
        <v>39779</v>
      </c>
      <c r="N27" s="2280">
        <v>0.36</v>
      </c>
      <c r="O27" s="2280">
        <v>1.98</v>
      </c>
      <c r="P27" s="2280">
        <v>2.25</v>
      </c>
      <c r="Q27" s="2280">
        <v>2.52</v>
      </c>
      <c r="R27" s="2280">
        <v>3.06</v>
      </c>
      <c r="S27" s="2280">
        <v>3.6</v>
      </c>
      <c r="T27" s="2280">
        <v>3.87</v>
      </c>
      <c r="U27" s="2280">
        <v>1.98</v>
      </c>
      <c r="V27" s="2280">
        <v>2.25</v>
      </c>
      <c r="W27" s="2280">
        <v>2.52</v>
      </c>
      <c r="X27" s="2280">
        <v>1.17</v>
      </c>
      <c r="Y27" s="2280">
        <v>0.81</v>
      </c>
      <c r="Z27" s="2280">
        <v>1.35</v>
      </c>
    </row>
    <row r="28" spans="1:256">
      <c r="B28" s="2280"/>
      <c r="C28" s="2281">
        <v>42242</v>
      </c>
      <c r="D28" s="2280">
        <v>4.5999999999999996</v>
      </c>
      <c r="E28" s="2280">
        <v>4.5999999999999996</v>
      </c>
      <c r="F28" s="2280">
        <v>5</v>
      </c>
      <c r="G28" s="2280">
        <v>5</v>
      </c>
      <c r="H28" s="2280">
        <v>5.15</v>
      </c>
      <c r="I28" s="2280">
        <v>2.75</v>
      </c>
      <c r="J28" s="2280">
        <v>3.25</v>
      </c>
      <c r="L28" s="2280"/>
      <c r="M28" s="2281">
        <v>39751</v>
      </c>
      <c r="N28" s="2280">
        <v>0.72</v>
      </c>
      <c r="O28" s="2280">
        <v>2.88</v>
      </c>
      <c r="P28" s="2280">
        <v>3.24</v>
      </c>
      <c r="Q28" s="2280">
        <v>3.6</v>
      </c>
      <c r="R28" s="2280">
        <v>4.1399999999999997</v>
      </c>
      <c r="S28" s="2280">
        <v>4.7699999999999996</v>
      </c>
      <c r="T28" s="2280">
        <v>5.13</v>
      </c>
      <c r="U28" s="2280">
        <v>2.88</v>
      </c>
      <c r="V28" s="2280">
        <v>3.24</v>
      </c>
      <c r="W28" s="2280">
        <v>3.6</v>
      </c>
      <c r="X28" s="2280">
        <v>1.53</v>
      </c>
      <c r="Y28" s="2280">
        <v>1.17</v>
      </c>
      <c r="Z28" s="2280">
        <v>1.71</v>
      </c>
    </row>
    <row r="29" spans="1:256">
      <c r="B29" s="2280"/>
      <c r="C29" s="2281">
        <v>42183</v>
      </c>
      <c r="D29" s="2280">
        <v>4.8499999999999996</v>
      </c>
      <c r="E29" s="2280">
        <v>4.8499999999999996</v>
      </c>
      <c r="F29" s="2280">
        <v>5.25</v>
      </c>
      <c r="G29" s="2280">
        <v>5.25</v>
      </c>
      <c r="H29" s="2280">
        <v>5.4</v>
      </c>
      <c r="I29" s="2280">
        <v>3</v>
      </c>
      <c r="J29" s="2280">
        <v>3.5</v>
      </c>
      <c r="L29" s="2280"/>
      <c r="M29" s="2282">
        <v>39736</v>
      </c>
      <c r="N29" s="2280">
        <v>0.72</v>
      </c>
      <c r="O29" s="2280">
        <v>3.15</v>
      </c>
      <c r="P29" s="2280">
        <v>3.51</v>
      </c>
      <c r="Q29" s="2280">
        <v>3.87</v>
      </c>
      <c r="R29" s="2280">
        <v>4.41</v>
      </c>
      <c r="S29" s="2280">
        <v>5.13</v>
      </c>
      <c r="T29" s="2280">
        <v>5.58</v>
      </c>
      <c r="U29" s="2280">
        <v>3.15</v>
      </c>
      <c r="V29" s="2280">
        <v>3.51</v>
      </c>
      <c r="W29" s="2280">
        <v>3.87</v>
      </c>
      <c r="X29" s="2280">
        <v>1.53</v>
      </c>
      <c r="Y29" s="2280">
        <v>1.17</v>
      </c>
      <c r="Z29" s="2280">
        <v>1.71</v>
      </c>
    </row>
    <row r="30" spans="1:256">
      <c r="B30" s="2280"/>
      <c r="C30" s="2281">
        <v>42135</v>
      </c>
      <c r="D30" s="2280">
        <v>5.0999999999999996</v>
      </c>
      <c r="E30" s="2280">
        <v>5.0999999999999996</v>
      </c>
      <c r="F30" s="2280">
        <v>5.5</v>
      </c>
      <c r="G30" s="2280">
        <v>5.5</v>
      </c>
      <c r="H30" s="2280">
        <v>5.65</v>
      </c>
      <c r="I30" s="2280">
        <v>3.25</v>
      </c>
      <c r="J30" s="2280">
        <v>3.75</v>
      </c>
      <c r="L30" s="2280"/>
      <c r="M30" s="2281">
        <v>39730</v>
      </c>
      <c r="N30" s="2280">
        <v>0.72</v>
      </c>
      <c r="O30" s="2280">
        <v>3.15</v>
      </c>
      <c r="P30" s="2280">
        <v>3.51</v>
      </c>
      <c r="Q30" s="2280">
        <v>3.87</v>
      </c>
      <c r="R30" s="2280">
        <v>4.41</v>
      </c>
      <c r="S30" s="2280">
        <v>5.13</v>
      </c>
      <c r="T30" s="2280">
        <v>5.58</v>
      </c>
      <c r="U30" s="2280">
        <v>3.15</v>
      </c>
      <c r="V30" s="2280">
        <v>3.51</v>
      </c>
      <c r="W30" s="2280">
        <v>3.87</v>
      </c>
      <c r="X30" s="2280">
        <v>1.53</v>
      </c>
      <c r="Y30" s="2280">
        <v>1.17</v>
      </c>
      <c r="Z30" s="2280">
        <v>1.71</v>
      </c>
    </row>
    <row r="31" spans="1:256">
      <c r="B31" s="2280"/>
      <c r="C31" s="2281">
        <v>42064</v>
      </c>
      <c r="D31" s="2280">
        <v>5.35</v>
      </c>
      <c r="E31" s="2280">
        <v>5.35</v>
      </c>
      <c r="F31" s="2280">
        <v>5.75</v>
      </c>
      <c r="G31" s="2280">
        <v>5.75</v>
      </c>
      <c r="H31" s="2280">
        <v>5.9</v>
      </c>
      <c r="I31" s="2280"/>
      <c r="J31" s="2280"/>
      <c r="L31" s="2280"/>
      <c r="M31" s="2281">
        <v>39437</v>
      </c>
      <c r="N31" s="2280">
        <v>0.72</v>
      </c>
      <c r="O31" s="2280">
        <v>3.33</v>
      </c>
      <c r="P31" s="2280">
        <v>3.78</v>
      </c>
      <c r="Q31" s="2280">
        <v>4.1399999999999997</v>
      </c>
      <c r="R31" s="2280">
        <v>4.68</v>
      </c>
      <c r="S31" s="2280">
        <v>5.4</v>
      </c>
      <c r="T31" s="2280">
        <v>5.85</v>
      </c>
      <c r="U31" s="2280">
        <v>3.33</v>
      </c>
      <c r="V31" s="2280">
        <v>3.78</v>
      </c>
      <c r="W31" s="2280">
        <v>4.1399999999999997</v>
      </c>
      <c r="X31" s="2280">
        <v>1.53</v>
      </c>
      <c r="Y31" s="2280">
        <v>1.17</v>
      </c>
      <c r="Z31" s="2280">
        <v>1.71</v>
      </c>
    </row>
    <row r="32" spans="1:256">
      <c r="B32" s="2280"/>
      <c r="C32" s="2281">
        <v>41965</v>
      </c>
      <c r="D32" s="2280">
        <v>5.6</v>
      </c>
      <c r="E32" s="2280">
        <v>5.6</v>
      </c>
      <c r="F32" s="2280">
        <v>6</v>
      </c>
      <c r="G32" s="2280">
        <v>6</v>
      </c>
      <c r="H32" s="2280">
        <v>6.15</v>
      </c>
      <c r="I32" s="2280"/>
      <c r="J32" s="2280"/>
      <c r="L32" s="2280"/>
      <c r="M32" s="2281">
        <v>39340</v>
      </c>
      <c r="N32" s="2280">
        <v>0.81</v>
      </c>
      <c r="O32" s="2280">
        <v>2.88</v>
      </c>
      <c r="P32" s="2280">
        <v>3.42</v>
      </c>
      <c r="Q32" s="2280">
        <v>3.87</v>
      </c>
      <c r="R32" s="2280">
        <v>4.5</v>
      </c>
      <c r="S32" s="2280">
        <v>5.22</v>
      </c>
      <c r="T32" s="2280">
        <v>5.76</v>
      </c>
      <c r="U32" s="2280">
        <v>2.88</v>
      </c>
      <c r="V32" s="2280">
        <v>3.42</v>
      </c>
      <c r="W32" s="2280">
        <v>3.87</v>
      </c>
      <c r="X32" s="2280">
        <v>1.53</v>
      </c>
      <c r="Y32" s="2280">
        <v>1.17</v>
      </c>
      <c r="Z32" s="2280">
        <v>1.71</v>
      </c>
    </row>
    <row r="33" spans="2:26">
      <c r="B33" s="2280"/>
      <c r="C33" s="2281">
        <v>41096</v>
      </c>
      <c r="D33" s="2280">
        <v>5.6</v>
      </c>
      <c r="E33" s="2280">
        <v>6</v>
      </c>
      <c r="F33" s="2280">
        <v>6.15</v>
      </c>
      <c r="G33" s="2280">
        <v>6.4</v>
      </c>
      <c r="H33" s="2280">
        <v>6.55</v>
      </c>
      <c r="I33" s="2280">
        <v>4</v>
      </c>
      <c r="J33" s="2280">
        <v>4.5</v>
      </c>
      <c r="L33" s="2280"/>
      <c r="M33" s="2281">
        <v>39316</v>
      </c>
      <c r="N33" s="2280">
        <v>0.81</v>
      </c>
      <c r="O33" s="2280">
        <v>2.61</v>
      </c>
      <c r="P33" s="2280">
        <v>3.15</v>
      </c>
      <c r="Q33" s="2280">
        <v>3.6</v>
      </c>
      <c r="R33" s="2280">
        <v>4.2300000000000004</v>
      </c>
      <c r="S33" s="2280">
        <v>4.95</v>
      </c>
      <c r="T33" s="2280">
        <v>5.49</v>
      </c>
      <c r="U33" s="2280">
        <v>2.61</v>
      </c>
      <c r="V33" s="2280">
        <v>3.15</v>
      </c>
      <c r="W33" s="2280">
        <v>3.6</v>
      </c>
      <c r="X33" s="2280">
        <v>1.53</v>
      </c>
      <c r="Y33" s="2280">
        <v>1.17</v>
      </c>
      <c r="Z33" s="2280">
        <v>1.71</v>
      </c>
    </row>
    <row r="34" spans="2:26">
      <c r="B34" s="2280"/>
      <c r="C34" s="2281">
        <v>41068</v>
      </c>
      <c r="D34" s="2280">
        <v>5.85</v>
      </c>
      <c r="E34" s="2280">
        <v>6.31</v>
      </c>
      <c r="F34" s="2280">
        <v>6.4</v>
      </c>
      <c r="G34" s="2280">
        <v>6.65</v>
      </c>
      <c r="H34" s="2280">
        <v>6.8</v>
      </c>
      <c r="I34" s="2280">
        <v>4.2</v>
      </c>
      <c r="J34" s="2280">
        <v>4.7</v>
      </c>
      <c r="L34" s="2280"/>
      <c r="M34" s="2281">
        <v>39284</v>
      </c>
      <c r="N34" s="2280">
        <v>0.81</v>
      </c>
      <c r="O34" s="2280">
        <v>2.34</v>
      </c>
      <c r="P34" s="2280">
        <v>2.88</v>
      </c>
      <c r="Q34" s="2280">
        <v>3.33</v>
      </c>
      <c r="R34" s="2280">
        <v>3.96</v>
      </c>
      <c r="S34" s="2280">
        <v>4.68</v>
      </c>
      <c r="T34" s="2280">
        <v>5.22</v>
      </c>
      <c r="U34" s="2280">
        <v>2.34</v>
      </c>
      <c r="V34" s="2280">
        <v>2.88</v>
      </c>
      <c r="W34" s="2280">
        <v>3.33</v>
      </c>
      <c r="X34" s="2280">
        <v>1.53</v>
      </c>
      <c r="Y34" s="2280">
        <v>1.17</v>
      </c>
      <c r="Z34" s="2280">
        <v>1.71</v>
      </c>
    </row>
    <row r="35" spans="2:26">
      <c r="B35" s="2280"/>
      <c r="C35" s="2281">
        <v>40731</v>
      </c>
      <c r="D35" s="2280">
        <v>6.1</v>
      </c>
      <c r="E35" s="2280">
        <v>6.56</v>
      </c>
      <c r="F35" s="2280">
        <v>6.65</v>
      </c>
      <c r="G35" s="2280">
        <v>6.9</v>
      </c>
      <c r="H35" s="2280">
        <v>7.05</v>
      </c>
      <c r="I35" s="2280">
        <v>4.45</v>
      </c>
      <c r="J35" s="2280">
        <v>4.9000000000000004</v>
      </c>
      <c r="L35" s="2280"/>
      <c r="M35" s="2281">
        <v>39221</v>
      </c>
      <c r="N35" s="2280">
        <v>0.72</v>
      </c>
      <c r="O35" s="2280">
        <v>2.0699999999999998</v>
      </c>
      <c r="P35" s="2280">
        <v>2.61</v>
      </c>
      <c r="Q35" s="2280">
        <v>3.06</v>
      </c>
      <c r="R35" s="2280">
        <v>3.69</v>
      </c>
      <c r="S35" s="2280">
        <v>4.41</v>
      </c>
      <c r="T35" s="2280">
        <v>4.95</v>
      </c>
      <c r="U35" s="2280">
        <v>2.0699999999999998</v>
      </c>
      <c r="V35" s="2280">
        <v>2.61</v>
      </c>
      <c r="W35" s="2280">
        <v>3.06</v>
      </c>
      <c r="X35" s="2280">
        <v>1.44</v>
      </c>
      <c r="Y35" s="2280">
        <v>1.08</v>
      </c>
      <c r="Z35" s="2280">
        <v>1.62</v>
      </c>
    </row>
    <row r="36" spans="2:26">
      <c r="B36" s="2280"/>
      <c r="C36" s="2281">
        <v>40639</v>
      </c>
      <c r="D36" s="2280">
        <v>5.85</v>
      </c>
      <c r="E36" s="2280">
        <v>6.31</v>
      </c>
      <c r="F36" s="2280">
        <v>6.4</v>
      </c>
      <c r="G36" s="2280">
        <v>6.65</v>
      </c>
      <c r="H36" s="2280">
        <v>6.8</v>
      </c>
      <c r="I36" s="2280">
        <v>4.2</v>
      </c>
      <c r="J36" s="2280">
        <v>4.7</v>
      </c>
      <c r="L36" s="2280"/>
      <c r="M36" s="2281">
        <v>39159</v>
      </c>
      <c r="N36" s="2280">
        <v>0.72</v>
      </c>
      <c r="O36" s="2280">
        <v>1.98</v>
      </c>
      <c r="P36" s="2280">
        <v>2.4300000000000002</v>
      </c>
      <c r="Q36" s="2280">
        <v>2.79</v>
      </c>
      <c r="R36" s="2280">
        <v>3.33</v>
      </c>
      <c r="S36" s="2280">
        <v>3.96</v>
      </c>
      <c r="T36" s="2280">
        <v>4.41</v>
      </c>
      <c r="U36" s="2280">
        <v>1.98</v>
      </c>
      <c r="V36" s="2280">
        <v>2.4300000000000002</v>
      </c>
      <c r="W36" s="2280">
        <v>2.79</v>
      </c>
      <c r="X36" s="2280">
        <v>1.44</v>
      </c>
      <c r="Y36" s="2280">
        <v>1.08</v>
      </c>
      <c r="Z36" s="2280">
        <v>1.62</v>
      </c>
    </row>
    <row r="37" spans="2:26">
      <c r="B37" s="2280"/>
      <c r="C37" s="2281">
        <v>40583</v>
      </c>
      <c r="D37" s="2280">
        <v>5.6</v>
      </c>
      <c r="E37" s="2280">
        <v>6.06</v>
      </c>
      <c r="F37" s="2280">
        <v>6.1</v>
      </c>
      <c r="G37" s="2280">
        <v>6.45</v>
      </c>
      <c r="H37" s="2280">
        <v>6.6</v>
      </c>
      <c r="I37" s="2280">
        <v>4</v>
      </c>
      <c r="J37" s="2280">
        <v>4.5</v>
      </c>
      <c r="L37" s="2280"/>
      <c r="M37" s="2281">
        <v>38948</v>
      </c>
      <c r="N37" s="2280">
        <v>0.72</v>
      </c>
      <c r="O37" s="2280">
        <v>1.8</v>
      </c>
      <c r="P37" s="2280">
        <v>2.25</v>
      </c>
      <c r="Q37" s="2280">
        <v>2.52</v>
      </c>
      <c r="R37" s="2280">
        <v>3.06</v>
      </c>
      <c r="S37" s="2280">
        <v>3.69</v>
      </c>
      <c r="T37" s="2280">
        <v>4.1399999999999997</v>
      </c>
      <c r="U37" s="2280">
        <v>1.8</v>
      </c>
      <c r="V37" s="2280">
        <v>2.25</v>
      </c>
      <c r="W37" s="2280">
        <v>2.52</v>
      </c>
      <c r="X37" s="2280">
        <v>1.44</v>
      </c>
      <c r="Y37" s="2280">
        <v>1.08</v>
      </c>
      <c r="Z37" s="2280">
        <v>1.62</v>
      </c>
    </row>
    <row r="38" spans="2:26">
      <c r="B38" s="2280"/>
      <c r="C38" s="2281">
        <v>40538</v>
      </c>
      <c r="D38" s="2280">
        <v>5.35</v>
      </c>
      <c r="E38" s="2280">
        <v>5.81</v>
      </c>
      <c r="F38" s="2280">
        <v>5.85</v>
      </c>
      <c r="G38" s="2280">
        <v>6.22</v>
      </c>
      <c r="H38" s="2280">
        <v>6.4</v>
      </c>
      <c r="I38" s="2280">
        <v>3.75</v>
      </c>
      <c r="J38" s="2280">
        <v>4.3</v>
      </c>
      <c r="L38" s="2280"/>
      <c r="M38" s="2281">
        <v>38289</v>
      </c>
      <c r="N38" s="2280">
        <v>0.72</v>
      </c>
      <c r="O38" s="2280">
        <v>1.71</v>
      </c>
      <c r="P38" s="2280">
        <v>2.0699999999999998</v>
      </c>
      <c r="Q38" s="2280">
        <v>2.25</v>
      </c>
      <c r="R38" s="2280">
        <v>2.7</v>
      </c>
      <c r="S38" s="2280">
        <v>3.24</v>
      </c>
      <c r="T38" s="2280">
        <v>3.6</v>
      </c>
      <c r="U38" s="2280">
        <v>1.71</v>
      </c>
      <c r="V38" s="2280">
        <v>2.0699999999999998</v>
      </c>
      <c r="W38" s="2280">
        <v>2.25</v>
      </c>
      <c r="X38" s="2280">
        <v>1.44</v>
      </c>
      <c r="Y38" s="2280">
        <v>1.08</v>
      </c>
      <c r="Z38" s="2280">
        <v>1.62</v>
      </c>
    </row>
    <row r="39" spans="2:26">
      <c r="B39" s="2280"/>
      <c r="C39" s="2281">
        <v>40471</v>
      </c>
      <c r="D39" s="2280">
        <v>5.0999999999999996</v>
      </c>
      <c r="E39" s="2280">
        <v>5.56</v>
      </c>
      <c r="F39" s="2280">
        <v>5.6</v>
      </c>
      <c r="G39" s="2280">
        <v>5.96</v>
      </c>
      <c r="H39" s="2280">
        <v>6.14</v>
      </c>
      <c r="I39" s="2280">
        <v>3.5</v>
      </c>
      <c r="J39" s="2280">
        <v>4.05</v>
      </c>
      <c r="L39" s="2280"/>
      <c r="M39" s="2281">
        <v>37308</v>
      </c>
      <c r="N39" s="2280">
        <v>0.72</v>
      </c>
      <c r="O39" s="2280">
        <v>1.71</v>
      </c>
      <c r="P39" s="2280">
        <v>1.89</v>
      </c>
      <c r="Q39" s="2280">
        <v>1.98</v>
      </c>
      <c r="R39" s="2280">
        <v>2.25</v>
      </c>
      <c r="S39" s="2280">
        <v>2.52</v>
      </c>
      <c r="T39" s="2280">
        <v>2.79</v>
      </c>
      <c r="U39" s="2280">
        <v>1.71</v>
      </c>
      <c r="V39" s="2280">
        <v>1.89</v>
      </c>
      <c r="W39" s="2280">
        <v>1.98</v>
      </c>
      <c r="X39" s="2280">
        <v>1.44</v>
      </c>
      <c r="Y39" s="2280">
        <v>1.08</v>
      </c>
      <c r="Z39" s="2280">
        <v>1.62</v>
      </c>
    </row>
    <row r="40" spans="2:26">
      <c r="B40" s="2280"/>
      <c r="C40" s="2281">
        <v>39805</v>
      </c>
      <c r="D40" s="2280">
        <v>4.8600000000000003</v>
      </c>
      <c r="E40" s="2280">
        <v>5.31</v>
      </c>
      <c r="F40" s="2280">
        <v>5.4</v>
      </c>
      <c r="G40" s="2280">
        <v>5.76</v>
      </c>
      <c r="H40" s="2280">
        <v>5.94</v>
      </c>
      <c r="I40" s="2280">
        <v>3.33</v>
      </c>
      <c r="J40" s="2280">
        <v>3.87</v>
      </c>
      <c r="L40" s="2280"/>
      <c r="M40" s="2281">
        <v>36321</v>
      </c>
      <c r="N40" s="2280">
        <v>0.99</v>
      </c>
      <c r="O40" s="2280">
        <v>1.98</v>
      </c>
      <c r="P40" s="2280">
        <v>2.16</v>
      </c>
      <c r="Q40" s="2280">
        <v>2.25</v>
      </c>
      <c r="R40" s="2280">
        <v>2.4300000000000002</v>
      </c>
      <c r="S40" s="2280">
        <v>2.7</v>
      </c>
      <c r="T40" s="2280">
        <v>2.88</v>
      </c>
      <c r="U40" s="2280">
        <v>1.98</v>
      </c>
      <c r="V40" s="2280">
        <v>2.16</v>
      </c>
      <c r="W40" s="2280">
        <v>2.25</v>
      </c>
      <c r="X40" s="2280">
        <v>1.71</v>
      </c>
      <c r="Y40" s="2280">
        <v>1.35</v>
      </c>
      <c r="Z40" s="2280">
        <v>1.89</v>
      </c>
    </row>
    <row r="41" spans="2:26">
      <c r="B41" s="2280"/>
      <c r="C41" s="2281">
        <v>39779</v>
      </c>
      <c r="D41" s="2280">
        <v>5.04</v>
      </c>
      <c r="E41" s="2280">
        <v>5.58</v>
      </c>
      <c r="F41" s="2280">
        <v>5.67</v>
      </c>
      <c r="G41" s="2280">
        <v>5.94</v>
      </c>
      <c r="H41" s="2280">
        <v>6.12</v>
      </c>
      <c r="I41" s="2280">
        <v>3.51</v>
      </c>
      <c r="J41" s="2280">
        <v>4.05</v>
      </c>
      <c r="L41" s="2280"/>
      <c r="M41" s="2281">
        <v>36136</v>
      </c>
      <c r="N41" s="2280">
        <v>1.44</v>
      </c>
      <c r="O41" s="2280">
        <v>2.79</v>
      </c>
      <c r="P41" s="2280">
        <v>3.33</v>
      </c>
      <c r="Q41" s="2280">
        <v>3.78</v>
      </c>
      <c r="R41" s="2280">
        <v>3.96</v>
      </c>
      <c r="S41" s="2280">
        <v>4.1399999999999997</v>
      </c>
      <c r="T41" s="2280">
        <v>4.5</v>
      </c>
      <c r="U41" s="2280">
        <v>3.33</v>
      </c>
      <c r="V41" s="2280">
        <v>3.78</v>
      </c>
      <c r="W41" s="2280">
        <v>4.1399999999999997</v>
      </c>
      <c r="X41" s="2280">
        <v>2.16</v>
      </c>
      <c r="Y41" s="2280">
        <v>1.8</v>
      </c>
      <c r="Z41" s="2280">
        <v>2.34</v>
      </c>
    </row>
    <row r="42" spans="2:26">
      <c r="B42" s="2280"/>
      <c r="C42" s="2281">
        <v>39751</v>
      </c>
      <c r="D42" s="2280">
        <v>6.03</v>
      </c>
      <c r="E42" s="2280">
        <v>6.66</v>
      </c>
      <c r="F42" s="2280">
        <v>6.75</v>
      </c>
      <c r="G42" s="2280">
        <v>7.02</v>
      </c>
      <c r="H42" s="2280">
        <v>7.2</v>
      </c>
      <c r="I42" s="2280">
        <v>4.05</v>
      </c>
      <c r="J42" s="2280">
        <v>4.59</v>
      </c>
      <c r="L42" s="2280"/>
      <c r="M42" s="2281">
        <v>35977</v>
      </c>
      <c r="N42" s="2280">
        <v>1.44</v>
      </c>
      <c r="O42" s="2280">
        <v>2.79</v>
      </c>
      <c r="P42" s="2280">
        <v>3.96</v>
      </c>
      <c r="Q42" s="2280">
        <v>4.7699999999999996</v>
      </c>
      <c r="R42" s="2280">
        <v>4.8600000000000003</v>
      </c>
      <c r="S42" s="2280">
        <v>4.95</v>
      </c>
      <c r="T42" s="2280">
        <v>5.22</v>
      </c>
      <c r="U42" s="2280">
        <v>3.96</v>
      </c>
      <c r="V42" s="2280">
        <v>4.7699999999999996</v>
      </c>
      <c r="W42" s="2280">
        <v>4.95</v>
      </c>
      <c r="X42" s="2280" t="s">
        <v>2093</v>
      </c>
      <c r="Y42" s="2280" t="s">
        <v>2093</v>
      </c>
      <c r="Z42" s="2280" t="s">
        <v>2093</v>
      </c>
    </row>
    <row r="43" spans="2:26">
      <c r="B43" s="2280"/>
      <c r="C43" s="2282">
        <v>39748</v>
      </c>
      <c r="D43" s="2280">
        <v>6.12</v>
      </c>
      <c r="E43" s="2280">
        <v>6.93</v>
      </c>
      <c r="F43" s="2280">
        <v>7.02</v>
      </c>
      <c r="G43" s="2280">
        <v>7.29</v>
      </c>
      <c r="H43" s="2280">
        <v>7.47</v>
      </c>
      <c r="I43" s="2280">
        <v>4.05</v>
      </c>
      <c r="J43" s="2280">
        <v>4.59</v>
      </c>
      <c r="L43" s="2280"/>
      <c r="M43" s="2281">
        <v>35879</v>
      </c>
      <c r="N43" s="2280">
        <v>1.71</v>
      </c>
      <c r="O43" s="2280">
        <v>2.88</v>
      </c>
      <c r="P43" s="2280">
        <v>4.1399999999999997</v>
      </c>
      <c r="Q43" s="2280">
        <v>5.22</v>
      </c>
      <c r="R43" s="2280">
        <v>5.58</v>
      </c>
      <c r="S43" s="2280">
        <v>6.21</v>
      </c>
      <c r="T43" s="2280">
        <v>6.66</v>
      </c>
      <c r="U43" s="2280">
        <v>4.1399999999999997</v>
      </c>
      <c r="V43" s="2280">
        <v>5.22</v>
      </c>
      <c r="W43" s="2280">
        <v>6.21</v>
      </c>
      <c r="X43" s="2280" t="s">
        <v>2093</v>
      </c>
      <c r="Y43" s="2280" t="s">
        <v>2093</v>
      </c>
      <c r="Z43" s="2280" t="s">
        <v>2093</v>
      </c>
    </row>
    <row r="44" spans="2:26">
      <c r="B44" s="2280"/>
      <c r="C44" s="2281">
        <v>39730</v>
      </c>
      <c r="D44" s="2280">
        <v>6.12</v>
      </c>
      <c r="E44" s="2280">
        <v>6.93</v>
      </c>
      <c r="F44" s="2280">
        <v>7.02</v>
      </c>
      <c r="G44" s="2280">
        <v>7.29</v>
      </c>
      <c r="H44" s="2280">
        <v>7.47</v>
      </c>
      <c r="I44" s="2280">
        <v>4.32</v>
      </c>
      <c r="J44" s="2280">
        <v>4.8600000000000003</v>
      </c>
      <c r="L44" s="2280"/>
      <c r="M44" s="2281">
        <v>35726</v>
      </c>
      <c r="N44" s="2280">
        <v>1.71</v>
      </c>
      <c r="O44" s="2280">
        <v>2.88</v>
      </c>
      <c r="P44" s="2280">
        <v>4.1399999999999997</v>
      </c>
      <c r="Q44" s="2280">
        <v>5.67</v>
      </c>
      <c r="R44" s="2280">
        <v>5.94</v>
      </c>
      <c r="S44" s="2280">
        <v>6.21</v>
      </c>
      <c r="T44" s="2280">
        <v>6.66</v>
      </c>
      <c r="U44" s="2280">
        <v>4.1399999999999997</v>
      </c>
      <c r="V44" s="2280">
        <v>5.67</v>
      </c>
      <c r="W44" s="2280">
        <v>6.21</v>
      </c>
      <c r="X44" s="2280" t="s">
        <v>2093</v>
      </c>
      <c r="Y44" s="2280" t="s">
        <v>2093</v>
      </c>
      <c r="Z44" s="2280" t="s">
        <v>2093</v>
      </c>
    </row>
    <row r="45" spans="2:26">
      <c r="B45" s="2280"/>
      <c r="C45" s="2281">
        <v>39707</v>
      </c>
      <c r="D45" s="2280">
        <v>6.21</v>
      </c>
      <c r="E45" s="2280">
        <v>7.2</v>
      </c>
      <c r="F45" s="2280">
        <v>7.29</v>
      </c>
      <c r="G45" s="2280">
        <v>7.56</v>
      </c>
      <c r="H45" s="2280">
        <v>7.74</v>
      </c>
      <c r="I45" s="2280">
        <v>4.59</v>
      </c>
      <c r="J45" s="2280">
        <v>5.13</v>
      </c>
      <c r="L45" s="2280"/>
      <c r="M45" s="2281">
        <v>35300</v>
      </c>
      <c r="N45" s="2280">
        <v>1.98</v>
      </c>
      <c r="O45" s="2280">
        <v>3.33</v>
      </c>
      <c r="P45" s="2280">
        <v>5.4</v>
      </c>
      <c r="Q45" s="2280">
        <v>7.47</v>
      </c>
      <c r="R45" s="2280">
        <v>7.92</v>
      </c>
      <c r="S45" s="2280">
        <v>8.2799999999999994</v>
      </c>
      <c r="T45" s="2280">
        <v>9</v>
      </c>
      <c r="U45" s="2280">
        <v>5.4</v>
      </c>
      <c r="V45" s="2280">
        <v>7.47</v>
      </c>
      <c r="W45" s="2280">
        <v>8.2799999999999994</v>
      </c>
      <c r="X45" s="2280" t="s">
        <v>2093</v>
      </c>
      <c r="Y45" s="2280" t="s">
        <v>2093</v>
      </c>
      <c r="Z45" s="2280" t="s">
        <v>2093</v>
      </c>
    </row>
    <row r="46" spans="2:26">
      <c r="B46" s="2280"/>
      <c r="C46" s="2281">
        <v>39437</v>
      </c>
      <c r="D46" s="2280">
        <v>6.57</v>
      </c>
      <c r="E46" s="2280">
        <v>7.47</v>
      </c>
      <c r="F46" s="2280">
        <v>7.56</v>
      </c>
      <c r="G46" s="2280">
        <v>7.74</v>
      </c>
      <c r="H46" s="2280">
        <v>7.83</v>
      </c>
      <c r="I46" s="2280">
        <v>4.7699999999999996</v>
      </c>
      <c r="J46" s="2280">
        <v>5.22</v>
      </c>
      <c r="L46" s="2280"/>
      <c r="M46" s="2281">
        <v>35186</v>
      </c>
      <c r="N46" s="2280">
        <v>2.97</v>
      </c>
      <c r="O46" s="2280">
        <v>4.8600000000000003</v>
      </c>
      <c r="P46" s="2280">
        <v>7.2</v>
      </c>
      <c r="Q46" s="2280">
        <v>9.18</v>
      </c>
      <c r="R46" s="2280">
        <v>9.9</v>
      </c>
      <c r="S46" s="2280">
        <v>10.8</v>
      </c>
      <c r="T46" s="2280">
        <v>12.06</v>
      </c>
      <c r="U46" s="2280">
        <v>7.2</v>
      </c>
      <c r="V46" s="2280">
        <v>9.18</v>
      </c>
      <c r="W46" s="2280">
        <v>10.8</v>
      </c>
      <c r="X46" s="2280" t="s">
        <v>2093</v>
      </c>
      <c r="Y46" s="2280" t="s">
        <v>2093</v>
      </c>
      <c r="Z46" s="2280" t="s">
        <v>2093</v>
      </c>
    </row>
    <row r="47" spans="2:26">
      <c r="B47" s="2280"/>
      <c r="C47" s="2281">
        <v>39340</v>
      </c>
      <c r="D47" s="2280">
        <v>6.48</v>
      </c>
      <c r="E47" s="2280">
        <v>7.29</v>
      </c>
      <c r="F47" s="2280">
        <v>7.47</v>
      </c>
      <c r="G47" s="2280">
        <v>7.65</v>
      </c>
      <c r="H47" s="2280">
        <v>7.83</v>
      </c>
      <c r="I47" s="2280">
        <v>4.7699999999999996</v>
      </c>
      <c r="J47" s="2280">
        <v>5.22</v>
      </c>
      <c r="L47" s="2280"/>
      <c r="M47" s="2281">
        <v>34161</v>
      </c>
      <c r="N47" s="2280">
        <v>3.15</v>
      </c>
      <c r="O47" s="2280">
        <v>6.66</v>
      </c>
      <c r="P47" s="2280">
        <v>9</v>
      </c>
      <c r="Q47" s="2280">
        <v>10.98</v>
      </c>
      <c r="R47" s="2280">
        <v>11.7</v>
      </c>
      <c r="S47" s="2280">
        <v>12.24</v>
      </c>
      <c r="T47" s="2280">
        <v>13.86</v>
      </c>
      <c r="U47" s="2280">
        <v>9</v>
      </c>
      <c r="V47" s="2280">
        <v>10.98</v>
      </c>
      <c r="W47" s="2280">
        <v>12.24</v>
      </c>
      <c r="X47" s="2280" t="s">
        <v>2093</v>
      </c>
      <c r="Y47" s="2280" t="s">
        <v>2093</v>
      </c>
      <c r="Z47" s="2280" t="s">
        <v>2093</v>
      </c>
    </row>
    <row r="48" spans="2:26">
      <c r="B48" s="2280"/>
      <c r="C48" s="2281">
        <v>39316</v>
      </c>
      <c r="D48" s="2280">
        <v>6.21</v>
      </c>
      <c r="E48" s="2280">
        <v>7.02</v>
      </c>
      <c r="F48" s="2280">
        <v>7.2</v>
      </c>
      <c r="G48" s="2280">
        <v>7.38</v>
      </c>
      <c r="H48" s="2280">
        <v>7.56</v>
      </c>
      <c r="I48" s="2280">
        <v>4.59</v>
      </c>
      <c r="J48" s="2280">
        <v>5.04</v>
      </c>
      <c r="L48" s="2280"/>
      <c r="M48" s="2281">
        <v>34104</v>
      </c>
      <c r="N48" s="2280">
        <v>2.16</v>
      </c>
      <c r="O48" s="2280">
        <v>4.8600000000000003</v>
      </c>
      <c r="P48" s="2280">
        <v>7.2</v>
      </c>
      <c r="Q48" s="2280">
        <v>9.18</v>
      </c>
      <c r="R48" s="2280">
        <v>9.9</v>
      </c>
      <c r="S48" s="2280">
        <v>10.8</v>
      </c>
      <c r="T48" s="2280">
        <v>12.06</v>
      </c>
      <c r="U48" s="2280">
        <v>7.2</v>
      </c>
      <c r="V48" s="2280">
        <v>9.18</v>
      </c>
      <c r="W48" s="2280">
        <v>10.8</v>
      </c>
      <c r="X48" s="2280" t="s">
        <v>2093</v>
      </c>
      <c r="Y48" s="2280" t="s">
        <v>2093</v>
      </c>
      <c r="Z48" s="2280" t="s">
        <v>2093</v>
      </c>
    </row>
    <row r="49" spans="2:26">
      <c r="B49" s="2280"/>
      <c r="C49" s="2281">
        <v>39284</v>
      </c>
      <c r="D49" s="2280">
        <v>6.03</v>
      </c>
      <c r="E49" s="2280">
        <v>6.84</v>
      </c>
      <c r="F49" s="2280">
        <v>7.02</v>
      </c>
      <c r="G49" s="2280">
        <v>7.2</v>
      </c>
      <c r="H49" s="2280">
        <v>7.38</v>
      </c>
      <c r="I49" s="2280">
        <v>4.5</v>
      </c>
      <c r="J49" s="2280">
        <v>4.95</v>
      </c>
      <c r="L49" s="2280"/>
      <c r="M49" s="2281">
        <v>33349</v>
      </c>
      <c r="N49" s="2280">
        <v>1.8</v>
      </c>
      <c r="O49" s="2280">
        <v>3.24</v>
      </c>
      <c r="P49" s="2280">
        <v>5.4</v>
      </c>
      <c r="Q49" s="2280">
        <v>7.56</v>
      </c>
      <c r="R49" s="2280">
        <v>7.92</v>
      </c>
      <c r="S49" s="2280">
        <v>8.2799999999999994</v>
      </c>
      <c r="T49" s="2280">
        <v>9</v>
      </c>
      <c r="U49" s="2280">
        <v>6.12</v>
      </c>
      <c r="V49" s="2280">
        <v>6.84</v>
      </c>
      <c r="W49" s="2280">
        <v>7.56</v>
      </c>
      <c r="X49" s="2280" t="s">
        <v>2093</v>
      </c>
      <c r="Y49" s="2280" t="s">
        <v>2093</v>
      </c>
      <c r="Z49" s="2280" t="s">
        <v>2093</v>
      </c>
    </row>
    <row r="50" spans="2:26">
      <c r="B50" s="2280"/>
      <c r="C50" s="2281">
        <v>39221</v>
      </c>
      <c r="D50" s="2280">
        <v>5.85</v>
      </c>
      <c r="E50" s="2280">
        <v>6.57</v>
      </c>
      <c r="F50" s="2280">
        <v>6.75</v>
      </c>
      <c r="G50" s="2280">
        <v>6.93</v>
      </c>
      <c r="H50" s="2280">
        <v>7.2</v>
      </c>
      <c r="I50" s="2280">
        <v>4.41</v>
      </c>
      <c r="J50" s="2280">
        <v>4.8600000000000003</v>
      </c>
      <c r="L50" s="2280"/>
      <c r="M50" s="2281">
        <v>33106</v>
      </c>
      <c r="N50" s="2280">
        <v>2.16</v>
      </c>
      <c r="O50" s="2280">
        <v>4.32</v>
      </c>
      <c r="P50" s="2280">
        <v>6.48</v>
      </c>
      <c r="Q50" s="2280">
        <v>8.64</v>
      </c>
      <c r="R50" s="2280">
        <v>9.36</v>
      </c>
      <c r="S50" s="2280">
        <v>10.08</v>
      </c>
      <c r="T50" s="2280">
        <v>11.52</v>
      </c>
      <c r="U50" s="2280">
        <v>7.2</v>
      </c>
      <c r="V50" s="2280">
        <v>8.64</v>
      </c>
      <c r="W50" s="2280">
        <v>10.08</v>
      </c>
      <c r="X50" s="2280" t="s">
        <v>2093</v>
      </c>
      <c r="Y50" s="2280" t="s">
        <v>2093</v>
      </c>
      <c r="Z50" s="2280" t="s">
        <v>2093</v>
      </c>
    </row>
    <row r="51" spans="2:26">
      <c r="B51" s="2280"/>
      <c r="C51" s="2281">
        <v>39159</v>
      </c>
      <c r="D51" s="2280">
        <v>5.67</v>
      </c>
      <c r="E51" s="2280">
        <v>6.39</v>
      </c>
      <c r="F51" s="2280">
        <v>6.57</v>
      </c>
      <c r="G51" s="2280">
        <v>6.75</v>
      </c>
      <c r="H51" s="2280">
        <v>7.11</v>
      </c>
      <c r="I51" s="2280">
        <v>4.32</v>
      </c>
      <c r="J51" s="2280">
        <v>4.7699999999999996</v>
      </c>
      <c r="L51" s="2280"/>
      <c r="M51" s="2281">
        <v>32978</v>
      </c>
      <c r="N51" s="2280">
        <v>2.88</v>
      </c>
      <c r="O51" s="2280">
        <v>6.3</v>
      </c>
      <c r="P51" s="2280">
        <v>7.74</v>
      </c>
      <c r="Q51" s="2280">
        <v>10.08</v>
      </c>
      <c r="R51" s="2280">
        <v>10.98</v>
      </c>
      <c r="S51" s="2280">
        <v>11.88</v>
      </c>
      <c r="T51" s="2280">
        <v>13.68</v>
      </c>
      <c r="U51" s="2280" t="s">
        <v>2093</v>
      </c>
      <c r="V51" s="2280" t="s">
        <v>2093</v>
      </c>
      <c r="W51" s="2280" t="s">
        <v>2093</v>
      </c>
      <c r="X51" s="2280" t="s">
        <v>2093</v>
      </c>
      <c r="Y51" s="2280" t="s">
        <v>2093</v>
      </c>
      <c r="Z51" s="2280" t="s">
        <v>2093</v>
      </c>
    </row>
    <row r="52" spans="2:26">
      <c r="B52" s="2280"/>
      <c r="C52" s="2281">
        <v>38948</v>
      </c>
      <c r="D52" s="2280">
        <v>5.58</v>
      </c>
      <c r="E52" s="2280">
        <v>6.12</v>
      </c>
      <c r="F52" s="2280">
        <v>6.3</v>
      </c>
      <c r="G52" s="2280">
        <v>6.48</v>
      </c>
      <c r="H52" s="2280">
        <v>6.84</v>
      </c>
      <c r="I52" s="2280">
        <v>4.1399999999999997</v>
      </c>
      <c r="J52" s="2280">
        <v>4.59</v>
      </c>
      <c r="L52" s="2280"/>
      <c r="M52" s="2281"/>
      <c r="N52" s="2280"/>
      <c r="O52" s="2280"/>
      <c r="P52" s="2280"/>
      <c r="Q52" s="2280"/>
      <c r="R52" s="2280"/>
      <c r="S52" s="2280"/>
      <c r="T52" s="2280"/>
      <c r="U52" s="2280"/>
      <c r="V52" s="2280"/>
      <c r="W52" s="2280"/>
      <c r="X52" s="2280"/>
      <c r="Y52" s="2280"/>
      <c r="Z52" s="2280"/>
    </row>
    <row r="53" spans="2:26">
      <c r="B53" s="2280"/>
      <c r="C53" s="2281">
        <v>38835</v>
      </c>
      <c r="D53" s="2280">
        <v>5.4</v>
      </c>
      <c r="E53" s="2280">
        <v>5.85</v>
      </c>
      <c r="F53" s="2280">
        <v>6.03</v>
      </c>
      <c r="G53" s="2280">
        <v>6.12</v>
      </c>
      <c r="H53" s="2280">
        <v>6.39</v>
      </c>
      <c r="I53" s="2280">
        <v>4.1399999999999997</v>
      </c>
      <c r="J53" s="2280">
        <v>4.59</v>
      </c>
      <c r="L53" s="2280"/>
      <c r="M53" s="2281"/>
      <c r="N53" s="2280"/>
      <c r="O53" s="2280"/>
      <c r="P53" s="2280"/>
      <c r="Q53" s="2280"/>
      <c r="R53" s="2280"/>
      <c r="S53" s="2280"/>
      <c r="T53" s="2280"/>
      <c r="U53" s="2280"/>
      <c r="V53" s="2280"/>
      <c r="W53" s="2280"/>
      <c r="X53" s="2280"/>
      <c r="Y53" s="2280"/>
      <c r="Z53" s="2280"/>
    </row>
    <row r="54" spans="2:26">
      <c r="B54" s="2280"/>
      <c r="C54" s="2281">
        <v>38428</v>
      </c>
      <c r="D54" s="2280">
        <v>5.22</v>
      </c>
      <c r="E54" s="2280">
        <v>5.58</v>
      </c>
      <c r="F54" s="2280">
        <v>5.76</v>
      </c>
      <c r="G54" s="2280">
        <v>5.85</v>
      </c>
      <c r="H54" s="2280">
        <v>6.12</v>
      </c>
      <c r="I54" s="2280">
        <v>3.96</v>
      </c>
      <c r="J54" s="2280">
        <v>4.41</v>
      </c>
      <c r="L54" s="2280"/>
      <c r="M54" s="2281"/>
      <c r="N54" s="2280"/>
      <c r="O54" s="2280"/>
      <c r="P54" s="2280"/>
      <c r="Q54" s="2280"/>
      <c r="R54" s="2280"/>
      <c r="S54" s="2280"/>
      <c r="T54" s="2280"/>
      <c r="U54" s="2280"/>
      <c r="V54" s="2280"/>
      <c r="W54" s="2280"/>
      <c r="X54" s="2280"/>
      <c r="Y54" s="2280"/>
      <c r="Z54" s="2280"/>
    </row>
    <row r="55" spans="2:26">
      <c r="B55" s="2280"/>
      <c r="C55" s="2281">
        <v>38289</v>
      </c>
      <c r="D55" s="2280">
        <v>5.22</v>
      </c>
      <c r="E55" s="2280">
        <v>5.58</v>
      </c>
      <c r="F55" s="2280">
        <v>5.76</v>
      </c>
      <c r="G55" s="2280">
        <v>5.85</v>
      </c>
      <c r="H55" s="2280">
        <v>6.12</v>
      </c>
      <c r="I55" s="2280">
        <v>3.78</v>
      </c>
      <c r="J55" s="2280">
        <v>4.2300000000000004</v>
      </c>
      <c r="L55" s="2280"/>
      <c r="M55" s="2281"/>
      <c r="N55" s="2280"/>
      <c r="O55" s="2280"/>
      <c r="P55" s="2280"/>
      <c r="Q55" s="2280"/>
      <c r="R55" s="2280"/>
      <c r="S55" s="2280"/>
      <c r="T55" s="2280"/>
      <c r="U55" s="2280"/>
      <c r="V55" s="2280"/>
      <c r="W55" s="2280"/>
      <c r="X55" s="2280"/>
      <c r="Y55" s="2280"/>
      <c r="Z55" s="2280"/>
    </row>
    <row r="56" spans="2:26">
      <c r="B56" s="2280"/>
      <c r="C56" s="2281">
        <v>37308</v>
      </c>
      <c r="D56" s="2280">
        <v>5.04</v>
      </c>
      <c r="E56" s="2280">
        <v>5.31</v>
      </c>
      <c r="F56" s="2280">
        <v>5.49</v>
      </c>
      <c r="G56" s="2280">
        <v>5.58</v>
      </c>
      <c r="H56" s="2280">
        <v>5.76</v>
      </c>
      <c r="I56" s="2280">
        <v>3.6</v>
      </c>
      <c r="J56" s="2280">
        <v>4.05</v>
      </c>
      <c r="L56" s="2280"/>
      <c r="M56" s="2281"/>
      <c r="N56" s="2280"/>
      <c r="O56" s="2280"/>
      <c r="P56" s="2280"/>
      <c r="Q56" s="2280"/>
      <c r="R56" s="2280"/>
      <c r="S56" s="2280"/>
      <c r="T56" s="2280"/>
      <c r="U56" s="2280"/>
      <c r="V56" s="2280"/>
      <c r="W56" s="2280"/>
      <c r="X56" s="2280"/>
      <c r="Y56" s="2280"/>
      <c r="Z56" s="2280"/>
    </row>
    <row r="57" spans="2:26">
      <c r="B57" s="2280"/>
      <c r="C57" s="2281">
        <v>36321</v>
      </c>
      <c r="D57" s="2280">
        <v>5.58</v>
      </c>
      <c r="E57" s="2280">
        <v>5.85</v>
      </c>
      <c r="F57" s="2280">
        <v>5.94</v>
      </c>
      <c r="G57" s="2280">
        <v>6.03</v>
      </c>
      <c r="H57" s="2280">
        <v>6.21</v>
      </c>
      <c r="I57" s="2280">
        <v>4.1399999999999997</v>
      </c>
      <c r="J57" s="2280">
        <v>4.59</v>
      </c>
      <c r="L57" s="2280"/>
      <c r="M57" s="2281"/>
      <c r="N57" s="2280"/>
      <c r="O57" s="2280"/>
      <c r="P57" s="2280"/>
      <c r="Q57" s="2280"/>
      <c r="R57" s="2280"/>
      <c r="S57" s="2280"/>
      <c r="T57" s="2280"/>
      <c r="U57" s="2280"/>
      <c r="V57" s="2280"/>
      <c r="W57" s="2280"/>
      <c r="X57" s="2280"/>
      <c r="Y57" s="2280"/>
      <c r="Z57" s="2280"/>
    </row>
    <row r="58" spans="2:26">
      <c r="B58" s="2280"/>
      <c r="C58" s="2281">
        <v>36136</v>
      </c>
      <c r="D58" s="2280">
        <v>6.12</v>
      </c>
      <c r="E58" s="2280">
        <v>6.39</v>
      </c>
      <c r="F58" s="2280">
        <v>6.66</v>
      </c>
      <c r="G58" s="2280">
        <v>7.2</v>
      </c>
      <c r="H58" s="2280">
        <v>7.56</v>
      </c>
      <c r="I58" s="2280">
        <v>0</v>
      </c>
      <c r="J58" s="2280">
        <v>0</v>
      </c>
    </row>
    <row r="59" spans="2:26">
      <c r="B59" s="2280"/>
      <c r="C59" s="2281">
        <v>35977</v>
      </c>
      <c r="D59" s="2280">
        <v>6.57</v>
      </c>
      <c r="E59" s="2280">
        <v>6.93</v>
      </c>
      <c r="F59" s="2280">
        <v>7.11</v>
      </c>
      <c r="G59" s="2280">
        <v>7.65</v>
      </c>
      <c r="H59" s="2280">
        <v>8.01</v>
      </c>
      <c r="I59" s="2280">
        <v>0</v>
      </c>
      <c r="J59" s="2280">
        <v>0</v>
      </c>
    </row>
    <row r="60" spans="2:26">
      <c r="B60" s="2280"/>
      <c r="C60" s="2281">
        <v>35879</v>
      </c>
      <c r="D60" s="2280">
        <v>7.02</v>
      </c>
      <c r="E60" s="2280">
        <v>7.92</v>
      </c>
      <c r="F60" s="2280">
        <v>9</v>
      </c>
      <c r="G60" s="2280">
        <v>9.7200000000000006</v>
      </c>
      <c r="H60" s="2280">
        <v>10.35</v>
      </c>
      <c r="I60" s="2280">
        <v>0</v>
      </c>
      <c r="J60" s="2280">
        <v>0</v>
      </c>
    </row>
    <row r="61" spans="2:26">
      <c r="B61" s="2280"/>
      <c r="C61" s="2281">
        <v>35726</v>
      </c>
      <c r="D61" s="2280">
        <v>7.65</v>
      </c>
      <c r="E61" s="2280">
        <v>8.64</v>
      </c>
      <c r="F61" s="2280">
        <v>9.36</v>
      </c>
      <c r="G61" s="2280">
        <v>9.9</v>
      </c>
      <c r="H61" s="2280">
        <v>10.53</v>
      </c>
      <c r="I61" s="2280">
        <v>0</v>
      </c>
      <c r="J61" s="2280">
        <v>0</v>
      </c>
    </row>
    <row r="62" spans="2:26">
      <c r="B62" s="2280"/>
      <c r="C62" s="2281">
        <v>35300</v>
      </c>
      <c r="D62" s="2280">
        <v>9.18</v>
      </c>
      <c r="E62" s="2280">
        <v>10.08</v>
      </c>
      <c r="F62" s="2280">
        <v>10.98</v>
      </c>
      <c r="G62" s="2280">
        <v>11.7</v>
      </c>
      <c r="H62" s="2280">
        <v>12.42</v>
      </c>
      <c r="I62" s="2280">
        <v>0</v>
      </c>
      <c r="J62" s="2280">
        <v>0</v>
      </c>
    </row>
    <row r="63" spans="2:26">
      <c r="B63" s="2280"/>
      <c r="C63" s="2281">
        <v>35186</v>
      </c>
      <c r="D63" s="2280">
        <v>9.7200000000000006</v>
      </c>
      <c r="E63" s="2280">
        <v>10.98</v>
      </c>
      <c r="F63" s="2280">
        <v>13.14</v>
      </c>
      <c r="G63" s="2280">
        <v>14.94</v>
      </c>
      <c r="H63" s="2280">
        <v>15.12</v>
      </c>
      <c r="I63" s="2280">
        <v>0</v>
      </c>
      <c r="J63" s="2280">
        <v>0</v>
      </c>
    </row>
    <row r="64" spans="2:26">
      <c r="B64" s="2280"/>
      <c r="C64" s="2281">
        <v>34881</v>
      </c>
      <c r="D64" s="2280">
        <v>10.08</v>
      </c>
      <c r="E64" s="2280">
        <v>12.06</v>
      </c>
      <c r="F64" s="2280">
        <v>13.5</v>
      </c>
      <c r="G64" s="2280">
        <v>15.12</v>
      </c>
      <c r="H64" s="2280">
        <v>15.3</v>
      </c>
      <c r="I64" s="2280">
        <v>0</v>
      </c>
      <c r="J64" s="2280">
        <v>0</v>
      </c>
    </row>
    <row r="65" spans="2:10">
      <c r="B65" s="2280"/>
      <c r="C65" s="2281">
        <v>34700</v>
      </c>
      <c r="D65" s="2280">
        <v>9</v>
      </c>
      <c r="E65" s="2280">
        <v>10.98</v>
      </c>
      <c r="F65" s="2280">
        <v>12.96</v>
      </c>
      <c r="G65" s="2280">
        <v>14.58</v>
      </c>
      <c r="H65" s="2280">
        <v>14.76</v>
      </c>
      <c r="I65" s="2280">
        <v>0</v>
      </c>
      <c r="J65" s="2280">
        <v>0</v>
      </c>
    </row>
    <row r="66" spans="2:10">
      <c r="B66" s="2280"/>
      <c r="C66" s="2281">
        <v>34161</v>
      </c>
      <c r="D66" s="2280">
        <v>9</v>
      </c>
      <c r="E66" s="2280">
        <v>10.98</v>
      </c>
      <c r="F66" s="2280">
        <v>12.24</v>
      </c>
      <c r="G66" s="2280">
        <v>13.86</v>
      </c>
      <c r="H66" s="2280">
        <v>14.04</v>
      </c>
      <c r="I66" s="2280">
        <v>0</v>
      </c>
      <c r="J66" s="2280">
        <v>0</v>
      </c>
    </row>
    <row r="67" spans="2:10">
      <c r="B67" s="2280"/>
      <c r="C67" s="2281">
        <v>34104</v>
      </c>
      <c r="D67" s="2280">
        <v>8.82</v>
      </c>
      <c r="E67" s="2280">
        <v>9.36</v>
      </c>
      <c r="F67" s="2280">
        <v>10.8</v>
      </c>
      <c r="G67" s="2280">
        <v>12.06</v>
      </c>
      <c r="H67" s="2280">
        <v>12.24</v>
      </c>
      <c r="I67" s="2280">
        <v>0</v>
      </c>
      <c r="J67" s="2280">
        <v>0</v>
      </c>
    </row>
    <row r="68" spans="2:10">
      <c r="B68" s="2280"/>
      <c r="C68" s="2281">
        <v>33349</v>
      </c>
      <c r="D68" s="2280">
        <v>8.1</v>
      </c>
      <c r="E68" s="2280">
        <v>8.64</v>
      </c>
      <c r="F68" s="2280">
        <v>9</v>
      </c>
      <c r="G68" s="2280">
        <v>9.5399999999999991</v>
      </c>
      <c r="H68" s="2280">
        <v>9.7200000000000006</v>
      </c>
      <c r="I68" s="2280">
        <v>0</v>
      </c>
      <c r="J68" s="2280">
        <v>0</v>
      </c>
    </row>
    <row r="69" spans="2:10">
      <c r="B69" s="2280"/>
      <c r="C69" s="2281">
        <v>33318</v>
      </c>
      <c r="D69" s="2280">
        <v>9</v>
      </c>
      <c r="E69" s="2280">
        <v>10.08</v>
      </c>
      <c r="F69" s="2280">
        <v>10.8</v>
      </c>
      <c r="G69" s="2280">
        <v>11.52</v>
      </c>
      <c r="H69" s="2280">
        <v>11.88</v>
      </c>
      <c r="I69" s="2280" t="s">
        <v>2093</v>
      </c>
      <c r="J69" s="2280" t="s">
        <v>2093</v>
      </c>
    </row>
    <row r="70" spans="2:10">
      <c r="B70" s="2280"/>
      <c r="C70" s="2281">
        <v>33106</v>
      </c>
      <c r="D70" s="2280">
        <v>8.64</v>
      </c>
      <c r="E70" s="2280">
        <v>9.36</v>
      </c>
      <c r="F70" s="2280">
        <v>10.08</v>
      </c>
      <c r="G70" s="2280">
        <v>10.8</v>
      </c>
      <c r="H70" s="2280">
        <v>11.16</v>
      </c>
      <c r="I70" s="2280">
        <v>0</v>
      </c>
      <c r="J70" s="2280">
        <v>0</v>
      </c>
    </row>
    <row r="71" spans="2:10">
      <c r="B71" s="2280"/>
      <c r="C71" s="2281">
        <v>32540</v>
      </c>
      <c r="D71" s="2280">
        <v>11.34</v>
      </c>
      <c r="E71" s="2280">
        <v>11.34</v>
      </c>
      <c r="F71" s="2280">
        <v>12.78</v>
      </c>
      <c r="G71" s="2280">
        <v>14.4</v>
      </c>
      <c r="H71" s="2280">
        <v>19.260000000000002</v>
      </c>
      <c r="I71" s="2280">
        <v>0</v>
      </c>
      <c r="J71" s="2280">
        <v>0</v>
      </c>
    </row>
    <row r="72" spans="2:10">
      <c r="B72" s="2280"/>
      <c r="C72" s="2281"/>
      <c r="D72" s="2280"/>
      <c r="E72" s="2280"/>
      <c r="F72" s="2280"/>
      <c r="G72" s="2280"/>
      <c r="H72" s="2280"/>
      <c r="I72" s="2280"/>
      <c r="J72" s="2280"/>
    </row>
    <row r="73" spans="2:10">
      <c r="B73" s="2283"/>
      <c r="C73" s="2284"/>
      <c r="D73" s="2283"/>
      <c r="E73" s="2283"/>
      <c r="F73" s="2283"/>
      <c r="G73" s="2283"/>
      <c r="H73" s="2283"/>
      <c r="I73" s="2283"/>
      <c r="J73" s="2283"/>
    </row>
    <row r="74" spans="2:10">
      <c r="B74" s="2283"/>
      <c r="C74" s="2284"/>
      <c r="D74" s="2283"/>
      <c r="E74" s="2283"/>
      <c r="F74" s="2283"/>
      <c r="G74" s="2283"/>
      <c r="H74" s="2283"/>
      <c r="I74" s="2283"/>
      <c r="J74" s="2283"/>
    </row>
    <row r="75" spans="2:10">
      <c r="B75" s="2283"/>
      <c r="C75" s="2284"/>
      <c r="D75" s="2283"/>
      <c r="E75" s="2283"/>
      <c r="F75" s="2283"/>
      <c r="G75" s="2283"/>
      <c r="H75" s="2283"/>
      <c r="I75" s="2283"/>
      <c r="J75" s="2283"/>
    </row>
    <row r="76" spans="2:10">
      <c r="B76" s="2233"/>
      <c r="C76" s="2233"/>
      <c r="D76" s="2233"/>
      <c r="E76" s="2233"/>
      <c r="F76" s="2233"/>
      <c r="G76" s="2233"/>
      <c r="H76" s="2233"/>
      <c r="I76" s="2233"/>
      <c r="J76" s="2233"/>
    </row>
    <row r="77" spans="2:10">
      <c r="B77" s="2233"/>
      <c r="C77" s="2233"/>
      <c r="D77" s="2233"/>
      <c r="E77" s="2233"/>
      <c r="F77" s="2233"/>
      <c r="G77" s="2233"/>
      <c r="H77" s="2233"/>
      <c r="I77" s="2233"/>
      <c r="J77" s="2233"/>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4" customWidth="1"/>
    <col min="2" max="3" width="21.375" style="1494" customWidth="1"/>
    <col min="4" max="4" width="19.875" style="1494" customWidth="1"/>
    <col min="5" max="16384" width="9" style="1494"/>
  </cols>
  <sheetData>
    <row r="1" spans="1:4">
      <c r="A1" s="3481" t="s">
        <v>1581</v>
      </c>
      <c r="B1" s="3481"/>
      <c r="C1" s="3481"/>
      <c r="D1" s="3481"/>
    </row>
    <row r="2" spans="1:4" ht="47.25" customHeight="1">
      <c r="A2" s="3482" t="str">
        <f>"1.权利限制："&amp;项目基本情况!L24&amp;"未设定租赁等其他他项权利。"</f>
        <v>1.权利限制：根据估价对象《不动产权证书》复印件、，截至估价期日，估价对象抵押权未见登记。未设定租赁等其他他项权利。</v>
      </c>
      <c r="B2" s="3482"/>
      <c r="C2" s="3482"/>
      <c r="D2" s="3482"/>
    </row>
    <row r="3" spans="1:4" ht="48" customHeight="1">
      <c r="A3" s="348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0" t="s">
        <v>1582</v>
      </c>
      <c r="B5" s="3480"/>
      <c r="C5" s="3480"/>
      <c r="D5" s="3480"/>
    </row>
    <row r="6" spans="1:4">
      <c r="A6" s="3481" t="s">
        <v>1560</v>
      </c>
      <c r="B6" s="3481"/>
      <c r="C6" s="3481"/>
      <c r="D6" s="3481"/>
    </row>
    <row r="7" spans="1:4" ht="33" customHeight="1">
      <c r="A7" s="3481" t="s">
        <v>1855</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1"/>
      <c r="C8" s="3481"/>
      <c r="D8" s="3481"/>
    </row>
    <row r="9" spans="1:4" ht="33.75" customHeight="1">
      <c r="A9" s="34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1"/>
      <c r="C9" s="3481"/>
      <c r="D9" s="3481"/>
    </row>
    <row r="10" spans="1:4">
      <c r="A10" s="3481" t="str">
        <f>IF(项目基本情况!B8="抵押","4.估价师所知悉的法定优先受偿款情况为：","——")</f>
        <v>4.估价师所知悉的法定优先受偿款情况为：</v>
      </c>
      <c r="B10" s="3481"/>
      <c r="C10" s="3481"/>
      <c r="D10" s="3481"/>
    </row>
    <row r="11" spans="1:4" ht="37.5" customHeight="1">
      <c r="A11" s="3481" t="str">
        <f>IF(项目基本情况!B8="抵押","（1）"&amp;CONCATENATE(项目基本情况!L24,项目基本情况!L25,项目基本情况!L26),"——")</f>
        <v>（1）根据估价对象《不动产权证书》复印件、，截至估价期日，估价对象抵押权未见登记。</v>
      </c>
      <c r="B11" s="3481"/>
      <c r="C11" s="3481"/>
      <c r="D11" s="3481"/>
    </row>
    <row r="12" spans="1:4" ht="168" customHeight="1">
      <c r="A12" s="3480" t="s">
        <v>1584</v>
      </c>
      <c r="B12" s="3480"/>
      <c r="C12" s="3480"/>
      <c r="D12" s="3480"/>
    </row>
    <row r="13" spans="1:4">
      <c r="A13" s="3483" t="s">
        <v>2026</v>
      </c>
      <c r="B13" s="3483"/>
      <c r="C13" s="3483"/>
      <c r="D13" s="3483"/>
    </row>
    <row r="14" spans="1:4">
      <c r="A14" s="3481" t="str">
        <f>IF(项目基本情况!B8="抵押","综上，"&amp;结果表!K47,"——")</f>
        <v>综上，本次评估估价师知悉的法定优先受偿款为人民币340万元整。</v>
      </c>
      <c r="B14" s="3481"/>
      <c r="C14" s="3481"/>
      <c r="D14" s="3481"/>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1982</v>
      </c>
      <c r="B17" s="3481"/>
      <c r="C17" s="3481"/>
      <c r="D17" s="3481"/>
    </row>
    <row r="18" spans="1:4">
      <c r="A18" s="3481" t="s">
        <v>1974</v>
      </c>
      <c r="B18" s="3481"/>
      <c r="C18" s="3481"/>
      <c r="D18" s="3481"/>
    </row>
    <row r="19" spans="1:4">
      <c r="A19" s="2170" t="s">
        <v>1975</v>
      </c>
      <c r="B19" s="2170" t="s">
        <v>1976</v>
      </c>
      <c r="C19" s="2170" t="s">
        <v>1977</v>
      </c>
      <c r="D19" s="2170" t="s">
        <v>1978</v>
      </c>
    </row>
    <row r="20" spans="1:4">
      <c r="A20" s="2170" t="str">
        <f>项目基本情况!B4</f>
        <v>吴薇</v>
      </c>
      <c r="B20" s="2170">
        <f ca="1">项目基本情况!C4</f>
        <v>2002110125</v>
      </c>
      <c r="C20" s="2172"/>
      <c r="D20" s="1493" t="s">
        <v>1983</v>
      </c>
    </row>
    <row r="21" spans="1:4">
      <c r="A21" s="2170" t="str">
        <f>项目基本情况!D4</f>
        <v>郑燚</v>
      </c>
      <c r="B21" s="2170">
        <f ca="1">项目基本情况!E4</f>
        <v>2014110011</v>
      </c>
      <c r="C21" s="2172"/>
      <c r="D21" s="1493" t="s">
        <v>1984</v>
      </c>
    </row>
    <row r="23" spans="1:4">
      <c r="A23" s="3481" t="s">
        <v>1979</v>
      </c>
      <c r="B23" s="3481"/>
      <c r="C23" s="3481"/>
      <c r="D23" s="3481"/>
    </row>
    <row r="24" spans="1:4">
      <c r="A24" s="2170" t="s">
        <v>1975</v>
      </c>
      <c r="B24" s="2170" t="s">
        <v>1980</v>
      </c>
      <c r="C24" s="2170" t="s">
        <v>1977</v>
      </c>
      <c r="D24" s="2170" t="s">
        <v>1978</v>
      </c>
    </row>
    <row r="25" spans="1:4">
      <c r="A25" s="2173" t="s">
        <v>1981</v>
      </c>
      <c r="B25" s="2170" t="s">
        <v>877</v>
      </c>
      <c r="C25" s="2172"/>
      <c r="D25" s="1493" t="s">
        <v>1984</v>
      </c>
    </row>
    <row r="29" spans="1:4">
      <c r="D29" s="2171" t="s">
        <v>1555</v>
      </c>
    </row>
    <row r="30" spans="1:4">
      <c r="D30" s="217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91" t="s">
        <v>27</v>
      </c>
      <c r="B15" s="3492" t="s">
        <v>784</v>
      </c>
      <c r="C15" s="3488"/>
    </row>
    <row r="16" spans="1:7" ht="14.25">
      <c r="A16" s="3491"/>
      <c r="B16" s="3489" t="s">
        <v>28</v>
      </c>
      <c r="C16" s="1014" t="s">
        <v>27</v>
      </c>
    </row>
    <row r="17" spans="1:3" ht="14.25">
      <c r="A17" s="3491"/>
      <c r="B17" s="3489"/>
      <c r="C17" s="1014" t="s">
        <v>29</v>
      </c>
    </row>
    <row r="18" spans="1:3" ht="14.25">
      <c r="A18" s="3491"/>
      <c r="B18" s="3489"/>
      <c r="C18" s="1014" t="s">
        <v>30</v>
      </c>
    </row>
    <row r="19" spans="1:3" ht="14.25">
      <c r="A19" s="3491"/>
      <c r="B19" s="3487" t="s">
        <v>31</v>
      </c>
      <c r="C19" s="3488"/>
    </row>
    <row r="20" spans="1:3" ht="14.25">
      <c r="A20" s="1015" t="s">
        <v>32</v>
      </c>
      <c r="B20" s="1016"/>
      <c r="C20" s="1017"/>
    </row>
    <row r="21" spans="1:3" ht="14.25">
      <c r="A21" s="3490" t="s">
        <v>33</v>
      </c>
      <c r="B21" s="3487" t="s">
        <v>34</v>
      </c>
      <c r="C21" s="3488"/>
    </row>
    <row r="22" spans="1:3" ht="14.25">
      <c r="A22" s="3490"/>
      <c r="B22" s="3487" t="s">
        <v>35</v>
      </c>
      <c r="C22" s="3488"/>
    </row>
    <row r="23" spans="1:3" ht="14.25">
      <c r="A23" s="3490"/>
      <c r="B23" s="3487" t="s">
        <v>36</v>
      </c>
      <c r="C23" s="3488"/>
    </row>
    <row r="24" spans="1:3" ht="14.25">
      <c r="A24" s="3490"/>
      <c r="B24" s="3493" t="s">
        <v>37</v>
      </c>
      <c r="C24" s="1018" t="s">
        <v>775</v>
      </c>
    </row>
    <row r="25" spans="1:3" ht="14.25">
      <c r="A25" s="3490"/>
      <c r="B25" s="3494"/>
      <c r="C25" s="1018" t="s">
        <v>776</v>
      </c>
    </row>
    <row r="26" spans="1:3" ht="14.25">
      <c r="A26" s="3490"/>
      <c r="B26" s="3494"/>
      <c r="C26" s="1018" t="s">
        <v>777</v>
      </c>
    </row>
    <row r="27" spans="1:3" ht="14.25">
      <c r="A27" s="3490"/>
      <c r="B27" s="3494"/>
      <c r="C27" s="1018" t="s">
        <v>778</v>
      </c>
    </row>
    <row r="28" spans="1:3" ht="14.25">
      <c r="A28" s="3490"/>
      <c r="B28" s="3494"/>
      <c r="C28" s="1018" t="s">
        <v>779</v>
      </c>
    </row>
    <row r="29" spans="1:3" ht="14.25">
      <c r="A29" s="3490"/>
      <c r="B29" s="3494"/>
      <c r="C29" s="1018" t="s">
        <v>780</v>
      </c>
    </row>
    <row r="30" spans="1:3" ht="14.25">
      <c r="A30" s="3490"/>
      <c r="B30" s="3494"/>
      <c r="C30" s="1018" t="s">
        <v>781</v>
      </c>
    </row>
    <row r="31" spans="1:3" ht="14.25">
      <c r="A31" s="3490"/>
      <c r="B31" s="3494"/>
      <c r="C31" s="1018" t="s">
        <v>782</v>
      </c>
    </row>
    <row r="32" spans="1:3" ht="14.25">
      <c r="A32" s="3490"/>
      <c r="B32" s="3494"/>
      <c r="C32" s="1018" t="s">
        <v>1181</v>
      </c>
    </row>
    <row r="33" spans="1:3" ht="14.25">
      <c r="A33" s="3490"/>
      <c r="B33" s="3484" t="s">
        <v>1187</v>
      </c>
      <c r="C33" s="1018" t="s">
        <v>1182</v>
      </c>
    </row>
    <row r="34" spans="1:3" ht="14.25">
      <c r="A34" s="3490"/>
      <c r="B34" s="3485"/>
      <c r="C34" s="1023" t="s">
        <v>1183</v>
      </c>
    </row>
    <row r="35" spans="1:3" ht="14.25">
      <c r="A35" s="3490"/>
      <c r="B35" s="3485"/>
      <c r="C35" s="1024" t="s">
        <v>1184</v>
      </c>
    </row>
    <row r="36" spans="1:3" ht="14.25">
      <c r="A36" s="3490"/>
      <c r="B36" s="3485"/>
      <c r="C36" s="1024" t="s">
        <v>1185</v>
      </c>
    </row>
    <row r="37" spans="1:3" ht="14.25">
      <c r="A37" s="3490"/>
      <c r="B37" s="3486"/>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0" customWidth="1"/>
    <col min="2" max="2" width="22.75" style="2390" bestFit="1" customWidth="1"/>
    <col min="3" max="3" width="25.75" style="2390" bestFit="1" customWidth="1"/>
    <col min="4" max="4" width="22.625" style="2390"/>
    <col min="5" max="5" width="22.75" style="2390" bestFit="1" customWidth="1"/>
    <col min="6" max="6" width="25.625" style="2390" customWidth="1"/>
    <col min="7" max="16384" width="22.625" style="2390"/>
  </cols>
  <sheetData>
    <row r="1" spans="1:7" ht="20.25" customHeight="1">
      <c r="A1" s="2556"/>
      <c r="B1" s="2556"/>
      <c r="C1" s="2556"/>
      <c r="D1" s="2556"/>
      <c r="E1" s="2556"/>
      <c r="F1" s="2556"/>
      <c r="G1" s="2556"/>
    </row>
    <row r="2" spans="1:7" ht="20.25" customHeight="1">
      <c r="A2" s="2557" t="s">
        <v>1431</v>
      </c>
      <c r="B2" s="2558">
        <f ca="1">TODAY()</f>
        <v>45667</v>
      </c>
      <c r="C2" s="2559" t="s">
        <v>1432</v>
      </c>
      <c r="D2" s="2559"/>
      <c r="E2" s="2556"/>
      <c r="F2" s="2556"/>
      <c r="G2" s="2556"/>
    </row>
    <row r="3" spans="1:7" ht="20.25" customHeight="1">
      <c r="A3" s="2576" t="s">
        <v>1433</v>
      </c>
      <c r="B3" s="2561" t="s">
        <v>1434</v>
      </c>
      <c r="C3" s="2562" t="s">
        <v>1435</v>
      </c>
      <c r="D3" s="2577" t="s">
        <v>1436</v>
      </c>
      <c r="E3" s="2561" t="s">
        <v>1437</v>
      </c>
      <c r="F3" s="2561" t="s">
        <v>1435</v>
      </c>
      <c r="G3" s="2556"/>
    </row>
    <row r="4" spans="1:7" ht="20.25" customHeight="1">
      <c r="A4" s="2561" t="s">
        <v>1438</v>
      </c>
      <c r="B4" s="2561">
        <f ca="1">IF(C4&lt;B2,"已过期",1119970066)</f>
        <v>1119970066</v>
      </c>
      <c r="C4" s="2564">
        <v>45937</v>
      </c>
      <c r="D4" s="2570" t="s">
        <v>1438</v>
      </c>
      <c r="E4" s="2561">
        <f ca="1">IF(F4&lt;B2,"已过期",96010014)</f>
        <v>96010014</v>
      </c>
      <c r="F4" s="2563">
        <v>47118</v>
      </c>
      <c r="G4" s="2556"/>
    </row>
    <row r="5" spans="1:7" ht="20.25" customHeight="1">
      <c r="A5" s="2561" t="s">
        <v>1439</v>
      </c>
      <c r="B5" s="2561">
        <f ca="1">IF(C5&lt;B2,"已过期",1119970111)</f>
        <v>1119970111</v>
      </c>
      <c r="C5" s="2564">
        <v>45937</v>
      </c>
      <c r="D5" s="2570" t="s">
        <v>1439</v>
      </c>
      <c r="E5" s="2561">
        <f ca="1">IF(F5&lt;B2,"已过期",94010078)</f>
        <v>94010078</v>
      </c>
      <c r="F5" s="2563">
        <v>46387</v>
      </c>
      <c r="G5" s="2556"/>
    </row>
    <row r="6" spans="1:7" ht="20.25" customHeight="1">
      <c r="A6" s="2561" t="s">
        <v>1440</v>
      </c>
      <c r="B6" s="2561" t="str">
        <f ca="1">IF(C6&lt;B2,"已过期",1120050019)</f>
        <v>已过期</v>
      </c>
      <c r="C6" s="2564">
        <v>45410</v>
      </c>
      <c r="D6" s="2570" t="s">
        <v>1440</v>
      </c>
      <c r="E6" s="2561">
        <f ca="1">IF(F6&lt;B2,"已过期",2002110030)</f>
        <v>2002110030</v>
      </c>
      <c r="F6" s="2563">
        <v>46387</v>
      </c>
      <c r="G6" s="2556"/>
    </row>
    <row r="7" spans="1:7" ht="20.25" customHeight="1">
      <c r="A7" s="2561" t="s">
        <v>1441</v>
      </c>
      <c r="B7" s="2561">
        <f ca="1">IF(C7&lt;B2,"已过期",1120000080)</f>
        <v>1120000080</v>
      </c>
      <c r="C7" s="2564">
        <v>45937</v>
      </c>
      <c r="D7" s="2570" t="s">
        <v>1441</v>
      </c>
      <c r="E7" s="2561">
        <f ca="1">IF(F7&lt;B2,"已过期",2000110082)</f>
        <v>2000110082</v>
      </c>
      <c r="F7" s="2563">
        <v>46387</v>
      </c>
      <c r="G7" s="2556"/>
    </row>
    <row r="8" spans="1:7" ht="20.25" customHeight="1">
      <c r="A8" s="2561" t="s">
        <v>1442</v>
      </c>
      <c r="B8" s="2561">
        <f ca="1">IF(C8&lt;B2,"已过期",1419970001)</f>
        <v>1419970001</v>
      </c>
      <c r="C8" s="2564">
        <v>45937</v>
      </c>
      <c r="D8" s="2570" t="s">
        <v>1442</v>
      </c>
      <c r="E8" s="2561">
        <f ca="1">IF(F8&lt;B2,"已过期",2002110125)</f>
        <v>2002110125</v>
      </c>
      <c r="F8" s="2563">
        <v>47118</v>
      </c>
      <c r="G8" s="2556"/>
    </row>
    <row r="9" spans="1:7" ht="20.25" customHeight="1">
      <c r="A9" s="2561" t="s">
        <v>1443</v>
      </c>
      <c r="B9" s="2561" t="str">
        <f ca="1">IF(C9&lt;B2,"已过期",1120060040)</f>
        <v>已过期</v>
      </c>
      <c r="C9" s="2564">
        <v>45592</v>
      </c>
      <c r="D9" s="2570" t="s">
        <v>1443</v>
      </c>
      <c r="E9" s="2561">
        <f ca="1">IF(F9&lt;B2,"已过期",2004110096)</f>
        <v>2004110096</v>
      </c>
      <c r="F9" s="2563">
        <v>47118</v>
      </c>
      <c r="G9" s="2556"/>
    </row>
    <row r="10" spans="1:7" ht="20.25" customHeight="1">
      <c r="A10" s="2561" t="s">
        <v>1444</v>
      </c>
      <c r="B10" s="2561">
        <f ca="1">IF(C10&lt;B2,"已过期",1120100036)</f>
        <v>1120100036</v>
      </c>
      <c r="C10" s="2564">
        <v>45752</v>
      </c>
      <c r="D10" s="2570" t="s">
        <v>1444</v>
      </c>
      <c r="E10" s="2561">
        <f ca="1">IF(F10&lt;B2,"已过期",2010110070)</f>
        <v>2010110070</v>
      </c>
      <c r="F10" s="2563">
        <v>47907</v>
      </c>
      <c r="G10" s="2556"/>
    </row>
    <row r="11" spans="1:7" ht="20.25" customHeight="1">
      <c r="A11" s="2561" t="s">
        <v>1445</v>
      </c>
      <c r="B11" s="2561">
        <f ca="1">IF(C11&lt;B2,"已过期",1120070131)</f>
        <v>1120070131</v>
      </c>
      <c r="C11" s="2564">
        <v>45937</v>
      </c>
      <c r="D11" s="2570" t="s">
        <v>1445</v>
      </c>
      <c r="E11" s="2561">
        <f ca="1">IF(F11&lt;B2,"已过期",2014110011)</f>
        <v>2014110011</v>
      </c>
      <c r="F11" s="2563">
        <v>49302</v>
      </c>
      <c r="G11" s="2556"/>
    </row>
    <row r="12" spans="1:7" ht="20.25" customHeight="1">
      <c r="A12" s="2561" t="s">
        <v>2232</v>
      </c>
      <c r="B12" s="2561">
        <f ca="1">IF(C12&lt;B2,"已过期",1120040230)</f>
        <v>1120040230</v>
      </c>
      <c r="C12" s="2564">
        <v>45937</v>
      </c>
      <c r="D12" s="2570" t="s">
        <v>2233</v>
      </c>
      <c r="E12" s="2561">
        <f ca="1">IF(F12&lt;B2,"已过期",98030020)</f>
        <v>98030020</v>
      </c>
      <c r="F12" s="2563">
        <v>47118</v>
      </c>
      <c r="G12" s="2556"/>
    </row>
    <row r="13" spans="1:7" ht="20.25" customHeight="1">
      <c r="A13" s="2561"/>
      <c r="B13" s="2561"/>
      <c r="C13" s="2564"/>
      <c r="D13" s="2570" t="s">
        <v>1446</v>
      </c>
      <c r="E13" s="2561">
        <f ca="1">IF(F13&lt;B2,"已过期",2011110090)</f>
        <v>2011110090</v>
      </c>
      <c r="F13" s="2563">
        <v>48302</v>
      </c>
      <c r="G13" s="2556"/>
    </row>
    <row r="14" spans="1:7" ht="20.25" customHeight="1">
      <c r="A14" s="2561" t="s">
        <v>1447</v>
      </c>
      <c r="B14" s="2561" t="str">
        <f ca="1">IF(C14&lt;B2,"已过期",1120020033)</f>
        <v>已过期</v>
      </c>
      <c r="C14" s="2564">
        <v>45375</v>
      </c>
      <c r="D14" s="2570" t="s">
        <v>1447</v>
      </c>
      <c r="E14" s="2561">
        <f ca="1">IF(F14&lt;B2,"已过期",2000110137)</f>
        <v>2000110137</v>
      </c>
      <c r="F14" s="2563">
        <v>46387</v>
      </c>
      <c r="G14" s="2556"/>
    </row>
    <row r="15" spans="1:7" ht="20.25" customHeight="1">
      <c r="A15" s="2561" t="s">
        <v>2243</v>
      </c>
      <c r="B15" s="2561" t="str">
        <f ca="1">IF(C15&lt;B2,"已过期",1119980106)</f>
        <v>已过期</v>
      </c>
      <c r="C15" s="2564">
        <v>44969</v>
      </c>
      <c r="D15" s="2570"/>
      <c r="E15" s="2561"/>
      <c r="F15" s="2561"/>
      <c r="G15" s="2556"/>
    </row>
    <row r="16" spans="1:7" ht="20.25" customHeight="1">
      <c r="A16" s="2560" t="s">
        <v>2441</v>
      </c>
      <c r="B16" s="2560">
        <v>1120210056</v>
      </c>
      <c r="C16" s="2564">
        <v>45410</v>
      </c>
      <c r="D16" s="2570"/>
      <c r="E16" s="2561"/>
      <c r="F16" s="2561"/>
      <c r="G16" s="2556"/>
    </row>
    <row r="17" spans="1:7" ht="20.25" customHeight="1">
      <c r="A17" s="2560" t="s">
        <v>1569</v>
      </c>
      <c r="B17" s="2560" t="s">
        <v>1569</v>
      </c>
      <c r="C17" s="2564"/>
      <c r="D17" s="2571" t="s">
        <v>1569</v>
      </c>
      <c r="E17" s="2561" t="s">
        <v>1569</v>
      </c>
      <c r="F17" s="2563"/>
      <c r="G17" s="2556"/>
    </row>
    <row r="18" spans="1:7" ht="20.25" customHeight="1">
      <c r="A18" s="3498" t="s">
        <v>1448</v>
      </c>
      <c r="B18" s="3499"/>
      <c r="C18" s="3499"/>
      <c r="D18" s="3499"/>
      <c r="E18" s="3499"/>
      <c r="F18" s="3499"/>
      <c r="G18" s="2556"/>
    </row>
    <row r="19" spans="1:7" ht="20.25" customHeight="1">
      <c r="A19" s="3495" t="s">
        <v>1449</v>
      </c>
      <c r="B19" s="3495"/>
      <c r="C19" s="3496"/>
      <c r="D19" s="3497" t="s">
        <v>1450</v>
      </c>
      <c r="E19" s="3495"/>
      <c r="F19" s="3495"/>
      <c r="G19" s="2556"/>
    </row>
    <row r="20" spans="1:7" s="2389" customFormat="1" ht="20.25" customHeight="1">
      <c r="A20" s="2565" t="s">
        <v>1451</v>
      </c>
      <c r="B20" s="2561" t="s">
        <v>1452</v>
      </c>
      <c r="C20" s="2562" t="s">
        <v>1453</v>
      </c>
      <c r="D20" s="2570" t="s">
        <v>1451</v>
      </c>
      <c r="E20" s="2561" t="s">
        <v>1452</v>
      </c>
      <c r="F20" s="2561" t="s">
        <v>1453</v>
      </c>
      <c r="G20" s="2557"/>
    </row>
    <row r="21" spans="1:7" s="2389" customFormat="1" ht="20.25" customHeight="1">
      <c r="A21" s="2566" t="s">
        <v>1454</v>
      </c>
      <c r="B21" s="2566" t="s">
        <v>1455</v>
      </c>
      <c r="C21" s="2572">
        <v>45898</v>
      </c>
      <c r="D21" s="2574" t="s">
        <v>1456</v>
      </c>
      <c r="E21" s="2566" t="s">
        <v>2442</v>
      </c>
      <c r="F21" s="2567">
        <v>44926</v>
      </c>
      <c r="G21" s="2557"/>
    </row>
    <row r="22" spans="1:7" s="2389" customFormat="1" ht="20.25" customHeight="1">
      <c r="A22" s="2566"/>
      <c r="B22" s="2566"/>
      <c r="C22" s="2573"/>
      <c r="D22" s="2574"/>
      <c r="E22" s="2566"/>
      <c r="F22" s="2567"/>
      <c r="G22" s="2557"/>
    </row>
    <row r="23" spans="1:7" ht="20.25" customHeight="1">
      <c r="A23" s="2556"/>
      <c r="B23" s="2556"/>
      <c r="C23" s="2568"/>
      <c r="D23" s="2575"/>
      <c r="E23" s="2556"/>
      <c r="F23" s="2569"/>
      <c r="G23" s="2556"/>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expression" dxfId="187" priority="53">
      <formula>AND($C12-TODAY()&lt;30,TODAY()&lt;$C12)</formula>
    </cfRule>
    <cfRule type="cellIs" dxfId="186" priority="54" stopIfTrue="1" operator="lessThan">
      <formula>$B$2</formula>
    </cfRule>
  </conditionalFormatting>
  <conditionalFormatting sqref="C13:C16">
    <cfRule type="cellIs" dxfId="185" priority="63" stopIfTrue="1" operator="lessThan">
      <formula>$B$2</formula>
    </cfRule>
  </conditionalFormatting>
  <conditionalFormatting sqref="C21">
    <cfRule type="expression" dxfId="184" priority="150">
      <formula>AND($C21-TODAY()&lt;30,TODAY()&lt;$C21)</formula>
    </cfRule>
    <cfRule type="cellIs" dxfId="183" priority="152" stopIfTrue="1" operator="lessThan">
      <formula>$B$2</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30" sqref="G30"/>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0" t="s">
        <v>1237</v>
      </c>
      <c r="D1" s="2045" t="s">
        <v>2754</v>
      </c>
      <c r="E1" s="4" t="s">
        <v>100</v>
      </c>
      <c r="F1" s="4" t="s">
        <v>101</v>
      </c>
      <c r="G1" s="4" t="s">
        <v>102</v>
      </c>
      <c r="H1" s="4" t="s">
        <v>103</v>
      </c>
      <c r="I1" s="4" t="s">
        <v>104</v>
      </c>
      <c r="J1" s="4" t="s">
        <v>105</v>
      </c>
      <c r="K1" s="4" t="s">
        <v>106</v>
      </c>
      <c r="L1" s="4" t="s">
        <v>107</v>
      </c>
      <c r="M1" s="4" t="s">
        <v>108</v>
      </c>
      <c r="N1" s="4" t="s">
        <v>109</v>
      </c>
      <c r="O1" s="4" t="s">
        <v>110</v>
      </c>
      <c r="P1" s="4" t="s">
        <v>111</v>
      </c>
      <c r="Q1" s="2045" t="s">
        <v>1826</v>
      </c>
      <c r="R1" s="2044" t="s">
        <v>1820</v>
      </c>
      <c r="S1" s="4" t="s">
        <v>112</v>
      </c>
      <c r="T1" s="5" t="s">
        <v>113</v>
      </c>
      <c r="U1" s="4" t="s">
        <v>114</v>
      </c>
      <c r="V1" s="4" t="s">
        <v>115</v>
      </c>
      <c r="W1" s="914" t="s">
        <v>811</v>
      </c>
    </row>
    <row r="2" spans="1:23">
      <c r="A2" s="6" t="s">
        <v>47</v>
      </c>
      <c r="B2" s="6" t="s">
        <v>116</v>
      </c>
      <c r="C2" s="1291" t="s">
        <v>1238</v>
      </c>
      <c r="D2" s="7" t="s">
        <v>48</v>
      </c>
      <c r="E2" s="7" t="s">
        <v>95</v>
      </c>
      <c r="F2" s="7" t="s">
        <v>96</v>
      </c>
      <c r="G2" s="4">
        <v>20</v>
      </c>
      <c r="H2" s="7" t="s">
        <v>97</v>
      </c>
      <c r="I2" s="7" t="s">
        <v>2740</v>
      </c>
      <c r="J2" s="7" t="s">
        <v>98</v>
      </c>
      <c r="K2" s="7" t="s">
        <v>49</v>
      </c>
      <c r="L2" s="7" t="s">
        <v>49</v>
      </c>
      <c r="M2" s="7" t="s">
        <v>49</v>
      </c>
      <c r="N2" s="7" t="s">
        <v>49</v>
      </c>
      <c r="O2" s="7" t="s">
        <v>49</v>
      </c>
      <c r="P2" s="915" t="s">
        <v>817</v>
      </c>
      <c r="Q2" s="7" t="s">
        <v>49</v>
      </c>
      <c r="R2" s="915" t="s">
        <v>1821</v>
      </c>
      <c r="S2" s="7" t="s">
        <v>49</v>
      </c>
      <c r="T2" s="7" t="s">
        <v>50</v>
      </c>
      <c r="U2" s="7" t="s">
        <v>49</v>
      </c>
      <c r="V2" s="7" t="s">
        <v>51</v>
      </c>
      <c r="W2" s="7" t="s">
        <v>812</v>
      </c>
    </row>
    <row r="3" spans="1:23">
      <c r="A3" s="6" t="s">
        <v>52</v>
      </c>
      <c r="B3" s="8" t="s">
        <v>117</v>
      </c>
      <c r="C3" s="1291" t="s">
        <v>1239</v>
      </c>
      <c r="D3" s="7" t="s">
        <v>53</v>
      </c>
      <c r="E3" s="7" t="s">
        <v>3</v>
      </c>
      <c r="F3" s="7" t="s">
        <v>54</v>
      </c>
      <c r="G3" s="7">
        <v>40</v>
      </c>
      <c r="H3" s="7" t="s">
        <v>55</v>
      </c>
      <c r="I3" s="7" t="s">
        <v>2741</v>
      </c>
      <c r="J3" s="7" t="s">
        <v>56</v>
      </c>
      <c r="K3" s="7" t="s">
        <v>57</v>
      </c>
      <c r="L3" s="7" t="s">
        <v>57</v>
      </c>
      <c r="M3" s="7" t="s">
        <v>57</v>
      </c>
      <c r="N3" s="7" t="s">
        <v>57</v>
      </c>
      <c r="O3" s="7" t="s">
        <v>57</v>
      </c>
      <c r="P3" s="915" t="s">
        <v>548</v>
      </c>
      <c r="Q3" s="7" t="s">
        <v>57</v>
      </c>
      <c r="R3" s="915" t="s">
        <v>1822</v>
      </c>
      <c r="S3" s="7" t="s">
        <v>57</v>
      </c>
      <c r="T3" s="7" t="s">
        <v>58</v>
      </c>
      <c r="U3" s="7" t="s">
        <v>57</v>
      </c>
      <c r="V3" s="7" t="s">
        <v>59</v>
      </c>
      <c r="W3" s="7" t="s">
        <v>813</v>
      </c>
    </row>
    <row r="4" spans="1:23">
      <c r="A4" s="6" t="s">
        <v>60</v>
      </c>
      <c r="B4" s="6" t="s">
        <v>118</v>
      </c>
      <c r="C4" s="1291" t="s">
        <v>1240</v>
      </c>
      <c r="D4" s="7" t="s">
        <v>1510</v>
      </c>
      <c r="E4" s="7" t="s">
        <v>61</v>
      </c>
      <c r="F4" s="7" t="s">
        <v>62</v>
      </c>
      <c r="G4" s="7">
        <v>50</v>
      </c>
      <c r="H4" s="7" t="s">
        <v>63</v>
      </c>
      <c r="I4" s="7" t="s">
        <v>2742</v>
      </c>
      <c r="K4" s="7" t="s">
        <v>64</v>
      </c>
      <c r="L4" s="7" t="s">
        <v>64</v>
      </c>
      <c r="M4" s="7" t="s">
        <v>64</v>
      </c>
      <c r="N4" s="7" t="s">
        <v>64</v>
      </c>
      <c r="O4" s="7" t="s">
        <v>64</v>
      </c>
      <c r="P4" s="915" t="s">
        <v>700</v>
      </c>
      <c r="Q4" s="7" t="s">
        <v>64</v>
      </c>
      <c r="R4" s="915" t="s">
        <v>1823</v>
      </c>
      <c r="S4" s="7" t="s">
        <v>64</v>
      </c>
      <c r="T4" s="7" t="s">
        <v>65</v>
      </c>
      <c r="U4" s="7" t="s">
        <v>64</v>
      </c>
      <c r="W4" s="7" t="s">
        <v>814</v>
      </c>
    </row>
    <row r="5" spans="1:23">
      <c r="A5" s="6" t="s">
        <v>66</v>
      </c>
      <c r="B5" s="6" t="s">
        <v>119</v>
      </c>
      <c r="C5" s="1291" t="s">
        <v>1241</v>
      </c>
      <c r="F5" s="7" t="s">
        <v>67</v>
      </c>
      <c r="G5" s="7">
        <v>70</v>
      </c>
      <c r="H5" s="7" t="s">
        <v>44</v>
      </c>
      <c r="I5" s="7" t="s">
        <v>2743</v>
      </c>
      <c r="K5" s="7" t="s">
        <v>68</v>
      </c>
      <c r="L5" s="7" t="s">
        <v>68</v>
      </c>
      <c r="M5" s="7" t="s">
        <v>68</v>
      </c>
      <c r="N5" s="7" t="s">
        <v>68</v>
      </c>
      <c r="O5" s="7" t="s">
        <v>68</v>
      </c>
      <c r="P5" s="915" t="s">
        <v>495</v>
      </c>
      <c r="Q5" s="7" t="s">
        <v>68</v>
      </c>
      <c r="R5" s="915" t="s">
        <v>1824</v>
      </c>
      <c r="S5" s="7" t="s">
        <v>68</v>
      </c>
      <c r="T5" s="7" t="s">
        <v>69</v>
      </c>
      <c r="U5" s="7" t="s">
        <v>68</v>
      </c>
      <c r="W5" s="7" t="s">
        <v>815</v>
      </c>
    </row>
    <row r="6" spans="1:23">
      <c r="A6" s="6" t="s">
        <v>70</v>
      </c>
      <c r="B6" s="993" t="s">
        <v>1176</v>
      </c>
      <c r="C6" s="1292" t="s">
        <v>1242</v>
      </c>
      <c r="F6" s="7" t="s">
        <v>45</v>
      </c>
      <c r="H6" s="7" t="s">
        <v>46</v>
      </c>
      <c r="I6" s="7" t="s">
        <v>2744</v>
      </c>
      <c r="K6" s="7" t="s">
        <v>71</v>
      </c>
      <c r="L6" s="7" t="s">
        <v>71</v>
      </c>
      <c r="M6" s="7" t="s">
        <v>71</v>
      </c>
      <c r="N6" s="7" t="s">
        <v>71</v>
      </c>
      <c r="O6" s="7" t="s">
        <v>71</v>
      </c>
      <c r="P6" s="915" t="s">
        <v>818</v>
      </c>
      <c r="Q6" s="7" t="s">
        <v>71</v>
      </c>
      <c r="R6" s="915" t="s">
        <v>1825</v>
      </c>
      <c r="S6" s="7" t="s">
        <v>71</v>
      </c>
      <c r="T6" s="7"/>
      <c r="U6" s="7" t="s">
        <v>71</v>
      </c>
      <c r="W6" s="7" t="s">
        <v>816</v>
      </c>
    </row>
    <row r="7" spans="1:23">
      <c r="A7" s="6" t="s">
        <v>72</v>
      </c>
      <c r="B7" s="6" t="s">
        <v>73</v>
      </c>
      <c r="C7" s="1291" t="s">
        <v>1243</v>
      </c>
      <c r="F7" s="7" t="s">
        <v>120</v>
      </c>
      <c r="H7" s="7" t="s">
        <v>74</v>
      </c>
      <c r="I7" s="7" t="s">
        <v>2745</v>
      </c>
    </row>
    <row r="8" spans="1:23">
      <c r="A8" s="6" t="s">
        <v>75</v>
      </c>
      <c r="B8" s="6" t="s">
        <v>76</v>
      </c>
      <c r="C8" s="1291" t="s">
        <v>1244</v>
      </c>
      <c r="F8" s="7" t="s">
        <v>121</v>
      </c>
      <c r="H8" s="3076" t="s">
        <v>2739</v>
      </c>
      <c r="I8" s="7" t="s">
        <v>2746</v>
      </c>
    </row>
    <row r="9" spans="1:23">
      <c r="A9" s="6" t="s">
        <v>77</v>
      </c>
      <c r="B9" s="6" t="s">
        <v>122</v>
      </c>
      <c r="C9" s="1291" t="s">
        <v>1245</v>
      </c>
      <c r="F9" s="7" t="s">
        <v>78</v>
      </c>
      <c r="H9" s="7"/>
      <c r="I9" s="7" t="s">
        <v>2747</v>
      </c>
    </row>
    <row r="10" spans="1:23">
      <c r="A10" s="6" t="s">
        <v>79</v>
      </c>
      <c r="B10" s="6" t="s">
        <v>123</v>
      </c>
      <c r="C10" s="1291" t="s">
        <v>1246</v>
      </c>
      <c r="F10" s="3076" t="s">
        <v>2738</v>
      </c>
      <c r="I10" s="7" t="s">
        <v>2748</v>
      </c>
    </row>
    <row r="11" spans="1:23">
      <c r="A11" s="6" t="s">
        <v>80</v>
      </c>
      <c r="B11" s="6" t="s">
        <v>124</v>
      </c>
      <c r="C11" s="1291" t="s">
        <v>1247</v>
      </c>
      <c r="I11" s="7" t="s">
        <v>2749</v>
      </c>
    </row>
    <row r="12" spans="1:23">
      <c r="A12" s="6" t="s">
        <v>81</v>
      </c>
      <c r="B12" s="6" t="s">
        <v>125</v>
      </c>
      <c r="C12" s="1291" t="s">
        <v>1248</v>
      </c>
      <c r="I12" s="7" t="s">
        <v>2750</v>
      </c>
    </row>
    <row r="13" spans="1:23">
      <c r="A13" s="6" t="s">
        <v>82</v>
      </c>
      <c r="B13" s="6" t="s">
        <v>126</v>
      </c>
      <c r="C13" s="1291" t="s">
        <v>1249</v>
      </c>
      <c r="I13" s="7" t="s">
        <v>2751</v>
      </c>
    </row>
    <row r="14" spans="1:23">
      <c r="A14" s="6" t="s">
        <v>83</v>
      </c>
      <c r="B14" s="6" t="s">
        <v>127</v>
      </c>
      <c r="C14" s="1293" t="s">
        <v>1421</v>
      </c>
      <c r="I14" s="7" t="s">
        <v>2752</v>
      </c>
    </row>
    <row r="15" spans="1:23">
      <c r="A15" s="6" t="s">
        <v>84</v>
      </c>
      <c r="B15" s="6" t="s">
        <v>1214</v>
      </c>
      <c r="C15" s="1293"/>
      <c r="I15" s="7" t="s">
        <v>2753</v>
      </c>
    </row>
    <row r="16" spans="1:23">
      <c r="A16" s="6" t="s">
        <v>85</v>
      </c>
      <c r="B16" s="6" t="s">
        <v>1215</v>
      </c>
      <c r="C16" s="1293"/>
    </row>
    <row r="17" spans="1:3">
      <c r="A17" s="6" t="s">
        <v>86</v>
      </c>
      <c r="B17" s="6" t="s">
        <v>1216</v>
      </c>
      <c r="C17" s="1293"/>
    </row>
    <row r="18" spans="1:3">
      <c r="A18" s="6" t="s">
        <v>87</v>
      </c>
      <c r="B18" s="2353" t="s">
        <v>2209</v>
      </c>
      <c r="C18" s="1293"/>
    </row>
    <row r="19" spans="1:3">
      <c r="A19" s="6" t="s">
        <v>88</v>
      </c>
      <c r="B19" s="2353" t="s">
        <v>2216</v>
      </c>
      <c r="C19" s="1293"/>
    </row>
    <row r="20" spans="1:3">
      <c r="A20" s="6" t="s">
        <v>89</v>
      </c>
      <c r="B20" s="2353" t="s">
        <v>2256</v>
      </c>
      <c r="C20" s="1293"/>
    </row>
    <row r="21" spans="1:3">
      <c r="A21" s="6" t="s">
        <v>90</v>
      </c>
      <c r="B21" s="6" t="s">
        <v>2434</v>
      </c>
      <c r="C21" s="1293"/>
    </row>
    <row r="22" spans="1:3">
      <c r="A22" s="6" t="s">
        <v>91</v>
      </c>
      <c r="B22" s="6" t="s">
        <v>3355</v>
      </c>
      <c r="C22" s="1293"/>
    </row>
    <row r="23" spans="1:3">
      <c r="A23" s="6" t="s">
        <v>92</v>
      </c>
      <c r="B23" s="6" t="s">
        <v>3356</v>
      </c>
      <c r="C23" s="1293"/>
    </row>
    <row r="24" spans="1:3">
      <c r="A24" s="6" t="s">
        <v>9</v>
      </c>
      <c r="B24" s="2353" t="s">
        <v>4088</v>
      </c>
      <c r="C24" s="1293"/>
    </row>
    <row r="25" spans="1:3">
      <c r="A25" s="6" t="s">
        <v>93</v>
      </c>
      <c r="B25" s="2353" t="s">
        <v>4086</v>
      </c>
      <c r="C25" s="1293"/>
    </row>
    <row r="26" spans="1:3">
      <c r="A26" s="6" t="s">
        <v>94</v>
      </c>
      <c r="B26" s="6" t="s">
        <v>1177</v>
      </c>
      <c r="C26" s="1293"/>
    </row>
    <row r="27" spans="1:3">
      <c r="A27" s="6" t="s">
        <v>1177</v>
      </c>
      <c r="B27" s="6" t="s">
        <v>1177</v>
      </c>
      <c r="C27" s="1293"/>
    </row>
    <row r="28" spans="1:3">
      <c r="A28" s="6" t="s">
        <v>1177</v>
      </c>
      <c r="B28" s="6" t="s">
        <v>1177</v>
      </c>
      <c r="C28" s="1293"/>
    </row>
    <row r="29" spans="1:3">
      <c r="A29" s="6" t="s">
        <v>1177</v>
      </c>
      <c r="B29" s="6" t="s">
        <v>1177</v>
      </c>
      <c r="C29" s="1293"/>
    </row>
    <row r="30" spans="1:3">
      <c r="A30" s="6" t="s">
        <v>1177</v>
      </c>
      <c r="B30" s="6" t="s">
        <v>1177</v>
      </c>
      <c r="C30" s="1293"/>
    </row>
    <row r="31" spans="1:3">
      <c r="A31" s="6" t="s">
        <v>1177</v>
      </c>
      <c r="B31" s="6" t="s">
        <v>1177</v>
      </c>
      <c r="C31" s="1293"/>
    </row>
    <row r="32" spans="1:3">
      <c r="A32" s="6" t="s">
        <v>1177</v>
      </c>
      <c r="B32" s="6" t="s">
        <v>1177</v>
      </c>
      <c r="C32" s="1293"/>
    </row>
    <row r="33" spans="1:3">
      <c r="A33" s="6" t="s">
        <v>1177</v>
      </c>
      <c r="B33" s="6" t="s">
        <v>1177</v>
      </c>
      <c r="C33" s="1293"/>
    </row>
    <row r="34" spans="1:3">
      <c r="A34" s="6" t="s">
        <v>1177</v>
      </c>
      <c r="B34" s="6" t="s">
        <v>1177</v>
      </c>
      <c r="C34" s="1293"/>
    </row>
    <row r="35" spans="1:3">
      <c r="A35" s="6" t="s">
        <v>1177</v>
      </c>
      <c r="B35" s="6" t="s">
        <v>1177</v>
      </c>
      <c r="C35" s="1293"/>
    </row>
    <row r="36" spans="1:3">
      <c r="A36" s="6" t="s">
        <v>1177</v>
      </c>
      <c r="B36" s="6" t="s">
        <v>1177</v>
      </c>
      <c r="C36" s="1293"/>
    </row>
    <row r="37" spans="1:3">
      <c r="A37" s="6" t="s">
        <v>1177</v>
      </c>
      <c r="B37" s="6" t="s">
        <v>1177</v>
      </c>
      <c r="C37" s="1293"/>
    </row>
    <row r="38" spans="1:3">
      <c r="A38" s="6" t="s">
        <v>1177</v>
      </c>
      <c r="B38" s="6" t="s">
        <v>1177</v>
      </c>
      <c r="C38" s="1293"/>
    </row>
    <row r="39" spans="1:3">
      <c r="A39" s="6" t="s">
        <v>1177</v>
      </c>
      <c r="B39" s="6" t="s">
        <v>1177</v>
      </c>
      <c r="C39" s="1293"/>
    </row>
    <row r="40" spans="1:3">
      <c r="A40" s="6" t="s">
        <v>1177</v>
      </c>
      <c r="B40" s="6" t="s">
        <v>1177</v>
      </c>
      <c r="C40" s="1293"/>
    </row>
    <row r="41" spans="1:3">
      <c r="A41" s="6" t="s">
        <v>1177</v>
      </c>
      <c r="B41" s="6" t="s">
        <v>1177</v>
      </c>
      <c r="C41" s="1293"/>
    </row>
    <row r="42" spans="1:3">
      <c r="A42" s="6" t="s">
        <v>1177</v>
      </c>
      <c r="B42" s="6" t="s">
        <v>1177</v>
      </c>
      <c r="C42" s="1293"/>
    </row>
    <row r="43" spans="1:3">
      <c r="A43" s="6" t="s">
        <v>1177</v>
      </c>
      <c r="B43" s="6" t="s">
        <v>1177</v>
      </c>
      <c r="C43" s="1293"/>
    </row>
    <row r="44" spans="1:3">
      <c r="A44" s="6" t="s">
        <v>1177</v>
      </c>
      <c r="B44" s="6" t="s">
        <v>1177</v>
      </c>
      <c r="C44" s="1293"/>
    </row>
    <row r="45" spans="1:3">
      <c r="A45" s="6" t="s">
        <v>1177</v>
      </c>
      <c r="B45" s="6" t="s">
        <v>1177</v>
      </c>
      <c r="C45" s="1293"/>
    </row>
    <row r="46" spans="1:3">
      <c r="A46" s="6" t="s">
        <v>1177</v>
      </c>
      <c r="B46" s="6" t="s">
        <v>1177</v>
      </c>
      <c r="C46" s="1293"/>
    </row>
    <row r="47" spans="1:3">
      <c r="A47" s="6" t="s">
        <v>1177</v>
      </c>
      <c r="B47" s="6" t="s">
        <v>1177</v>
      </c>
      <c r="C47" s="1293"/>
    </row>
    <row r="48" spans="1:3">
      <c r="A48" s="6" t="s">
        <v>1177</v>
      </c>
      <c r="B48" s="6" t="s">
        <v>1177</v>
      </c>
      <c r="C48" s="1293"/>
    </row>
    <row r="49" spans="1:5">
      <c r="A49" s="6" t="s">
        <v>1177</v>
      </c>
      <c r="B49" s="6" t="s">
        <v>1177</v>
      </c>
      <c r="C49" s="1293"/>
    </row>
    <row r="50" spans="1:5">
      <c r="A50" s="6" t="s">
        <v>1177</v>
      </c>
      <c r="B50" s="6" t="s">
        <v>1177</v>
      </c>
      <c r="C50" s="1293"/>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00"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6"/>
      <c r="E53" s="1466"/>
    </row>
    <row r="54" spans="1:5">
      <c r="A54" s="3500"/>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00"/>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00"/>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00"/>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c r="A58" s="1467" t="s">
        <v>1565</v>
      </c>
      <c r="B58" s="1465" t="s">
        <v>1566</v>
      </c>
      <c r="C58" s="9" t="s">
        <v>1567</v>
      </c>
      <c r="D58" s="1120"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信息</vt:lpstr>
      <vt:lpstr>数据-汇总表</vt:lpstr>
      <vt:lpstr>数据-取费表</vt:lpstr>
      <vt:lpstr>估价对象房地状况</vt:lpstr>
      <vt:lpstr>系统读取表</vt:lpstr>
      <vt:lpstr>结果表</vt:lpstr>
      <vt:lpstr>比较法-住宅、综合</vt:lpstr>
      <vt:lpstr>土地案例</vt:lpstr>
      <vt:lpstr>2023-2024大兴、房山住宅土地案例</vt:lpstr>
      <vt:lpstr>剩余法-待开发</vt:lpstr>
      <vt:lpstr>剩余法-现房</vt:lpstr>
      <vt:lpstr>比较法-工业</vt:lpstr>
      <vt:lpstr>不动产比较法-住宅</vt:lpstr>
      <vt:lpstr>不动产比较法-车位</vt:lpstr>
      <vt:lpstr>选取案例住宅</vt:lpstr>
      <vt:lpstr>选取案例车位</vt:lpstr>
      <vt:lpstr>旧案例</vt:lpstr>
      <vt:lpstr>不动产收益法-机械车位</vt:lpstr>
      <vt:lpstr>不动产收益法-酒店模型</vt:lpstr>
      <vt:lpstr>不动产收益法</vt:lpstr>
      <vt:lpstr>不动产收益法-商业</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2025-01-10T12:04:59Z</dcterms:modified>
</cp:coreProperties>
</file>