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 i="61" l="1"/>
  <c r="L1" i="61"/>
  <c r="F7" i="61"/>
  <c r="J1" i="61"/>
  <c r="D7" i="61"/>
  <c r="F6" i="61"/>
  <c r="D6" i="61"/>
  <c r="F5" i="61"/>
  <c r="D5" i="61"/>
  <c r="F4" i="61"/>
  <c r="D4" i="61"/>
  <c r="F3" i="61"/>
  <c r="D3" i="61"/>
  <c r="K1" i="61"/>
  <c r="I1" i="61"/>
  <c r="G1" i="61"/>
  <c r="E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B2" i="1"/>
  <c r="G19" i="43"/>
  <c r="C19"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O19" i="43"/>
  <c r="M19" i="43"/>
  <c r="I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F7" i="40"/>
  <c r="AA7"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J7" i="40"/>
  <c r="AC7" i="40"/>
  <c r="V42" i="40"/>
  <c r="I42" i="40"/>
  <c r="E42" i="40"/>
  <c r="I47" i="40"/>
  <c r="J47" i="40"/>
  <c r="H7" i="40"/>
  <c r="AB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W7" i="40"/>
  <c r="U7" i="40"/>
  <c r="S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C7" i="39"/>
  <c r="C68" i="39"/>
  <c r="D68" i="39"/>
  <c r="E68" i="39"/>
  <c r="F68" i="39"/>
  <c r="G68" i="39"/>
  <c r="H68" i="39"/>
  <c r="I68" i="39"/>
  <c r="J68" i="39"/>
  <c r="K68" i="39"/>
  <c r="L68" i="39"/>
  <c r="M68" i="39"/>
  <c r="N68" i="39"/>
  <c r="O68" i="39"/>
  <c r="O70" i="39"/>
  <c r="N70" i="39"/>
  <c r="M70" i="39"/>
  <c r="L70" i="39"/>
  <c r="K70" i="39"/>
  <c r="J70" i="39"/>
  <c r="I70" i="39"/>
  <c r="H70" i="39"/>
  <c r="G70" i="39"/>
  <c r="F70" i="39"/>
  <c r="E70" i="39"/>
  <c r="D70" i="39"/>
  <c r="C70" i="39"/>
  <c r="F7" i="39"/>
  <c r="AA7"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J7" i="39"/>
  <c r="AC7" i="39"/>
  <c r="V47" i="39"/>
  <c r="I47" i="39"/>
  <c r="E47" i="39"/>
  <c r="I52" i="39"/>
  <c r="J52" i="39"/>
  <c r="H7" i="39"/>
  <c r="AB7"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W7" i="39"/>
  <c r="U7" i="39"/>
  <c r="S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C7" i="36"/>
  <c r="C46" i="36"/>
  <c r="D46" i="36"/>
  <c r="E46" i="36"/>
  <c r="F46" i="36"/>
  <c r="G46" i="36"/>
  <c r="H46" i="36"/>
  <c r="I46" i="36"/>
  <c r="J46" i="36"/>
  <c r="K46" i="36"/>
  <c r="L46" i="36"/>
  <c r="M46" i="36"/>
  <c r="N46" i="36"/>
  <c r="O46" i="36"/>
  <c r="J42" i="36"/>
  <c r="I42" i="36"/>
  <c r="H42" i="36"/>
  <c r="G42" i="36"/>
  <c r="F42" i="36"/>
  <c r="E42" i="36"/>
  <c r="J7" i="36"/>
  <c r="AC7" i="36"/>
  <c r="V36" i="36"/>
  <c r="I36" i="36"/>
  <c r="F7" i="36"/>
  <c r="AA7" i="36"/>
  <c r="R36" i="36"/>
  <c r="E36" i="36"/>
  <c r="I41" i="36"/>
  <c r="J41" i="36"/>
  <c r="H7" i="36"/>
  <c r="AB7" i="36"/>
  <c r="T36" i="36"/>
  <c r="G36" i="36"/>
  <c r="G41" i="36"/>
  <c r="H41" i="36"/>
  <c r="E41" i="36"/>
  <c r="F41" i="36"/>
  <c r="I40" i="36"/>
  <c r="J40" i="36"/>
  <c r="G40" i="36"/>
  <c r="H40" i="36"/>
  <c r="E40" i="36"/>
  <c r="F40" i="36"/>
  <c r="R37" i="36"/>
  <c r="P37" i="36"/>
  <c r="C37" i="36"/>
  <c r="P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W7" i="36"/>
  <c r="U7" i="36"/>
  <c r="S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C7" i="35"/>
  <c r="C48" i="35"/>
  <c r="D48" i="35"/>
  <c r="E48" i="35"/>
  <c r="F48" i="35"/>
  <c r="G48" i="35"/>
  <c r="H48" i="35"/>
  <c r="I48" i="35"/>
  <c r="J48" i="35"/>
  <c r="K48" i="35"/>
  <c r="L48" i="35"/>
  <c r="M48" i="35"/>
  <c r="N48" i="35"/>
  <c r="O48" i="35"/>
  <c r="J44" i="35"/>
  <c r="I44" i="35"/>
  <c r="H44" i="35"/>
  <c r="G44" i="35"/>
  <c r="F44" i="35"/>
  <c r="E44" i="35"/>
  <c r="J7" i="35"/>
  <c r="AC7" i="35"/>
  <c r="V38" i="35"/>
  <c r="I38" i="35"/>
  <c r="F7" i="35"/>
  <c r="AA7" i="35"/>
  <c r="R38" i="35"/>
  <c r="E38" i="35"/>
  <c r="I43" i="35"/>
  <c r="J43" i="35"/>
  <c r="H7" i="35"/>
  <c r="AB7" i="35"/>
  <c r="T38" i="35"/>
  <c r="G38" i="35"/>
  <c r="G43" i="35"/>
  <c r="H43" i="35"/>
  <c r="E43" i="35"/>
  <c r="F43" i="35"/>
  <c r="I42" i="35"/>
  <c r="J42" i="35"/>
  <c r="G42" i="35"/>
  <c r="H42" i="35"/>
  <c r="E42" i="35"/>
  <c r="F42" i="35"/>
  <c r="R39" i="35"/>
  <c r="P39" i="35"/>
  <c r="C39" i="35"/>
  <c r="P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W7" i="35"/>
  <c r="U7" i="35"/>
  <c r="S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C7" i="37"/>
  <c r="C52" i="37"/>
  <c r="D52" i="37"/>
  <c r="E52" i="37"/>
  <c r="F52" i="37"/>
  <c r="G52" i="37"/>
  <c r="H52" i="37"/>
  <c r="I52" i="37"/>
  <c r="J52" i="37"/>
  <c r="K52" i="37"/>
  <c r="L52" i="37"/>
  <c r="M52" i="37"/>
  <c r="N52" i="37"/>
  <c r="O52" i="37"/>
  <c r="J48" i="37"/>
  <c r="I48" i="37"/>
  <c r="H48" i="37"/>
  <c r="G48" i="37"/>
  <c r="F48" i="37"/>
  <c r="E48" i="37"/>
  <c r="J7" i="37"/>
  <c r="AC7" i="37"/>
  <c r="V42" i="37"/>
  <c r="I42" i="37"/>
  <c r="F7" i="37"/>
  <c r="AA7" i="37"/>
  <c r="R42" i="37"/>
  <c r="E42" i="37"/>
  <c r="I47" i="37"/>
  <c r="J47" i="37"/>
  <c r="H7" i="37"/>
  <c r="AB7" i="37"/>
  <c r="T42" i="37"/>
  <c r="G42" i="37"/>
  <c r="G47" i="37"/>
  <c r="H47" i="37"/>
  <c r="E47" i="37"/>
  <c r="F47" i="37"/>
  <c r="I46" i="37"/>
  <c r="J46" i="37"/>
  <c r="G46" i="37"/>
  <c r="H46" i="37"/>
  <c r="E46" i="37"/>
  <c r="F46" i="37"/>
  <c r="R43" i="37"/>
  <c r="P43" i="37"/>
  <c r="C43" i="37"/>
  <c r="P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W7" i="37"/>
  <c r="U7" i="37"/>
  <c r="S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C7" i="34"/>
  <c r="C59" i="34"/>
  <c r="D59" i="34"/>
  <c r="E59" i="34"/>
  <c r="F59" i="34"/>
  <c r="G59" i="34"/>
  <c r="H59" i="34"/>
  <c r="I59" i="34"/>
  <c r="J59" i="34"/>
  <c r="K59" i="34"/>
  <c r="L59" i="34"/>
  <c r="M59" i="34"/>
  <c r="N59" i="34"/>
  <c r="O59" i="34"/>
  <c r="J55" i="34"/>
  <c r="I55" i="34"/>
  <c r="H55" i="34"/>
  <c r="G55" i="34"/>
  <c r="F55" i="34"/>
  <c r="E55" i="34"/>
  <c r="J7" i="34"/>
  <c r="AC7" i="34"/>
  <c r="V49" i="34"/>
  <c r="I49" i="34"/>
  <c r="F7" i="34"/>
  <c r="AA7" i="34"/>
  <c r="R49" i="34"/>
  <c r="E49" i="34"/>
  <c r="I54" i="34"/>
  <c r="J54" i="34"/>
  <c r="H7" i="34"/>
  <c r="AB7" i="34"/>
  <c r="T49" i="34"/>
  <c r="G49" i="34"/>
  <c r="G54" i="34"/>
  <c r="H54" i="34"/>
  <c r="E54" i="34"/>
  <c r="F54" i="34"/>
  <c r="I53" i="34"/>
  <c r="J53" i="34"/>
  <c r="G53" i="34"/>
  <c r="H53" i="34"/>
  <c r="E53" i="34"/>
  <c r="F53" i="34"/>
  <c r="R50" i="34"/>
  <c r="P50" i="34"/>
  <c r="C50" i="34"/>
  <c r="P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W7" i="34"/>
  <c r="U7" i="34"/>
  <c r="S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C7" i="33"/>
  <c r="C58" i="33"/>
  <c r="D58" i="33"/>
  <c r="E58" i="33"/>
  <c r="F58" i="33"/>
  <c r="G58" i="33"/>
  <c r="H58" i="33"/>
  <c r="I58" i="33"/>
  <c r="J58" i="33"/>
  <c r="K58" i="33"/>
  <c r="L58" i="33"/>
  <c r="M58" i="33"/>
  <c r="N58" i="33"/>
  <c r="O58" i="33"/>
  <c r="J54" i="33"/>
  <c r="I54" i="33"/>
  <c r="H54" i="33"/>
  <c r="G54" i="33"/>
  <c r="F54" i="33"/>
  <c r="E54" i="33"/>
  <c r="J7" i="33"/>
  <c r="AC7" i="33"/>
  <c r="V48" i="33"/>
  <c r="I48" i="33"/>
  <c r="F7" i="33"/>
  <c r="AA7" i="33"/>
  <c r="R48" i="33"/>
  <c r="E48" i="33"/>
  <c r="I53" i="33"/>
  <c r="J53" i="33"/>
  <c r="H7" i="33"/>
  <c r="AB7" i="33"/>
  <c r="T48" i="33"/>
  <c r="G48" i="33"/>
  <c r="G53" i="33"/>
  <c r="H53" i="33"/>
  <c r="E53" i="33"/>
  <c r="F53" i="33"/>
  <c r="I52" i="33"/>
  <c r="J52" i="33"/>
  <c r="G52" i="33"/>
  <c r="H52" i="33"/>
  <c r="E52" i="33"/>
  <c r="F52" i="33"/>
  <c r="R49" i="33"/>
  <c r="P49" i="33"/>
  <c r="C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W7" i="33"/>
  <c r="U7" i="33"/>
  <c r="S7" i="33"/>
  <c r="D3" i="33"/>
  <c r="E2" i="33"/>
  <c r="B2" i="33"/>
  <c r="B3" i="33"/>
  <c r="F2" i="33"/>
  <c r="C2" i="33"/>
  <c r="E174" i="21"/>
  <c r="D174" i="2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G104" i="21"/>
  <c r="F104" i="21"/>
  <c r="E104" i="21"/>
  <c r="D104"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E59" i="21"/>
  <c r="C7" i="21"/>
  <c r="C58" i="21"/>
  <c r="D58" i="21"/>
  <c r="E58" i="21"/>
  <c r="F58" i="21"/>
  <c r="G58" i="21"/>
  <c r="H58" i="21"/>
  <c r="I58" i="21"/>
  <c r="J58" i="21"/>
  <c r="K58" i="21"/>
  <c r="L58" i="21"/>
  <c r="M58" i="21"/>
  <c r="N58" i="21"/>
  <c r="O58" i="21"/>
  <c r="J54" i="21"/>
  <c r="I54" i="21"/>
  <c r="H54" i="21"/>
  <c r="G54" i="21"/>
  <c r="F54" i="21"/>
  <c r="E54" i="21"/>
  <c r="J7" i="21"/>
  <c r="AC7" i="21"/>
  <c r="J26" i="21"/>
  <c r="AC26" i="21"/>
  <c r="V48" i="21"/>
  <c r="I48" i="21"/>
  <c r="F7" i="21"/>
  <c r="AA7" i="21"/>
  <c r="F26" i="21"/>
  <c r="AA26" i="21"/>
  <c r="R48" i="21"/>
  <c r="E48" i="21"/>
  <c r="I53" i="21"/>
  <c r="J53" i="21"/>
  <c r="H7" i="21"/>
  <c r="AB7" i="21"/>
  <c r="H26" i="21"/>
  <c r="AB26" i="21"/>
  <c r="T48" i="21"/>
  <c r="G48" i="21"/>
  <c r="G53" i="21"/>
  <c r="H53" i="21"/>
  <c r="E53" i="21"/>
  <c r="F53" i="21"/>
  <c r="I52" i="21"/>
  <c r="J52" i="21"/>
  <c r="G52" i="21"/>
  <c r="H52" i="21"/>
  <c r="E52" i="21"/>
  <c r="F52" i="21"/>
  <c r="R49" i="21"/>
  <c r="P49" i="21"/>
  <c r="C49" i="21"/>
  <c r="P48" i="21"/>
  <c r="C48" i="21"/>
  <c r="V47" i="21"/>
  <c r="T47" i="21"/>
  <c r="R47" i="21"/>
  <c r="P47" i="21"/>
  <c r="I47" i="21"/>
  <c r="G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Z26" i="21"/>
  <c r="W26" i="21"/>
  <c r="U26" i="21"/>
  <c r="S26" i="21"/>
  <c r="Q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W7" i="21"/>
  <c r="U7" i="21"/>
  <c r="S7"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F30" i="1"/>
  <c r="C33" i="15"/>
  <c r="C32" i="15"/>
  <c r="C31" i="15"/>
  <c r="E27" i="1"/>
  <c r="F24" i="15"/>
  <c r="C23" i="15"/>
  <c r="C24" i="15"/>
  <c r="C28" i="15"/>
  <c r="C29" i="15"/>
  <c r="C36" i="15"/>
  <c r="C13" i="15"/>
  <c r="C37" i="15"/>
  <c r="C38" i="15"/>
  <c r="C30" i="15"/>
  <c r="C39" i="15"/>
  <c r="J52" i="15"/>
  <c r="L49" i="15"/>
  <c r="J54" i="15"/>
  <c r="B33" i="1"/>
  <c r="F41" i="15"/>
  <c r="C40" i="15"/>
  <c r="M11" i="15"/>
  <c r="J10" i="15"/>
  <c r="J5" i="15"/>
  <c r="J26" i="15"/>
  <c r="J29" i="15"/>
  <c r="Q63" i="15"/>
  <c r="L61" i="15"/>
  <c r="Q64" i="15"/>
  <c r="Q73" i="15"/>
  <c r="P73" i="15"/>
  <c r="L60" i="15"/>
  <c r="Q72" i="15"/>
  <c r="P72" i="15"/>
  <c r="F72" i="15"/>
  <c r="C54" i="15"/>
  <c r="C49" i="15"/>
  <c r="C61" i="15"/>
  <c r="C58" i="15"/>
  <c r="C62" i="15"/>
  <c r="C60" i="15"/>
  <c r="C65" i="15"/>
  <c r="C57" i="15"/>
  <c r="C66" i="15"/>
  <c r="C67" i="15"/>
  <c r="C59" i="15"/>
  <c r="C68" i="15"/>
  <c r="F70" i="15"/>
  <c r="C69" i="15"/>
  <c r="C72" i="15"/>
  <c r="L59" i="15"/>
  <c r="Q71" i="15"/>
  <c r="Q70" i="15"/>
  <c r="Q69" i="15"/>
  <c r="F69" i="15"/>
  <c r="Q68" i="15"/>
  <c r="Q67" i="15"/>
  <c r="F67" i="15"/>
  <c r="Q66" i="15"/>
  <c r="F66" i="15"/>
  <c r="L52" i="15"/>
  <c r="Q65" i="15"/>
  <c r="F65" i="15"/>
  <c r="F64" i="15"/>
  <c r="F63" i="15"/>
  <c r="C63" i="15"/>
  <c r="F62" i="15"/>
  <c r="J61" i="15"/>
  <c r="F61" i="15"/>
  <c r="Q54" i="15"/>
  <c r="Q55" i="15"/>
  <c r="Q60" i="15"/>
  <c r="P60" i="15"/>
  <c r="N60" i="15"/>
  <c r="M60" i="15"/>
  <c r="K60" i="15"/>
  <c r="J60" i="15"/>
  <c r="F60" i="15"/>
  <c r="Q59" i="15"/>
  <c r="P59" i="15"/>
  <c r="J58" i="15"/>
  <c r="J56" i="15"/>
  <c r="J59" i="15"/>
  <c r="Q58" i="15"/>
  <c r="L58" i="15"/>
  <c r="Q57" i="15"/>
  <c r="L57" i="15"/>
  <c r="Q56" i="15"/>
  <c r="I55" i="15"/>
  <c r="F52" i="15"/>
  <c r="Q45" i="15"/>
  <c r="Q46" i="15"/>
  <c r="Q51" i="15"/>
  <c r="P51" i="15"/>
  <c r="J51" i="15"/>
  <c r="F51" i="15"/>
  <c r="Q50" i="15"/>
  <c r="J50" i="15"/>
  <c r="C50" i="15"/>
  <c r="Q49" i="15"/>
  <c r="Q48" i="15"/>
  <c r="M48" i="15"/>
  <c r="L48" i="15"/>
  <c r="Q47" i="15"/>
  <c r="L47" i="15"/>
  <c r="D47" i="15"/>
  <c r="C47" i="15"/>
  <c r="F43" i="15"/>
  <c r="C43" i="15"/>
  <c r="J41" i="15"/>
  <c r="J42" i="15"/>
  <c r="F42" i="15"/>
  <c r="F40" i="15"/>
  <c r="J34" i="15"/>
  <c r="J38" i="15"/>
  <c r="J39" i="15"/>
  <c r="F38" i="15"/>
  <c r="F37" i="15"/>
  <c r="F36" i="15"/>
  <c r="J35" i="15"/>
  <c r="F35" i="15"/>
  <c r="F34" i="15"/>
  <c r="C34" i="15"/>
  <c r="F33" i="15"/>
  <c r="F32" i="15"/>
  <c r="F31" i="15"/>
  <c r="M29" i="15"/>
  <c r="M28" i="15"/>
  <c r="F28" i="15"/>
  <c r="B40" i="1"/>
  <c r="M27" i="15"/>
  <c r="C27" i="15"/>
  <c r="M26" i="15"/>
  <c r="F26" i="15"/>
  <c r="C26" i="15"/>
  <c r="J19" i="15"/>
  <c r="J18"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4" i="12"/>
  <c r="C26" i="12"/>
  <c r="D25" i="12"/>
  <c r="C31" i="12"/>
  <c r="C29" i="12"/>
  <c r="D28" i="12"/>
  <c r="C32" i="12"/>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8" i="11"/>
  <c r="C49" i="11"/>
  <c r="C51" i="11"/>
  <c r="C23" i="11"/>
  <c r="C24" i="11"/>
  <c r="C25" i="11"/>
  <c r="C22" i="11"/>
  <c r="C26" i="11"/>
  <c r="D22" i="11"/>
  <c r="C30" i="11"/>
  <c r="C31" i="11"/>
  <c r="C52" i="11"/>
  <c r="C56" i="11"/>
  <c r="C57" i="11"/>
  <c r="F50" i="11"/>
  <c r="C47" i="11"/>
  <c r="C46" i="11"/>
  <c r="D45" i="11"/>
  <c r="C45" i="11"/>
  <c r="G41" i="11"/>
  <c r="C40"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8" i="57"/>
  <c r="C75" i="57"/>
  <c r="C74" i="57"/>
  <c r="C80" i="57"/>
  <c r="C81" i="57"/>
  <c r="E81" i="57"/>
  <c r="E82" i="57"/>
  <c r="C82" i="57"/>
  <c r="D79" i="57"/>
  <c r="H78" i="57"/>
  <c r="D78" i="57"/>
  <c r="C77"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7" i="9"/>
  <c r="C74" i="9"/>
  <c r="C73" i="9"/>
  <c r="C79" i="9"/>
  <c r="C80" i="9"/>
  <c r="E80" i="9"/>
  <c r="E81" i="9"/>
  <c r="C81" i="9"/>
  <c r="D78" i="9"/>
  <c r="H77" i="9"/>
  <c r="D77" i="9"/>
  <c r="C76"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A40" i="1"/>
  <c r="A39" i="1"/>
  <c r="A38" i="1"/>
  <c r="A37" i="1"/>
  <c r="A36" i="1"/>
  <c r="A34" i="1"/>
  <c r="E31" i="1"/>
  <c r="E29" i="1"/>
  <c r="A29" i="1"/>
  <c r="B25" i="1"/>
  <c r="B24" i="1"/>
  <c r="B23" i="1"/>
  <c r="I20" i="1"/>
  <c r="H20" i="1"/>
  <c r="E20" i="1"/>
  <c r="D20" i="1"/>
  <c r="F19" i="1"/>
  <c r="E19" i="1"/>
  <c r="D19" i="1"/>
  <c r="F18" i="1"/>
  <c r="E18" i="1"/>
  <c r="D18" i="1"/>
  <c r="E15" i="1"/>
  <c r="E13" i="1"/>
  <c r="B6" i="1"/>
  <c r="B5" i="1"/>
  <c r="E30" i="4"/>
  <c r="F16" i="4"/>
  <c r="J15" i="4"/>
  <c r="J14" i="4"/>
  <c r="J13" i="4"/>
  <c r="G8" i="4"/>
  <c r="C7" i="4"/>
  <c r="I6" i="4"/>
  <c r="I5" i="4"/>
  <c r="B4"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<sst xmlns="http://schemas.openxmlformats.org/spreadsheetml/2006/main" count="6857" uniqueCount="2362">
  <si>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</si>
  <si>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</si>
  <si>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</si>
  <si>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</si>
  <si>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</si>
  <si>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</si>
  <si>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</si>
  <si>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</si>
  <si>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</si>
  <si>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</si>
  <si>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</si>
  <si>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</si>
  <si>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</si>
  <si>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</si>
  <si>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</si>
  <si>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</si>
  <si>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</si>
  <si>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</si>
  <si>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</si>
  <si>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</si>
  <si>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</si>
  <si>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</si>
  <si>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</si>
  <si>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</si>
  <si>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</si>
  <si>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</si>
  <si>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</si>
  <si>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</si>
  <si>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</si>
  <si>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</si>
  <si>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</si>
  <si>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</si>
  <si>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</si>
  <si>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</si>
  <si>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</si>
  <si>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</si>
  <si>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</si>
  <si>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</si>
  <si>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</si>
  <si>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</si>
  <si>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</si>
  <si>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</si>
  <si>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</si>
  <si>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</si>
  <si>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</si>
  <si>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</si>
  <si>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</si>
  <si>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</si>
  <si>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</si>
  <si>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</si>
  <si>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</si>
  <si>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</si>
  <si>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</si>
  <si>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</si>
  <si>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</si>
  <si>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</si>
  <si>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</si>
  <si>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</si>
  <si>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</si>
  <si>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</si>
  <si>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</si>
  <si>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</si>
  <si>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</si>
  <si>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</si>
  <si>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</si>
  <si>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</si>
  <si>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</si>
  <si>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</si>
  <si>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</si>
  <si>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</si>
  <si>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</si>
  <si>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</si>
  <si>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</si>
  <si>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</si>
  <si>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</si>
  <si>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</si>
  <si>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</si>
  <si>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</si>
  <si>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</si>
  <si>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</si>
  <si>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</si>
  <si>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</si>
  <si>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</si>
  <si>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</si>
  <si>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</si>
  <si>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</si>
  <si>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</si>
  <si>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</si>
  <si>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</si>
  <si>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</si>
  <si>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</si>
  <si>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</si>
  <si>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</si>
  <si>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</si>
  <si>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</si>
  <si>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</si>
  <si>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</si>
  <si>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</si>
  <si>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</si>
  <si>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</si>
  <si>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</si>
  <si>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</si>
  <si>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</si>
  <si>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</si>
  <si>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</si>
  <si>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</si>
  <si>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</si>
  <si>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</si>
  <si>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</si>
  <si>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</si>
  <si>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</si>
  <si>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</si>
  <si>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</si>
  <si>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</si>
  <si>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</si>
  <si>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</si>
  <si>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</si>
  <si>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</si>
  <si>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</si>
  <si>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</si>
  <si>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</si>
  <si>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</si>
  <si>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</si>
  <si>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</si>
  <si>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</si>
  <si>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</si>
  <si>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</si>
  <si>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</si>
  <si>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</si>
  <si>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</si>
  <si>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</si>
  <si>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</si>
  <si>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</si>
  <si>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</si>
  <si>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</si>
  <si>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</si>
  <si>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</si>
  <si>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</si>
  <si>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</si>
  <si>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</si>
  <si>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</si>
  <si>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</si>
  <si>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</si>
  <si>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</si>
  <si>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</si>
  <si>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</si>
  <si>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</si>
  <si>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</si>
  <si>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</si>
  <si>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</si>
  <si>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</si>
  <si>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</si>
  <si>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</si>
  <si>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</si>
  <si>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</si>
  <si>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</si>
  <si>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</si>
  <si>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</si>
  <si>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</si>
  <si>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</si>
  <si>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</si>
  <si>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</si>
  <si>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</si>
  <si>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</si>
  <si>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</si>
  <si>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</si>
  <si>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</si>
  <si>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</si>
  <si>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</si>
  <si>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</si>
  <si>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</si>
  <si>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</si>
  <si>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</si>
  <si>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</si>
  <si>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</si>
  <si>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</si>
  <si>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</si>
  <si>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</si>
  <si>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</si>
  <si>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</si>
  <si>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</si>
  <si>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</si>
  <si>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</si>
  <si>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</si>
  <si>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</si>
  <si>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</si>
  <si>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</si>
  <si>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</si>
  <si>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</si>
  <si>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</si>
  <si>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</si>
  <si>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</si>
  <si>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</si>
  <si>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</si>
  <si>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</si>
  <si>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</si>
  <si>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</si>
  <si>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</si>
  <si>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</si>
  <si>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</si>
  <si>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</si>
  <si>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</si>
  <si>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</si>
  <si>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</si>
  <si>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</si>
  <si>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</si>
  <si>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</si>
  <si>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</si>
  <si>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</si>
  <si>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</si>
  <si>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</si>
  <si>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</si>
  <si>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</si>
  <si>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</si>
  <si>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</si>
  <si>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</si>
  <si>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</si>
  <si>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</si>
  <si>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</si>
  <si>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</si>
  <si>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</si>
  <si>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</si>
  <si>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</si>
  <si>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</si>
  <si>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</si>
  <si>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</si>
  <si>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</si>
  <si>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</si>
  <si>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</si>
  <si>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</si>
  <si>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</si>
  <si>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</si>
  <si>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</si>
  <si>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</si>
  <si>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</si>
  <si>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</si>
  <si>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</si>
  <si>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</si>
  <si>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</si>
  <si>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</si>
  <si>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</si>
  <si>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</si>
  <si>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</si>
  <si>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</si>
  <si>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</si>
  <si>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</si>
  <si>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</si>
  <si>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</si>
  <si>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</si>
  <si>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</si>
  <si>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</si>
  <si>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</si>
  <si>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</si>
  <si>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</si>
  <si>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</si>
  <si>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</si>
  <si>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</si>
  <si>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</si>
  <si>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</si>
  <si>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</si>
  <si>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</si>
  <si>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</si>
  <si>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</si>
  <si>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</si>
  <si>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</si>
  <si>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</si>
  <si>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</si>
  <si>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</si>
  <si>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</si>
  <si>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</si>
  <si>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</si>
  <si>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</si>
  <si>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</si>
  <si>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</si>
  <si>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</si>
  <si>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</si>
  <si>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</si>
  <si>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</si>
  <si>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</si>
  <si>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</si>
  <si>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</si>
  <si>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</si>
  <si>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</si>
  <si>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</si>
  <si>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</si>
  <si>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</si>
  <si>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</si>
  <si>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</si>
  <si>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</si>
  <si>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</si>
  <si>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</si>
  <si>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</si>
  <si>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</si>
  <si>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</si>
  <si>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</si>
  <si>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</si>
  <si>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</si>
  <si>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</si>
  <si>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</si>
  <si>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</si>
  <si>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</si>
  <si>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</si>
  <si>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</si>
  <si>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</si>
  <si>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</si>
  <si>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</si>
  <si>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</si>
  <si>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</si>
  <si>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</si>
  <si>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</si>
  <si>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</si>
  <si>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</si>
  <si>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</si>
  <si>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</si>
  <si>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</si>
  <si>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</si>
  <si>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</si>
  <si>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</si>
  <si>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</si>
  <si>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</si>
  <si>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</si>
  <si>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</si>
  <si>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</si>
  <si>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</si>
  <si>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</si>
  <si>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</si>
  <si>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</si>
  <si>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</si>
  <si>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</si>
  <si>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</si>
  <si>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</si>
  <si>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</si>
  <si>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</si>
  <si>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</si>
  <si>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</si>
  <si>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</si>
  <si>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</si>
  <si>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</si>
  <si>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</si>
  <si>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</si>
  <si>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</si>
  <si>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</si>
  <si>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</si>
  <si>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</si>
  <si>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</si>
  <si>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</si>
  <si>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</si>
  <si>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</si>
  <si>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</si>
  <si>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</si>
  <si>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</si>
  <si>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</si>
  <si>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</si>
  <si>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</si>
  <si>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</si>
  <si>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</si>
  <si>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</si>
  <si>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</si>
  <si>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</si>
  <si>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</si>
  <si>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</si>
  <si>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</si>
  <si>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</si>
  <si>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</si>
  <si>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</si>
  <si>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</si>
  <si>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</si>
  <si>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</si>
  <si>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</si>
  <si>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t>住宅</t>
  </si>
  <si>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</si>
  <si>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</si>
  <si>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</si>
  <si>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</si>
  <si>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</si>
  <si>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</si>
  <si>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</si>
  <si>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</si>
  <si>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</si>
  <si>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</si>
  <si>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</si>
  <si>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</si>
  <si>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</si>
  <si>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</si>
  <si>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</si>
  <si>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</si>
  <si>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</si>
  <si>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</si>
  <si>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</si>
  <si>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</si>
  <si>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</si>
  <si>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</si>
  <si>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</si>
  <si>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</si>
  <si>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</si>
  <si>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</si>
  <si>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</si>
  <si>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</si>
  <si>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</si>
  <si>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</si>
  <si>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</si>
  <si>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</si>
  <si>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</si>
  <si>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</si>
  <si>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</si>
  <si>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</si>
  <si>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</si>
  <si>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</si>
  <si>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</si>
  <si>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</si>
  <si>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</si>
  <si>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</si>
  <si>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</si>
  <si>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</si>
  <si>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</si>
  <si>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</si>
  <si>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</si>
  <si>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</si>
  <si>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</si>
  <si>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</si>
  <si>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</si>
  <si>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</si>
  <si>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</si>
  <si>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</si>
  <si>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</si>
  <si>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</si>
  <si>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</si>
  <si>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</si>
  <si>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</si>
  <si>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</si>
  <si>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</si>
  <si>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</si>
  <si>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</si>
  <si>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</si>
  <si>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</si>
  <si>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</si>
  <si>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</si>
  <si>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</si>
  <si>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</si>
  <si>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</si>
  <si>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</si>
  <si>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</si>
  <si>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</si>
  <si>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</si>
  <si>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</si>
  <si>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</si>
  <si>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</si>
  <si>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</si>
  <si>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</si>
  <si>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</si>
  <si>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</si>
  <si>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</si>
  <si>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</si>
  <si>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</si>
  <si>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</si>
  <si>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</si>
  <si>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</si>
  <si>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</si>
  <si>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</si>
  <si>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</si>
  <si>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</si>
  <si>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</si>
  <si>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</si>
  <si>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</si>
  <si>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</si>
  <si>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</si>
  <si>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</si>
  <si>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</si>
  <si>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</si>
  <si>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</si>
  <si>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</si>
  <si>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</si>
  <si>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</si>
  <si>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</si>
  <si>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</si>
  <si>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</si>
  <si>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</si>
  <si>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</si>
  <si>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</si>
  <si>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</si>
  <si>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</si>
  <si>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</si>
  <si>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</si>
  <si>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</si>
  <si>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</si>
  <si>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</si>
  <si>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</si>
  <si>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</si>
  <si>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</si>
  <si>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</si>
  <si>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</si>
  <si>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</si>
  <si>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</si>
  <si>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</si>
  <si>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</si>
  <si>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</si>
  <si>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</si>
  <si>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</si>
  <si>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</si>
  <si>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</si>
  <si>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</si>
  <si>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</si>
  <si>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</si>
  <si>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</si>
  <si>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</si>
  <si>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</si>
  <si>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</si>
  <si>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</si>
  <si>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</si>
  <si>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</si>
  <si>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</si>
  <si>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</si>
  <si>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</si>
  <si>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</si>
  <si>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</si>
  <si>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</si>
  <si>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</si>
  <si>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</si>
  <si>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</si>
  <si>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</si>
  <si>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</si>
  <si>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</si>
  <si>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</si>
  <si>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</si>
  <si>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</si>
  <si>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</si>
  <si>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</si>
  <si>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</si>
  <si>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</si>
  <si>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</si>
  <si>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</si>
  <si>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</si>
  <si>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</si>
  <si>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</si>
  <si>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</si>
  <si>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</si>
  <si>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</si>
  <si>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</si>
  <si>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</si>
  <si>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</si>
  <si>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</si>
  <si>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</si>
  <si>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</si>
  <si>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</si>
  <si>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</si>
  <si>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</si>
  <si>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</si>
  <si>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</si>
  <si>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</si>
  <si>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</si>
  <si>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</si>
  <si>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</si>
  <si>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</si>
  <si>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</si>
  <si>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</si>
  <si>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</si>
  <si>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</si>
  <si>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</si>
  <si>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</si>
  <si>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</si>
  <si>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</si>
  <si>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</si>
  <si>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</si>
  <si>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</si>
  <si>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</si>
  <si>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</si>
  <si>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</si>
  <si>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</si>
  <si>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</si>
  <si>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</si>
  <si>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</si>
  <si>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</si>
  <si>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</si>
  <si>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</si>
  <si>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</si>
  <si>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</si>
  <si>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</si>
  <si>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</si>
  <si>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</si>
  <si>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</si>
  <si>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</si>
  <si>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</si>
  <si>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</si>
  <si>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</si>
  <si>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</si>
  <si>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</si>
  <si>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</si>
  <si>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</si>
  <si>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</si>
  <si>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</si>
  <si>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</si>
  <si>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</si>
  <si>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</si>
  <si>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</si>
  <si>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</si>
  <si>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</si>
  <si>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</si>
  <si>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</si>
  <si>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</si>
  <si>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</si>
  <si>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</si>
  <si>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</si>
  <si>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</si>
  <si>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</si>
  <si>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</si>
  <si>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</si>
  <si>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</si>
  <si>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</si>
  <si>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</si>
  <si>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</si>
  <si>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</si>
  <si>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</si>
  <si>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</si>
  <si>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</si>
  <si>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</si>
  <si>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</si>
  <si>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</si>
  <si>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</si>
  <si>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</si>
  <si>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</si>
  <si>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</si>
  <si>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</si>
  <si>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</si>
  <si>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</si>
  <si>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</si>
  <si>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</si>
  <si>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</si>
  <si>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</si>
  <si>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</si>
  <si>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</si>
  <si>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</si>
  <si>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</si>
  <si>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</si>
  <si>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</si>
  <si>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</si>
  <si>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</si>
  <si>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</si>
  <si>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</si>
  <si>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</si>
  <si>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</si>
  <si>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</si>
  <si>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</si>
  <si>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</si>
  <si>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</si>
  <si>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</si>
  <si>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</si>
  <si>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</si>
  <si>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</si>
  <si>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</si>
  <si>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</si>
  <si>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</si>
  <si>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</si>
  <si>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</si>
  <si>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</si>
  <si>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</si>
  <si>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</si>
  <si>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</si>
  <si>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</si>
  <si>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</si>
  <si>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</si>
  <si>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</si>
  <si>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</si>
  <si>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</si>
  <si>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</si>
  <si>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</si>
  <si>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</si>
  <si>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</si>
  <si>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</si>
  <si>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</si>
  <si>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</si>
  <si>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</si>
  <si>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</si>
  <si>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</si>
  <si>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</si>
  <si>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</si>
  <si>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</si>
  <si>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</si>
  <si>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</si>
  <si>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</si>
  <si>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</si>
  <si>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</si>
  <si>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</si>
  <si>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</si>
  <si>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</si>
  <si>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</si>
  <si>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</si>
  <si>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</si>
  <si>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</si>
  <si>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</si>
  <si>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</si>
  <si>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</si>
  <si>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</si>
  <si>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</si>
  <si>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</si>
  <si>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</si>
  <si>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</si>
  <si>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</si>
  <si>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</si>
  <si>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</si>
  <si>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</si>
  <si>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</si>
  <si>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</si>
  <si>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</si>
  <si>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</si>
  <si>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</si>
  <si>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</si>
  <si>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</si>
  <si>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</si>
  <si>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</si>
  <si>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</si>
  <si>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</si>
  <si>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</si>
  <si>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</si>
  <si>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</si>
  <si>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</si>
  <si>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</si>
  <si>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</si>
  <si>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</si>
  <si>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</si>
  <si>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</si>
  <si>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</si>
  <si>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</si>
  <si>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</si>
  <si>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</si>
  <si>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</si>
  <si>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</si>
  <si>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</si>
  <si>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</si>
  <si>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</si>
  <si>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</si>
  <si>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</si>
  <si>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</si>
  <si>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</si>
  <si>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</si>
  <si>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</si>
  <si>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</si>
  <si>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</si>
  <si>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</si>
  <si>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</si>
  <si>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</si>
  <si>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</si>
  <si>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</si>
  <si>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</si>
  <si>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</si>
  <si>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</si>
  <si>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</si>
  <si>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</si>
  <si>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</si>
  <si>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</si>
  <si>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</si>
  <si>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</si>
  <si>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</si>
  <si>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</si>
  <si>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</si>
  <si>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</si>
  <si>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</si>
  <si>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</si>
  <si>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</si>
  <si>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</si>
  <si>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</si>
  <si>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</si>
  <si>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</si>
  <si>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</si>
  <si>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</si>
  <si>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</si>
  <si>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</si>
  <si>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</si>
  <si>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</si>
  <si>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</si>
  <si>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</si>
  <si>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</si>
  <si>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</si>
  <si>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</si>
  <si>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</si>
  <si>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</si>
  <si>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</si>
  <si>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</si>
  <si>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</si>
  <si>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</si>
  <si>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</si>
  <si>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</si>
  <si>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</si>
  <si>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</si>
  <si>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</si>
  <si>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</si>
  <si>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</si>
  <si>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</si>
  <si>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</si>
  <si>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</si>
  <si>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</si>
  <si>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</si>
  <si>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</si>
  <si>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</si>
  <si>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</si>
  <si>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</si>
  <si>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</si>
  <si>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</si>
  <si>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</si>
  <si>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</si>
  <si>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</si>
  <si>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</si>
  <si>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</si>
  <si>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</si>
  <si>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</si>
  <si>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</si>
  <si>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</si>
  <si>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</si>
  <si>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</si>
  <si>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</si>
  <si>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</si>
  <si>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</si>
  <si>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</si>
  <si>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</si>
  <si>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</si>
  <si>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</si>
  <si>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</si>
  <si>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</si>
  <si>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</si>
  <si>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</si>
  <si>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</si>
  <si>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</si>
  <si>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</si>
  <si>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</si>
  <si>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</si>
  <si>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</si>
  <si>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</si>
  <si>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</si>
  <si>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</si>
  <si>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</si>
  <si>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</si>
  <si>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</si>
  <si>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</si>
  <si>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</si>
  <si>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</si>
  <si>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</si>
  <si>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</si>
  <si>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</si>
  <si>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</si>
  <si>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</si>
  <si>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</si>
  <si>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</si>
  <si>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</si>
  <si>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</si>
  <si>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</si>
  <si>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</si>
  <si>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</si>
  <si>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</si>
  <si>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</si>
  <si>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</si>
  <si>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</si>
  <si>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</si>
  <si>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</si>
  <si>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</si>
  <si>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</si>
  <si>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</si>
  <si>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</si>
  <si>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</si>
  <si>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</si>
  <si>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</si>
  <si>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</si>
  <si>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</si>
  <si>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</si>
  <si>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</si>
  <si>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</si>
  <si>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</si>
  <si>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</si>
  <si>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</si>
  <si>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</si>
  <si>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</si>
  <si>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</si>
  <si>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</si>
  <si>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</si>
  <si>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</si>
  <si>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</si>
  <si>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</si>
  <si>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</si>
  <si>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</si>
  <si>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</si>
  <si>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</si>
  <si>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</si>
  <si>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</si>
  <si>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</si>
  <si>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</si>
  <si>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</si>
  <si>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</si>
  <si>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</si>
  <si>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</si>
  <si>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</si>
  <si>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</si>
  <si>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</si>
  <si>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</si>
  <si>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</si>
  <si>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</si>
  <si>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</si>
  <si>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</si>
  <si>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</si>
  <si>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</si>
  <si>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</si>
  <si>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</si>
  <si>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</si>
  <si>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</si>
  <si>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</si>
  <si>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</si>
  <si>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</si>
  <si>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</si>
  <si>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</si>
  <si>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</si>
  <si>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</si>
  <si>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</si>
  <si>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</si>
  <si>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</si>
  <si>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</si>
  <si>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</si>
  <si>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</si>
  <si>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</si>
  <si>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</si>
  <si>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</si>
  <si>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</si>
  <si>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</si>
  <si>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</si>
  <si>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</si>
  <si>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</si>
  <si>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</si>
  <si>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</si>
  <si>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</si>
  <si>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</si>
  <si>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</si>
  <si>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</si>
  <si>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</si>
  <si>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</si>
  <si>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</si>
  <si>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</si>
  <si>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</si>
  <si>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</si>
  <si>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</si>
  <si>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</si>
  <si>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</si>
  <si>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</si>
  <si>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</si>
  <si>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</si>
  <si>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</si>
  <si>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</si>
  <si>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</si>
  <si>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</si>
  <si>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</si>
  <si>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</si>
  <si>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</si>
  <si>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</si>
  <si>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</si>
  <si>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</si>
  <si>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</si>
  <si>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</si>
  <si>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</si>
  <si>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</si>
  <si>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</si>
  <si>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</si>
  <si>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</si>
  <si>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</si>
  <si>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</si>
  <si>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</si>
  <si>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</si>
  <si>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</si>
  <si>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</si>
  <si>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</si>
  <si>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</si>
  <si>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</si>
  <si>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</si>
  <si>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</si>
  <si>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</si>
  <si>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</si>
  <si>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</si>
  <si>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</si>
  <si>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</si>
  <si>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</si>
  <si>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</si>
  <si>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</si>
  <si>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</si>
  <si>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</si>
  <si>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</si>
  <si>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</si>
  <si>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</si>
  <si>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</si>
  <si>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</si>
  <si>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</si>
  <si>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</si>
  <si>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</si>
  <si>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</si>
  <si>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</si>
  <si>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</si>
  <si>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</si>
  <si>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</si>
  <si>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</si>
  <si>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</si>
  <si>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</si>
  <si>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</si>
  <si>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</si>
  <si>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</si>
  <si>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</si>
  <si>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</si>
  <si>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</si>
  <si>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</si>
  <si>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</si>
  <si>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</si>
  <si>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</si>
  <si>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</si>
  <si>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</si>
  <si>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</si>
  <si>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</si>
  <si>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</si>
  <si>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</si>
  <si>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</si>
  <si>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</si>
  <si>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</si>
  <si>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</si>
  <si>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</si>
  <si>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</si>
  <si>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</si>
  <si>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</si>
  <si>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</si>
  <si>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</si>
  <si>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</si>
  <si>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</si>
  <si>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</si>
  <si>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</si>
  <si>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</si>
  <si>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</si>
  <si>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</si>
  <si>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</si>
  <si>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</si>
  <si>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</si>
  <si>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</si>
  <si>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</si>
  <si>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</si>
  <si>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</si>
  <si>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</si>
  <si>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</si>
  <si>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</si>
  <si>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</si>
  <si>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</si>
  <si>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</si>
  <si>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</si>
  <si>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</si>
  <si>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</si>
  <si>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</si>
  <si>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</si>
  <si>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</si>
  <si>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</si>
  <si>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</si>
  <si>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</si>
  <si>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</si>
  <si>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</si>
  <si>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</si>
  <si>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</si>
  <si>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</si>
  <si>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</si>
  <si>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</si>
  <si>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</si>
  <si>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</si>
  <si>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</si>
  <si>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</si>
  <si>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</si>
  <si>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</si>
  <si>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</si>
  <si>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</si>
  <si>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</si>
  <si>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</si>
  <si>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</si>
  <si>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</si>
  <si>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</si>
  <si>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</si>
  <si>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</si>
  <si>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</si>
  <si>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</si>
  <si>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</si>
  <si>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</si>
  <si>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</si>
  <si>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</si>
  <si>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</si>
  <si>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</si>
  <si>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</si>
  <si>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</si>
  <si>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</si>
  <si>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</si>
  <si>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</si>
  <si>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</si>
  <si>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</si>
  <si>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</si>
  <si>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</si>
  <si>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</si>
  <si>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</si>
  <si>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</si>
  <si>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</si>
  <si>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</si>
  <si>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</si>
  <si>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</si>
  <si>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</si>
  <si>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</si>
  <si>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</si>
  <si>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</si>
  <si>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</si>
  <si>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</si>
  <si>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</si>
  <si>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</si>
  <si>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</si>
  <si>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</si>
  <si>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</si>
  <si>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</si>
  <si>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</si>
  <si>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</si>
  <si>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</si>
  <si>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</si>
  <si>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</si>
  <si>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</si>
  <si>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</si>
  <si>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</si>
  <si>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</si>
  <si>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</si>
  <si>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</si>
  <si>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</si>
  <si>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</si>
  <si>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</si>
  <si>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</si>
  <si>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</si>
  <si>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</si>
  <si>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</si>
  <si>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</si>
  <si>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</si>
  <si>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</si>
  <si>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</si>
  <si>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</si>
  <si>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</si>
  <si>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</si>
  <si>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</si>
  <si>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</si>
  <si>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</si>
  <si>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</si>
  <si>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</si>
  <si>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</si>
  <si>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</si>
  <si>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</si>
  <si>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</si>
  <si>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</si>
  <si>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</si>
  <si>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</si>
  <si>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</si>
  <si>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</si>
  <si>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</si>
  <si>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</si>
  <si>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</si>
  <si>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</si>
  <si>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</si>
  <si>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</si>
  <si>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</si>
  <si>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</si>
  <si>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</si>
  <si>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</si>
  <si>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</si>
  <si>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</si>
  <si>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</si>
  <si>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</si>
  <si>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</si>
  <si>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</si>
  <si>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</si>
  <si>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</si>
  <si>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</si>
  <si>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</si>
  <si>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</si>
  <si>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</si>
  <si>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</si>
  <si>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</si>
  <si>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</si>
  <si>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</si>
  <si>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</si>
  <si>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</si>
  <si>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</si>
  <si>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</si>
  <si>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</si>
  <si>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</si>
  <si>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</si>
  <si>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</si>
  <si>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</si>
  <si>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</si>
  <si>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</si>
  <si>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</si>
  <si>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</si>
  <si>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</si>
  <si>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</si>
  <si>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</si>
  <si>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</si>
  <si>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</si>
  <si>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</si>
  <si>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</si>
  <si>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</si>
  <si>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</si>
  <si>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</si>
  <si>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</si>
  <si>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</si>
  <si>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</si>
  <si>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</si>
  <si>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</si>
  <si>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</si>
  <si>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</si>
  <si>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</si>
  <si>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</si>
  <si>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</si>
  <si>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</si>
  <si>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</si>
  <si>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</si>
  <si>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</si>
  <si>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</si>
  <si>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</si>
  <si>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</si>
  <si>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</si>
  <si>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</si>
  <si>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</si>
  <si>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</si>
  <si>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</si>
  <si>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</si>
  <si>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</si>
  <si>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</si>
  <si>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</si>
  <si>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</si>
  <si>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</si>
  <si>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</si>
  <si>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</si>
  <si>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</si>
  <si>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</si>
  <si>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</si>
  <si>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</si>
  <si>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</si>
  <si>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</si>
  <si>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</si>
  <si>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</si>
  <si>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</si>
  <si>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</si>
  <si>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</si>
  <si>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</si>
  <si>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</si>
  <si>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</si>
  <si>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</si>
  <si>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</si>
  <si>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</si>
  <si>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</si>
  <si>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</si>
  <si>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</si>
  <si>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</si>
  <si>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</si>
  <si>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</si>
  <si>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</si>
  <si>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</si>
  <si>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</si>
  <si>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</si>
  <si>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</si>
  <si>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</si>
  <si>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</si>
  <si>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</si>
  <si>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</si>
  <si>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</si>
  <si>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</si>
  <si>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</si>
  <si>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</si>
  <si>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</si>
  <si>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</si>
  <si>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</si>
  <si>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</si>
  <si>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</si>
  <si>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</si>
  <si>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</si>
  <si>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</si>
  <si>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</si>
  <si>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</si>
  <si>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</si>
  <si>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</si>
  <si>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</si>
  <si>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</si>
  <si>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</si>
  <si>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</si>
  <si>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</si>
  <si>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</si>
  <si>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</si>
  <si>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</si>
  <si>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</si>
  <si>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</si>
  <si>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</si>
  <si>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</si>
  <si>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</si>
  <si>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</si>
  <si>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</si>
  <si>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</si>
  <si>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</si>
  <si>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</si>
  <si>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</si>
  <si>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</si>
  <si>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</si>
  <si>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</si>
  <si>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</si>
  <si>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</si>
  <si>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</si>
  <si>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</si>
  <si>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</si>
  <si>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</si>
  <si>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</si>
  <si>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</si>
  <si>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支路</t>
  </si>
  <si>
    <t>楼层</t>
  </si>
  <si>
    <t>高区</t>
  </si>
  <si>
    <t>中区</t>
  </si>
  <si>
    <t>低区</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</si>
  <si>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</si>
  <si>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</si>
  <si>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</si>
  <si>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</si>
  <si>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</si>
  <si>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</si>
  <si>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</si>
  <si>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</si>
  <si>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</si>
  <si>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</si>
  <si>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</si>
  <si>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业余</t>
  </si>
  <si>
    <r>
      <rPr>
        <sz val="11"/>
        <color indexed="8"/>
        <rFont val="宋体"/>
        <family val="3"/>
        <charset val="134"/>
      </rPr>
      <t>市政基础设施</t>
    </r>
  </si>
  <si>
    <t>六通</t>
  </si>
  <si>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</si>
  <si>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</si>
  <si>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</si>
  <si>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</si>
  <si>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</si>
  <si>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</si>
  <si>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</si>
  <si>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</si>
  <si>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</si>
  <si>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</si>
  <si>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</si>
  <si>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</si>
  <si>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</si>
  <si>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</si>
  <si>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</si>
  <si>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</si>
  <si>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</si>
  <si>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</si>
  <si>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</si>
  <si>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</si>
  <si>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</si>
  <si>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</si>
  <si>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</si>
  <si>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</si>
  <si>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</si>
  <si>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塔楼</t>
  </si>
  <si>
    <t>板塔结合</t>
  </si>
  <si>
    <t>钢混</t>
  </si>
  <si>
    <t>精装修</t>
  </si>
  <si>
    <t>毛坯</t>
  </si>
  <si>
    <t>专业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</si>
  <si>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</si>
  <si>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</si>
  <si>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</si>
  <si>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</si>
  <si>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</si>
  <si>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</si>
  <si>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</si>
  <si>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</si>
  <si>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</si>
  <si>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</si>
  <si>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</si>
  <si>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</si>
  <si>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</si>
  <si>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</si>
  <si>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</si>
  <si>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</si>
  <si>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</si>
  <si>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</si>
  <si>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</si>
  <si>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</si>
  <si>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</si>
  <si>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</si>
  <si>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</si>
  <si>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</si>
  <si>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</si>
  <si>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</si>
  <si>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</si>
  <si>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</si>
  <si>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</si>
  <si>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</si>
  <si>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</si>
  <si>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</si>
  <si>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</si>
  <si>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</si>
  <si>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</si>
  <si>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</si>
  <si>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</si>
  <si>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</si>
  <si>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</si>
  <si>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</si>
  <si>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</si>
  <si>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</si>
  <si>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</si>
  <si>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</si>
  <si>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</si>
  <si>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</si>
  <si>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</si>
  <si>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</si>
  <si>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</si>
  <si>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</si>
  <si>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</si>
  <si>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</si>
  <si>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</si>
  <si>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</si>
  <si>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</si>
  <si>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</si>
  <si>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</si>
  <si>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</si>
  <si>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</si>
  <si>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</si>
  <si>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</si>
  <si>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</si>
  <si>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</si>
  <si>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</si>
  <si>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</si>
  <si>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</si>
  <si>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</si>
  <si>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</si>
  <si>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</si>
  <si>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</si>
  <si>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</si>
  <si>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</si>
  <si>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</si>
  <si>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</si>
  <si>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</si>
  <si>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</si>
  <si>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</si>
  <si>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</si>
  <si>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</si>
  <si>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</si>
  <si>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</si>
  <si>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</si>
  <si>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</si>
  <si>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</si>
  <si>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</si>
  <si>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</si>
  <si>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</si>
  <si>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</si>
  <si>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</si>
  <si>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</si>
  <si>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</si>
  <si>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</si>
  <si>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</si>
  <si>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</si>
  <si>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</si>
  <si>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</si>
  <si>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</si>
  <si>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</si>
  <si>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</si>
  <si>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</si>
  <si>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</si>
  <si>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</si>
  <si>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</si>
  <si>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</si>
  <si>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</si>
  <si>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</si>
  <si>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</si>
  <si>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</si>
  <si>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</si>
  <si>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</si>
  <si>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</si>
  <si>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</si>
  <si>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</si>
  <si>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</si>
  <si>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</si>
  <si>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</si>
  <si>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</si>
  <si>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</si>
  <si>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</si>
  <si>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</si>
  <si>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</si>
  <si>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</si>
  <si>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</si>
  <si>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</si>
  <si>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</si>
  <si>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</si>
  <si>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</si>
  <si>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</si>
  <si>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</si>
  <si>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</si>
  <si>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</si>
  <si>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</si>
  <si>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</si>
  <si>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</si>
  <si>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</si>
  <si>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</si>
  <si>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</si>
  <si>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</si>
  <si>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</si>
  <si>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</si>
  <si>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</si>
  <si>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</si>
  <si>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</si>
  <si>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</si>
  <si>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</si>
  <si>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</si>
  <si>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</si>
  <si>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</si>
  <si>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</si>
  <si>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</si>
  <si>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</si>
  <si>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</si>
  <si>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</si>
  <si>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</si>
  <si>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</si>
  <si>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</si>
  <si>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</si>
  <si>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</si>
  <si>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</si>
  <si>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</si>
  <si>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</si>
  <si>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</si>
  <si>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</si>
  <si>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</si>
  <si>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</si>
  <si>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</si>
  <si>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</si>
  <si>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</si>
  <si>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</si>
  <si>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</si>
  <si>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</si>
  <si>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</si>
  <si>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</si>
  <si>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</si>
  <si>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</si>
  <si>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</si>
  <si>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</si>
  <si>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</si>
  <si>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</si>
  <si>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</si>
  <si>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</si>
  <si>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</si>
  <si>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</si>
  <si>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</si>
  <si>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</si>
  <si>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</si>
  <si>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</si>
  <si>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</si>
  <si>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</si>
  <si>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</si>
  <si>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</si>
  <si>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</si>
  <si>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</si>
  <si>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</si>
  <si>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</si>
  <si>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</si>
  <si>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</si>
  <si>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</si>
  <si>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</si>
  <si>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</si>
  <si>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</si>
  <si>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</si>
  <si>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</si>
  <si>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</si>
  <si>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</si>
  <si>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</si>
  <si>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</si>
  <si>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</si>
  <si>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</si>
  <si>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</si>
  <si>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</si>
  <si>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</si>
  <si>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</si>
  <si>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</si>
  <si>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</si>
  <si>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</si>
  <si>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</si>
  <si>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</si>
  <si>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</si>
  <si>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</si>
  <si>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</si>
  <si>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</si>
  <si>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</si>
  <si>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</si>
  <si>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</si>
  <si>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</si>
  <si>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</si>
  <si>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</si>
  <si>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</si>
  <si>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</si>
  <si>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</si>
  <si>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</si>
  <si>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</si>
  <si>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</si>
  <si>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</si>
  <si>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</si>
  <si>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</si>
  <si>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</si>
  <si>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</si>
  <si>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</si>
  <si>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</si>
  <si>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</si>
  <si>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</si>
  <si>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</si>
  <si>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</si>
  <si>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</si>
  <si>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</si>
  <si>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</si>
  <si>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</si>
  <si>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</si>
  <si>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</si>
  <si>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</si>
  <si>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</si>
  <si>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</si>
  <si>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</si>
  <si>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</si>
  <si>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</si>
  <si>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</si>
  <si>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</si>
  <si>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</si>
  <si>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</si>
  <si>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</si>
  <si>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</si>
  <si>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</si>
  <si>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</si>
  <si>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</si>
  <si>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</si>
  <si>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</si>
  <si>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</si>
  <si>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</si>
  <si>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</si>
  <si>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</si>
  <si>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</si>
  <si>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</si>
  <si>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</si>
  <si>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</si>
  <si>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</si>
  <si>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</si>
  <si>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</si>
  <si>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</si>
  <si>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</si>
  <si>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</si>
  <si>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</si>
  <si>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</si>
  <si>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</si>
  <si>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</si>
  <si>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</si>
  <si>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</si>
  <si>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</si>
  <si>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</si>
  <si>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</si>
  <si>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</si>
  <si>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</si>
  <si>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</si>
  <si>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</si>
  <si>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</si>
  <si>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</si>
  <si>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</si>
  <si>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</si>
  <si>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</si>
  <si>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</si>
  <si>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</si>
  <si>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</si>
  <si>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</si>
  <si>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</si>
  <si>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</si>
  <si>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</si>
  <si>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</si>
  <si>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</si>
  <si>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</si>
  <si>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</si>
  <si>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</si>
  <si>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</si>
  <si>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</si>
  <si>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</si>
  <si>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</si>
  <si>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</si>
  <si>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</si>
  <si>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</si>
  <si>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</si>
  <si>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</si>
  <si>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</si>
  <si>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</si>
  <si>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</si>
  <si>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</si>
  <si>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</si>
  <si>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</si>
  <si>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</si>
  <si>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</si>
  <si>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</si>
  <si>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</si>
  <si>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</si>
  <si>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</si>
  <si>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</si>
  <si>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</si>
  <si>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</si>
  <si>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</si>
  <si>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</si>
  <si>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</si>
  <si>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</si>
  <si>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</si>
  <si>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</si>
  <si>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</si>
  <si>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</si>
  <si>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</si>
  <si>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</si>
  <si>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</si>
  <si>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</si>
  <si>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</si>
  <si>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</si>
  <si>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</si>
  <si>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</si>
  <si>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</si>
  <si>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</si>
  <si>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</si>
  <si>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</si>
  <si>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</si>
  <si>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</si>
  <si>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</si>
  <si>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</si>
  <si>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</si>
  <si>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</si>
  <si>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</si>
  <si>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</si>
  <si>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</si>
  <si>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</si>
  <si>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</si>
  <si>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</si>
  <si>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</si>
  <si>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</si>
  <si>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</si>
  <si>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</si>
  <si>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</si>
  <si>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</si>
  <si>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</si>
  <si>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</si>
  <si>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</si>
  <si>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</si>
  <si>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</si>
  <si>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</si>
  <si>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</si>
  <si>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</si>
  <si>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</si>
  <si>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</si>
  <si>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</si>
  <si>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</si>
  <si>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</si>
  <si>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</si>
  <si>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</si>
  <si>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</si>
  <si>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</si>
  <si>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</si>
  <si>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</si>
  <si>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</si>
  <si>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</si>
  <si>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</si>
  <si>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</si>
  <si>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</si>
  <si>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</si>
  <si>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</si>
  <si>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</si>
  <si>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</si>
  <si>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</si>
  <si>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</si>
  <si>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</si>
  <si>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</si>
  <si>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</si>
  <si>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</si>
  <si>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</si>
  <si>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</si>
  <si>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</si>
  <si>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</si>
  <si>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</si>
  <si>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</si>
  <si>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</si>
  <si>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</si>
  <si>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</si>
  <si>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</si>
  <si>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</si>
  <si>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</si>
  <si>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</si>
  <si>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</si>
  <si>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</si>
  <si>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</si>
  <si>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</si>
  <si>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</si>
  <si>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</si>
  <si>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</si>
  <si>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</si>
  <si>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</si>
  <si>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</si>
  <si>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</si>
  <si>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</si>
  <si>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</si>
  <si>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</si>
  <si>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</si>
  <si>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</si>
  <si>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</si>
  <si>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</si>
  <si>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</si>
  <si>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</si>
  <si>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</si>
  <si>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</si>
  <si>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</si>
  <si>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</si>
  <si>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</si>
  <si>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</si>
  <si>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</si>
  <si>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</si>
  <si>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</si>
  <si>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</si>
  <si>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</si>
  <si>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</si>
  <si>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</si>
  <si>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</si>
  <si>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</si>
  <si>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</si>
  <si>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</si>
  <si>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</si>
  <si>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</si>
  <si>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</si>
  <si>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</si>
  <si>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</si>
  <si>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</si>
  <si>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</si>
  <si>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</si>
  <si>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</si>
  <si>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</si>
  <si>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</si>
  <si>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</si>
  <si>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</si>
  <si>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</si>
  <si>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</si>
  <si>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</si>
  <si>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</si>
  <si>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</si>
  <si>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</si>
  <si>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</si>
  <si>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</si>
  <si>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</si>
  <si>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</si>
  <si>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</si>
  <si>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</si>
  <si>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</si>
  <si>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</si>
  <si>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</si>
  <si>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</si>
  <si>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</si>
  <si>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</si>
  <si>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</si>
  <si>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</si>
  <si>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</si>
  <si>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</si>
  <si>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</si>
  <si>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</si>
  <si>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</si>
  <si>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</si>
  <si>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</si>
  <si>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</si>
  <si>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</si>
  <si>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</si>
  <si>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</si>
  <si>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</si>
  <si>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</si>
  <si>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</si>
  <si>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</si>
  <si>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</si>
  <si>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</si>
  <si>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</si>
  <si>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</si>
  <si>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</si>
  <si>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</si>
  <si>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</si>
  <si>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</si>
  <si>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</si>
  <si>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</si>
  <si>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</si>
  <si>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</si>
  <si>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</si>
  <si>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</si>
  <si>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</si>
  <si>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</si>
  <si>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</si>
  <si>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</si>
  <si>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</si>
  <si>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</si>
  <si>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</si>
  <si>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</si>
  <si>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</si>
  <si>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</si>
  <si>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</si>
  <si>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</si>
  <si>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</si>
  <si>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</si>
  <si>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</si>
  <si>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</si>
  <si>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</si>
  <si>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</si>
  <si>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</si>
  <si>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</si>
  <si>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</si>
  <si>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</si>
  <si>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</si>
  <si>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</si>
  <si>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</si>
  <si>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</si>
  <si>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</si>
  <si>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</si>
  <si>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</si>
  <si>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</si>
  <si>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</si>
  <si>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</si>
  <si>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</si>
  <si>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</si>
  <si>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</si>
  <si>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</si>
  <si>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</si>
  <si>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</si>
  <si>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</si>
  <si>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</si>
  <si>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</si>
  <si>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</si>
  <si>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</si>
  <si>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</si>
  <si>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</si>
  <si>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</si>
  <si>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</si>
  <si>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</si>
  <si>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</si>
  <si>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</si>
  <si>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</si>
  <si>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</si>
  <si>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</si>
  <si>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</si>
  <si>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</si>
  <si>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</si>
  <si>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</si>
  <si>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</si>
  <si>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</si>
  <si>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</si>
  <si>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</si>
  <si>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</si>
  <si>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</si>
  <si>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</si>
  <si>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</si>
  <si>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</si>
  <si>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</si>
  <si>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</si>
  <si>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</si>
  <si>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</si>
  <si>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</si>
  <si>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</si>
  <si>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</si>
  <si>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</si>
  <si>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</si>
  <si>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</si>
  <si>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</si>
  <si>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</si>
  <si>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</si>
  <si>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</si>
  <si>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</si>
  <si>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</si>
  <si>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</si>
  <si>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</si>
  <si>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</si>
  <si>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</si>
  <si>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</si>
  <si>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</si>
  <si>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</si>
  <si>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</si>
  <si>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</si>
  <si>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</si>
  <si>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</si>
  <si>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</si>
  <si>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</si>
  <si>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</si>
  <si>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</si>
  <si>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</si>
  <si>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</si>
  <si>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</si>
  <si>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</si>
  <si>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</si>
  <si>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</si>
  <si>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</si>
  <si>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</si>
  <si>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</si>
  <si>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</si>
  <si>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</si>
  <si>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</si>
  <si>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</si>
  <si>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</si>
  <si>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</si>
  <si>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</si>
  <si>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</si>
  <si>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</si>
  <si>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</si>
  <si>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</si>
  <si>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</si>
  <si>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</si>
  <si>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</si>
  <si>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</si>
  <si>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</si>
  <si>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</si>
  <si>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</si>
  <si>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</si>
  <si>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</si>
  <si>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</si>
  <si>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</si>
  <si>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</si>
  <si>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</si>
  <si>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</si>
  <si>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</si>
  <si>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</si>
  <si>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</si>
  <si>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</si>
  <si>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</si>
  <si>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</si>
  <si>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</si>
  <si>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</si>
  <si>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</si>
  <si>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</si>
  <si>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</si>
  <si>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</si>
  <si>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</si>
  <si>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</si>
  <si>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</si>
  <si>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</si>
  <si>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</si>
  <si>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</si>
  <si>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</si>
  <si>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</si>
  <si>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</si>
  <si>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</si>
  <si>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</si>
  <si>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</si>
  <si>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</si>
  <si>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</si>
  <si>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</si>
  <si>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</si>
  <si>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</si>
  <si>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</si>
  <si>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</si>
  <si>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</si>
  <si>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</si>
  <si>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</si>
  <si>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</si>
  <si>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</si>
  <si>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</si>
  <si>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</si>
  <si>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</si>
  <si>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</si>
  <si>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</si>
  <si>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</si>
  <si>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</si>
  <si>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</si>
  <si>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</si>
  <si>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</si>
  <si>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</si>
  <si>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</si>
  <si>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</si>
  <si>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</si>
  <si>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</si>
  <si>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</si>
  <si>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</si>
  <si>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</si>
  <si>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</si>
  <si>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</si>
  <si>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</si>
  <si>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</si>
  <si>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</si>
  <si>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</si>
  <si>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</si>
  <si>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</si>
  <si>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</si>
  <si>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</si>
  <si>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</si>
  <si>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</si>
  <si>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</si>
  <si>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</si>
  <si>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</si>
  <si>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</si>
  <si>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</si>
  <si>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</si>
  <si>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</si>
  <si>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</si>
  <si>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</si>
  <si>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</si>
  <si>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</si>
  <si>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</si>
  <si>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</si>
  <si>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</si>
  <si>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</si>
  <si>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</si>
  <si>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</si>
  <si>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</si>
  <si>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</si>
  <si>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</si>
  <si>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</si>
  <si>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</si>
  <si>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</si>
  <si>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</si>
  <si>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</si>
  <si>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</si>
  <si>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</si>
  <si>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</si>
  <si>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</si>
  <si>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</si>
  <si>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</si>
  <si>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</si>
  <si>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</si>
  <si>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</si>
  <si>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</si>
  <si>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</si>
  <si>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</si>
  <si>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</si>
  <si>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</si>
  <si>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</si>
  <si>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</si>
  <si>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</si>
  <si>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</si>
  <si>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</si>
  <si>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</si>
  <si>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</si>
  <si>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</si>
  <si>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</si>
  <si>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</si>
  <si>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</si>
  <si>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</si>
  <si>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</si>
  <si>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</si>
  <si>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</si>
  <si>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</si>
  <si>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</si>
  <si>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</si>
  <si>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</si>
  <si>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</si>
  <si>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</si>
  <si>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</si>
  <si>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</si>
  <si>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</si>
  <si>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</si>
  <si>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</si>
  <si>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</si>
  <si>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</si>
  <si>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</si>
  <si>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</si>
  <si>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</si>
  <si>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</si>
  <si>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</si>
  <si>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</si>
  <si>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</si>
  <si>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</si>
  <si>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</si>
  <si>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</si>
  <si>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</si>
  <si>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</si>
  <si>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</si>
  <si>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</si>
  <si>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</si>
  <si>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</si>
  <si>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</si>
  <si>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</si>
  <si>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</si>
  <si>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</si>
  <si>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</si>
  <si>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</si>
  <si>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</si>
  <si>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</si>
  <si>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</si>
  <si>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</si>
  <si>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</si>
  <si>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</si>
  <si>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</si>
  <si>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</si>
  <si>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</si>
  <si>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</si>
  <si>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</si>
  <si>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</si>
  <si>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</si>
  <si>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</si>
  <si>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</si>
  <si>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</si>
  <si>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</si>
  <si>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</si>
  <si>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</si>
  <si>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</si>
  <si>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</si>
  <si>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</si>
  <si>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</si>
  <si>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</si>
  <si>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</si>
  <si>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</si>
  <si>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</si>
  <si>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</si>
  <si>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</si>
  <si>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</si>
  <si>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</si>
  <si>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</si>
  <si>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</si>
  <si>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</si>
  <si>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</si>
  <si>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</si>
  <si>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</si>
  <si>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</si>
  <si>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</si>
  <si>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</si>
  <si>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</si>
  <si>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</si>
  <si>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</si>
  <si>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</si>
  <si>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</si>
  <si>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</si>
  <si>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</si>
  <si>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</si>
  <si>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</si>
  <si>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</si>
  <si>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</si>
  <si>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</si>
  <si>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</si>
  <si>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</si>
  <si>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</si>
  <si>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</si>
  <si>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</si>
  <si>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</si>
  <si>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</si>
  <si>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</si>
  <si>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</si>
  <si>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</si>
  <si>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</si>
  <si>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</si>
  <si>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</si>
  <si>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</si>
  <si>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</si>
  <si>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</si>
  <si>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</si>
  <si>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</si>
  <si>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</si>
  <si>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</si>
  <si>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</si>
  <si>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</si>
  <si>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</si>
  <si>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</si>
  <si>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</si>
  <si>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</si>
  <si>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</si>
  <si>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</si>
  <si>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</si>
  <si>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</si>
  <si>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</si>
  <si>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</si>
  <si>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</si>
  <si>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</si>
  <si>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</si>
  <si>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</si>
  <si>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</si>
  <si>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</si>
  <si>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</si>
  <si>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</si>
  <si>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</si>
  <si>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</si>
  <si>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</si>
  <si>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</si>
  <si>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</si>
  <si>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</si>
  <si>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</si>
  <si>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</si>
  <si>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</si>
  <si>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</si>
  <si>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</si>
  <si>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</si>
  <si>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</si>
  <si>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</si>
  <si>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</si>
  <si>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</si>
  <si>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</si>
  <si>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</si>
  <si>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</si>
  <si>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</si>
  <si>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</si>
  <si>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</si>
  <si>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</si>
  <si>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</si>
  <si>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</si>
  <si>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</si>
  <si>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</si>
  <si>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</si>
  <si>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</si>
  <si>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</si>
  <si>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</si>
  <si>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</si>
  <si>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</si>
  <si>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</si>
  <si>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</si>
  <si>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</si>
  <si>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</si>
  <si>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</si>
  <si>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</si>
  <si>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</si>
  <si>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</si>
  <si>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</si>
  <si>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</si>
  <si>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</si>
  <si>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</si>
  <si>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</si>
  <si>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</si>
  <si>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</si>
  <si>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</si>
  <si>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</si>
  <si>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</si>
  <si>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</si>
  <si>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</si>
  <si>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</si>
  <si>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</si>
  <si>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</si>
  <si>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</si>
  <si>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</si>
  <si>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</si>
  <si>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</si>
  <si>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</si>
  <si>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</si>
  <si>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</si>
  <si>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</si>
  <si>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</si>
  <si>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</si>
  <si>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</si>
  <si>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</si>
  <si>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</si>
  <si>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</si>
  <si>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</si>
  <si>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</si>
  <si>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</si>
  <si>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</si>
  <si>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</si>
  <si>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</si>
  <si>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</si>
  <si>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</si>
  <si>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</si>
  <si>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</si>
  <si>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</si>
  <si>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</si>
  <si>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</si>
  <si>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</si>
  <si>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</si>
  <si>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</si>
  <si>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</si>
  <si>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</si>
  <si>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</si>
  <si>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</si>
  <si>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</si>
  <si>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</si>
  <si>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</si>
  <si>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</si>
  <si>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</si>
  <si>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</si>
  <si>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</si>
  <si>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</si>
  <si>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</si>
  <si>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</si>
  <si>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</si>
  <si>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</si>
  <si>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</si>
  <si>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</si>
  <si>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</si>
  <si>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</si>
  <si>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</si>
  <si>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南北</t>
  </si>
  <si>
    <t>南北</t>
    <phoneticPr fontId="205" type="noConversion"/>
  </si>
  <si>
    <t>南</t>
  </si>
  <si>
    <t>南</t>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</si>
</sst>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
    <numFmt numFmtId="178" formatCode="yyyy/m/d;@"/>
    <numFmt numFmtId="179" formatCode="0.0000_ "/>
    <numFmt numFmtId="180" formatCode="0;_쐀"/>
    <numFmt numFmtId="181" formatCode="0.000%"/>
    <numFmt numFmtId="182" formatCode="[DBNum1][$-804]yyyy&quot;年&quot;m&quot;月&quot;d&quot;日&quot;;@"/>
    <numFmt numFmtId="183" formatCode="0.0000%"/>
    <numFmt numFmtId="184" formatCode="0.000_ "/>
    <numFmt numFmtId="185" formatCode="0.00_ "/>
    <numFmt numFmtId="186" formatCode="0_ "/>
    <numFmt numFmtId="187" formatCode="0.00_);[Red]\(0.00\)"/>
    <numFmt numFmtId="188" formatCode="0_ ;[Red]\-0\ "/>
    <numFmt numFmtId="189" formatCode="0_);[Red]\(0\)"/>
    <numFmt numFmtId="190" formatCode="0.0_ "/>
    <numFmt numFmtId="191" formatCode="[$-F800]dddd\,\ mmmm\ dd\,\ yyyy"/>
    <numFmt numFmtId="192" formatCode="yyyy&quot;年&quot;m&quot;月&quot;d&quot;日&quot;;@"/>
    <numFmt numFmtId="193" formatCode="0.000_);[Red]\(0.000\)"/>
    <numFmt numFmtId="194" formatCode="[DBNum2][$-804]General"/>
    <numFmt numFmtId="195" formatCode="yyyy&quot;年&quot;m&quot;月&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9"/>
      <name val="宋体"/>
      <family val="3"/>
      <charset val="134"/>
    </font>
    <font>
      <sz val="10"/>
      <name val="宋体"/>
      <family val="3"/>
      <charset val="134"/>
    </font>
    <font>
      <sz val="16"/>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7" fillId="0" borderId="0"/>
    <xf numFmtId="0" fontId="138" fillId="0" borderId="0">
      <alignment vertical="center"/>
    </xf>
    <xf numFmtId="0" fontId="138" fillId="0" borderId="0">
      <alignment vertical="center"/>
    </xf>
    <xf numFmtId="0" fontId="106" fillId="0" borderId="0"/>
    <xf numFmtId="0" fontId="107" fillId="0" borderId="0">
      <alignment vertical="center"/>
    </xf>
    <xf numFmtId="0" fontId="138"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81" fillId="0" borderId="0"/>
    <xf numFmtId="0" fontId="107" fillId="0" borderId="0">
      <alignment vertical="center"/>
    </xf>
    <xf numFmtId="0" fontId="107" fillId="0" borderId="0">
      <alignment vertical="center"/>
    </xf>
  </cellStyleXfs>
  <cellXfs count="311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5"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9" fontId="16" fillId="5" borderId="0" xfId="3" applyNumberFormat="1" applyFont="1" applyFill="1" applyBorder="1" applyAlignment="1">
      <alignment horizontal="center" vertical="center"/>
    </xf>
    <xf numFmtId="189"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9"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9" fontId="15" fillId="6" borderId="23" xfId="3" applyNumberFormat="1" applyFont="1" applyFill="1" applyBorder="1" applyAlignment="1">
      <alignment horizontal="center" vertical="center" wrapText="1"/>
    </xf>
    <xf numFmtId="189" fontId="15" fillId="6" borderId="24" xfId="3" applyNumberFormat="1" applyFont="1" applyFill="1" applyBorder="1" applyAlignment="1">
      <alignment horizontal="center" vertical="center" wrapText="1"/>
    </xf>
    <xf numFmtId="189"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9" fontId="15" fillId="6" borderId="22" xfId="3" applyNumberFormat="1" applyFont="1" applyFill="1" applyBorder="1" applyAlignment="1">
      <alignment horizontal="center" vertical="center" wrapText="1"/>
    </xf>
    <xf numFmtId="189"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9"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9" fontId="15" fillId="6" borderId="29" xfId="3" applyNumberFormat="1" applyFont="1" applyFill="1" applyBorder="1" applyAlignment="1">
      <alignment horizontal="center" vertical="center" wrapText="1"/>
    </xf>
    <xf numFmtId="189" fontId="15" fillId="6" borderId="31" xfId="3" applyNumberFormat="1" applyFont="1" applyFill="1" applyBorder="1" applyAlignment="1">
      <alignment horizontal="center" vertical="center" wrapText="1"/>
    </xf>
    <xf numFmtId="189" fontId="17" fillId="5" borderId="0" xfId="3" applyNumberFormat="1" applyFont="1" applyFill="1" applyAlignment="1">
      <alignment horizontal="center" vertical="center"/>
    </xf>
    <xf numFmtId="189"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6" fontId="17" fillId="0" borderId="0" xfId="3" applyNumberFormat="1" applyFont="1">
      <alignment vertical="center"/>
    </xf>
    <xf numFmtId="177" fontId="17" fillId="0" borderId="19" xfId="3" applyNumberFormat="1" applyFont="1" applyBorder="1">
      <alignment vertical="center"/>
    </xf>
    <xf numFmtId="177" fontId="17" fillId="0" borderId="0" xfId="3" applyNumberFormat="1" applyFont="1">
      <alignment vertical="center"/>
    </xf>
    <xf numFmtId="0" fontId="17" fillId="0" borderId="0" xfId="3" applyFont="1" applyFill="1" applyAlignment="1">
      <alignment horizontal="center" vertical="center"/>
    </xf>
    <xf numFmtId="186"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6" fontId="17" fillId="0" borderId="18" xfId="3" applyNumberFormat="1" applyFont="1" applyBorder="1">
      <alignment vertical="center"/>
    </xf>
    <xf numFmtId="10" fontId="17" fillId="0" borderId="18" xfId="3" applyNumberFormat="1" applyFont="1" applyBorder="1" applyAlignment="1">
      <alignment horizontal="center" vertical="center"/>
    </xf>
    <xf numFmtId="190"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6"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6"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90" fontId="17" fillId="0" borderId="18" xfId="3" applyNumberFormat="1" applyFont="1" applyBorder="1" applyAlignment="1">
      <alignment horizontal="center" vertical="center"/>
    </xf>
    <xf numFmtId="190"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5"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5"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5"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76" fontId="43" fillId="2" borderId="14" xfId="0" applyNumberFormat="1" applyFont="1" applyFill="1" applyBorder="1" applyAlignment="1" applyProtection="1">
      <alignment horizontal="center"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76"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6"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6" fontId="43" fillId="13"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76" fontId="43" fillId="13" borderId="14" xfId="0" applyNumberFormat="1" applyFont="1" applyFill="1" applyBorder="1" applyAlignment="1" applyProtection="1">
      <alignment horizontal="center" vertical="center" wrapText="1"/>
      <protection locked="0"/>
    </xf>
    <xf numFmtId="176" fontId="43" fillId="13"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4"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4" fillId="0" borderId="97"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6"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6" fontId="42" fillId="2" borderId="68" xfId="0" applyNumberFormat="1"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xf>
    <xf numFmtId="176" fontId="43" fillId="2" borderId="93" xfId="0" applyNumberFormat="1" applyFont="1" applyFill="1" applyBorder="1" applyAlignment="1" applyProtection="1">
      <alignment horizontal="center" vertical="center" wrapText="1"/>
    </xf>
    <xf numFmtId="17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6"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6"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7" fillId="2" borderId="11" xfId="0" applyNumberFormat="1" applyFont="1" applyFill="1" applyBorder="1" applyAlignment="1" applyProtection="1">
      <alignment horizontal="center" vertical="center"/>
    </xf>
    <xf numFmtId="185"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7"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7"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78"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5" fontId="49" fillId="2" borderId="7" xfId="9" applyNumberFormat="1" applyFont="1" applyFill="1" applyBorder="1" applyAlignment="1" applyProtection="1">
      <alignment horizontal="center"/>
    </xf>
    <xf numFmtId="17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9" fillId="11" borderId="0" xfId="0" applyFont="1" applyFill="1" applyAlignment="1" applyProtection="1">
      <protection locked="0"/>
    </xf>
    <xf numFmtId="0" fontId="78" fillId="2" borderId="93" xfId="0" applyFont="1" applyFill="1" applyBorder="1" applyAlignment="1" applyProtection="1"/>
    <xf numFmtId="0" fontId="64" fillId="11"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5"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6" fontId="94" fillId="2" borderId="7" xfId="9" applyNumberFormat="1" applyFont="1" applyFill="1" applyBorder="1" applyAlignment="1" applyProtection="1">
      <alignment horizontal="center" vertical="center"/>
    </xf>
    <xf numFmtId="185" fontId="94"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77"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7"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1" fillId="11" borderId="7" xfId="0" applyFont="1" applyFill="1" applyBorder="1" applyAlignment="1" applyProtection="1">
      <alignment horizontal="center" vertical="center" wrapText="1"/>
    </xf>
    <xf numFmtId="10" fontId="101" fillId="11" borderId="7" xfId="0" applyNumberFormat="1" applyFont="1" applyFill="1" applyBorder="1" applyAlignment="1" applyProtection="1">
      <alignment horizontal="center" vertical="center"/>
    </xf>
    <xf numFmtId="9" fontId="101"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1"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1"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1" fillId="11" borderId="83" xfId="0" applyFont="1" applyFill="1" applyBorder="1" applyAlignment="1" applyProtection="1">
      <alignment vertical="center" wrapText="1"/>
    </xf>
    <xf numFmtId="0" fontId="101" fillId="11" borderId="38" xfId="0" applyFont="1" applyFill="1" applyBorder="1" applyAlignment="1" applyProtection="1">
      <alignment horizontal="center" vertical="center" wrapText="1"/>
    </xf>
    <xf numFmtId="0" fontId="101" fillId="11" borderId="91" xfId="0" applyFont="1" applyFill="1" applyBorder="1" applyAlignment="1" applyProtection="1">
      <alignment vertical="center" wrapText="1"/>
    </xf>
    <xf numFmtId="177" fontId="49" fillId="2" borderId="0" xfId="0" applyNumberFormat="1" applyFont="1" applyFill="1" applyProtection="1">
      <alignment vertical="center"/>
    </xf>
    <xf numFmtId="0" fontId="101" fillId="11" borderId="13" xfId="0" applyFont="1" applyFill="1" applyBorder="1" applyAlignment="1" applyProtection="1">
      <alignment vertical="center" wrapText="1"/>
    </xf>
    <xf numFmtId="0" fontId="101" fillId="11" borderId="15" xfId="0" applyFont="1" applyFill="1" applyBorder="1" applyAlignment="1" applyProtection="1">
      <alignment horizontal="center" vertical="center"/>
    </xf>
    <xf numFmtId="0" fontId="101"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1" fillId="11" borderId="69" xfId="0" applyFont="1" applyFill="1" applyBorder="1" applyAlignment="1" applyProtection="1">
      <alignment vertical="center" wrapText="1"/>
    </xf>
    <xf numFmtId="0" fontId="101" fillId="11" borderId="0" xfId="0" applyFont="1" applyFill="1" applyBorder="1" applyAlignment="1" applyProtection="1">
      <alignment horizontal="center" vertical="center" wrapText="1"/>
    </xf>
    <xf numFmtId="0" fontId="101" fillId="11" borderId="102" xfId="0" applyFont="1" applyFill="1" applyBorder="1" applyAlignment="1" applyProtection="1">
      <alignment vertical="center" wrapText="1"/>
    </xf>
    <xf numFmtId="0" fontId="101" fillId="11" borderId="58" xfId="0" applyFont="1" applyFill="1" applyBorder="1" applyAlignment="1" applyProtection="1">
      <alignment vertical="center" wrapText="1"/>
    </xf>
    <xf numFmtId="0" fontId="101" fillId="11" borderId="39" xfId="0" applyFont="1" applyFill="1" applyBorder="1" applyAlignment="1" applyProtection="1">
      <alignment horizontal="center" vertical="center" wrapText="1"/>
    </xf>
    <xf numFmtId="0" fontId="101" fillId="11"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91" fillId="2" borderId="7" xfId="0" applyFont="1" applyFill="1" applyBorder="1" applyAlignment="1" applyProtection="1">
      <alignment vertical="center"/>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69" fillId="2" borderId="13" xfId="0" applyFont="1" applyFill="1" applyBorder="1" applyProtection="1">
      <alignment vertical="center"/>
    </xf>
    <xf numFmtId="0" fontId="92" fillId="2" borderId="93" xfId="0" applyFont="1" applyFill="1" applyBorder="1" applyAlignment="1" applyProtection="1">
      <alignment vertical="center" wrapText="1"/>
    </xf>
    <xf numFmtId="0" fontId="69" fillId="2" borderId="0" xfId="0" applyFont="1" applyFill="1" applyBorder="1" applyProtection="1">
      <alignment vertical="center"/>
    </xf>
    <xf numFmtId="0" fontId="78" fillId="2" borderId="7" xfId="0" applyFont="1" applyFill="1" applyBorder="1" applyAlignment="1" applyProtection="1">
      <alignment horizontal="center"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92" fillId="2" borderId="7" xfId="0" applyFont="1" applyFill="1" applyBorder="1" applyAlignment="1" applyProtection="1">
      <alignment vertical="center" shrinkToFi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1"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8"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7"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7"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7"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8"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5" fillId="2" borderId="7" xfId="4" applyFont="1" applyFill="1" applyBorder="1" applyAlignment="1">
      <alignment horizontal="center" vertical="center" wrapText="1"/>
    </xf>
    <xf numFmtId="0" fontId="105" fillId="0" borderId="0" xfId="4" applyFont="1" applyBorder="1" applyAlignment="1">
      <alignment horizontal="left" vertical="center" wrapText="1"/>
    </xf>
    <xf numFmtId="0" fontId="106" fillId="0" borderId="0" xfId="4" applyBorder="1"/>
    <xf numFmtId="14" fontId="105" fillId="2" borderId="7" xfId="4" applyNumberFormat="1" applyFont="1" applyFill="1" applyBorder="1" applyAlignment="1">
      <alignment horizontal="center" vertical="center" wrapText="1"/>
    </xf>
    <xf numFmtId="0" fontId="105" fillId="7" borderId="7" xfId="4" applyFont="1" applyFill="1" applyBorder="1" applyAlignment="1" applyProtection="1">
      <alignment horizontal="center" vertical="center" wrapText="1"/>
      <protection locked="0"/>
    </xf>
    <xf numFmtId="0" fontId="106" fillId="2" borderId="7" xfId="4" applyFill="1" applyBorder="1" applyAlignment="1">
      <alignment vertical="center"/>
    </xf>
    <xf numFmtId="0" fontId="105" fillId="2" borderId="12" xfId="4" applyFont="1" applyFill="1" applyBorder="1" applyAlignment="1">
      <alignment horizontal="center" vertical="center" wrapText="1"/>
    </xf>
    <xf numFmtId="0" fontId="107" fillId="3" borderId="7" xfId="4" applyFont="1" applyFill="1" applyBorder="1" applyProtection="1">
      <protection locked="0"/>
    </xf>
    <xf numFmtId="0" fontId="107" fillId="2" borderId="7" xfId="4" applyFont="1" applyFill="1" applyBorder="1"/>
    <xf numFmtId="0" fontId="106" fillId="0" borderId="7" xfId="4" applyBorder="1" applyProtection="1">
      <protection locked="0"/>
    </xf>
    <xf numFmtId="0" fontId="105" fillId="0" borderId="7" xfId="4"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8"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98"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8"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8" fillId="11" borderId="0" xfId="0" applyNumberFormat="1" applyFont="1" applyFill="1" applyBorder="1" applyAlignment="1" applyProtection="1">
      <alignment horizontal="center" vertical="center" wrapText="1"/>
      <protection locked="0"/>
    </xf>
    <xf numFmtId="0" fontId="98" fillId="11" borderId="102" xfId="0" applyNumberFormat="1" applyFont="1" applyFill="1" applyBorder="1" applyAlignment="1" applyProtection="1">
      <alignment horizontal="center" vertical="center" wrapText="1"/>
      <protection locked="0"/>
    </xf>
    <xf numFmtId="0" fontId="99" fillId="11" borderId="0" xfId="0" applyFont="1" applyFill="1" applyAlignment="1" applyProtection="1">
      <alignment horizontal="center" vertical="center" wrapText="1"/>
      <protection locked="0"/>
    </xf>
    <xf numFmtId="0" fontId="99" fillId="11" borderId="0" xfId="0" applyNumberFormat="1" applyFont="1" applyFill="1" applyAlignment="1" applyProtection="1">
      <alignment horizontal="center" vertical="center" wrapText="1"/>
      <protection locked="0"/>
    </xf>
    <xf numFmtId="0" fontId="98" fillId="11" borderId="153" xfId="0" applyFont="1" applyFill="1" applyBorder="1" applyAlignment="1" applyProtection="1">
      <alignment horizontal="center" vertical="center" wrapText="1"/>
      <protection locked="0"/>
    </xf>
    <xf numFmtId="0" fontId="99" fillId="11" borderId="0" xfId="0" applyNumberFormat="1" applyFont="1" applyFill="1" applyAlignment="1" applyProtection="1">
      <alignment horizontal="center" vertical="center"/>
      <protection locked="0"/>
    </xf>
    <xf numFmtId="0" fontId="99"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3"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86" fontId="23" fillId="3" borderId="5" xfId="9" applyNumberFormat="1" applyFont="1" applyFill="1" applyBorder="1" applyAlignment="1" applyProtection="1">
      <alignment horizontal="center" vertical="center"/>
      <protection locked="0"/>
    </xf>
    <xf numFmtId="185" fontId="42" fillId="2" borderId="6" xfId="9" applyNumberFormat="1" applyFont="1" applyFill="1" applyBorder="1" applyAlignment="1" applyProtection="1">
      <alignment horizontal="left" vertical="center" wrapText="1"/>
    </xf>
    <xf numFmtId="0" fontId="49" fillId="2" borderId="145" xfId="0" applyFont="1" applyFill="1" applyBorder="1" applyAlignment="1" applyProtection="1">
      <alignment vertical="center"/>
      <protection locked="0"/>
    </xf>
    <xf numFmtId="187" fontId="43" fillId="2" borderId="3" xfId="9" applyNumberFormat="1" applyFont="1" applyFill="1" applyBorder="1" applyAlignment="1" applyProtection="1">
      <alignment vertical="center" wrapText="1"/>
    </xf>
    <xf numFmtId="18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23" fillId="3" borderId="8" xfId="9" applyNumberFormat="1" applyFont="1" applyFill="1" applyBorder="1" applyAlignment="1" applyProtection="1">
      <alignment horizontal="center" vertical="center"/>
      <protection locked="0"/>
    </xf>
    <xf numFmtId="10" fontId="42" fillId="2" borderId="0" xfId="0" applyNumberFormat="1" applyFont="1" applyFill="1" applyAlignment="1" applyProtection="1">
      <alignment vertical="center"/>
      <protection locked="0"/>
    </xf>
    <xf numFmtId="187" fontId="43" fillId="2" borderId="6" xfId="9" applyNumberFormat="1" applyFont="1" applyFill="1" applyBorder="1" applyAlignment="1" applyProtection="1">
      <alignment vertical="center" wrapText="1"/>
    </xf>
    <xf numFmtId="187" fontId="42" fillId="0" borderId="8" xfId="9"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9" applyNumberFormat="1" applyFont="1" applyFill="1" applyBorder="1" applyAlignment="1" applyProtection="1">
      <alignment vertical="center" wrapText="1"/>
    </xf>
    <xf numFmtId="187" fontId="42" fillId="0" borderId="61" xfId="9"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7" fontId="43" fillId="2" borderId="9" xfId="9" applyNumberFormat="1" applyFont="1" applyFill="1" applyBorder="1" applyAlignment="1" applyProtection="1">
      <alignment vertical="center" wrapText="1"/>
    </xf>
    <xf numFmtId="187" fontId="43" fillId="2" borderId="11" xfId="9" applyNumberFormat="1" applyFont="1" applyFill="1" applyBorder="1" applyAlignment="1" applyProtection="1">
      <alignment horizontal="center" vertical="center"/>
    </xf>
    <xf numFmtId="187" fontId="42" fillId="2" borderId="6" xfId="9" applyNumberFormat="1" applyFont="1" applyFill="1" applyBorder="1" applyAlignment="1" applyProtection="1">
      <alignment vertical="center" wrapText="1"/>
    </xf>
    <xf numFmtId="187" fontId="43" fillId="2" borderId="5" xfId="9"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7" fontId="43" fillId="2" borderId="72" xfId="9"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1"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7"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7" fillId="0" borderId="0" xfId="12" applyFill="1">
      <alignment vertical="center"/>
    </xf>
    <xf numFmtId="0" fontId="112" fillId="0" borderId="0" xfId="12" applyFont="1">
      <alignment vertical="center"/>
    </xf>
    <xf numFmtId="0" fontId="113" fillId="0" borderId="0" xfId="12" applyFont="1">
      <alignment vertical="center"/>
    </xf>
    <xf numFmtId="0" fontId="107"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1" fontId="116" fillId="0" borderId="7" xfId="12" applyNumberFormat="1" applyFont="1" applyFill="1" applyBorder="1" applyAlignment="1">
      <alignment horizontal="right" vertical="center"/>
    </xf>
    <xf numFmtId="191" fontId="93" fillId="0" borderId="7" xfId="12" applyNumberFormat="1" applyFont="1" applyFill="1" applyBorder="1" applyAlignment="1">
      <alignment horizontal="right" vertical="center"/>
    </xf>
    <xf numFmtId="192" fontId="116" fillId="0" borderId="7" xfId="12" applyNumberFormat="1" applyFont="1" applyFill="1" applyBorder="1" applyAlignment="1">
      <alignment horizontal="right" vertical="center"/>
    </xf>
    <xf numFmtId="0" fontId="93" fillId="0" borderId="0" xfId="12" applyFont="1" applyFill="1">
      <alignment vertical="center"/>
    </xf>
    <xf numFmtId="191"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2"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2"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2" fontId="117" fillId="0" borderId="7" xfId="0" applyNumberFormat="1" applyFont="1" applyFill="1" applyBorder="1" applyAlignment="1">
      <alignment horizontal="right" vertical="center"/>
    </xf>
    <xf numFmtId="14" fontId="107" fillId="0" borderId="0" xfId="12"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8"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0"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3" fillId="0" borderId="0" xfId="0" applyNumberFormat="1" applyFont="1" applyAlignment="1">
      <alignment vertical="center"/>
    </xf>
    <xf numFmtId="182"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7" fillId="0" borderId="0" xfId="0" applyFont="1">
      <alignment vertical="center"/>
    </xf>
    <xf numFmtId="0" fontId="124" fillId="0" borderId="0" xfId="0" applyFont="1" applyProtection="1">
      <alignment vertical="center"/>
    </xf>
    <xf numFmtId="0" fontId="107"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7"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3" fillId="0" borderId="0" xfId="0" applyFont="1" applyAlignment="1">
      <alignment vertical="center" wrapText="1"/>
    </xf>
    <xf numFmtId="0" fontId="13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2"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1" fillId="0" borderId="0" xfId="2" applyFont="1" applyAlignment="1" applyProtection="1">
      <alignment horizontal="left" vertical="center"/>
    </xf>
    <xf numFmtId="0" fontId="127" fillId="0" borderId="0" xfId="2" applyFont="1" applyProtection="1">
      <alignment vertical="center"/>
    </xf>
    <xf numFmtId="0" fontId="10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7"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07"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07"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2" fontId="11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93"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8"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5" fontId="64" fillId="2" borderId="53" xfId="0" applyNumberFormat="1" applyFont="1" applyFill="1" applyBorder="1" applyAlignment="1" applyProtection="1">
      <alignment horizontal="left" vertical="center" wrapText="1"/>
    </xf>
    <xf numFmtId="185" fontId="64" fillId="2" borderId="79" xfId="0" applyNumberFormat="1" applyFont="1" applyFill="1" applyBorder="1" applyAlignment="1" applyProtection="1">
      <alignment horizontal="left" vertical="center" wrapText="1"/>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1" fillId="2" borderId="6" xfId="0" applyFont="1" applyFill="1" applyBorder="1" applyAlignment="1" applyProtection="1">
      <alignment vertical="center" wrapText="1"/>
    </xf>
    <xf numFmtId="0" fontId="91"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3" xfId="0" applyNumberFormat="1" applyFont="1" applyFill="1" applyBorder="1" applyAlignment="1" applyProtection="1">
      <alignment horizontal="center" vertical="center" shrinkToFi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13"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7" fillId="2" borderId="18" xfId="0" applyFont="1" applyFill="1" applyBorder="1" applyAlignment="1" applyProtection="1">
      <alignment horizontal="center" vertical="center"/>
    </xf>
    <xf numFmtId="0" fontId="17" fillId="11" borderId="7"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2"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100" fillId="11"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191" fontId="100" fillId="11"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91" fillId="0" borderId="6" xfId="0" applyFont="1" applyFill="1" applyBorder="1" applyAlignment="1" applyProtection="1">
      <alignment vertical="center" wrapText="1"/>
      <protection locked="0"/>
    </xf>
    <xf numFmtId="0" fontId="91"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96" fillId="2" borderId="0" xfId="0" applyFont="1" applyFill="1" applyAlignment="1" applyProtection="1">
      <alignment horizontal="center" vertical="center"/>
    </xf>
    <xf numFmtId="0" fontId="96" fillId="2" borderId="146" xfId="0" applyFont="1" applyFill="1" applyBorder="1" applyAlignment="1" applyProtection="1">
      <alignment horizontal="center" vertical="center"/>
    </xf>
    <xf numFmtId="0" fontId="100"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80"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140" cy="4325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43625" cy="3058160"/>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245860"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浙江省杭州市房地产市场价值预评估</v>
      </c>
    </row>
    <row r="3" spans="1:2" s="2729" customFormat="1">
      <c r="A3" s="2737" t="s">
        <v>3</v>
      </c>
      <c r="B3" s="2738" t="str">
        <f>'预评函-封皮'!B12</f>
        <v>中粮粮油浙江有限公司</v>
      </c>
    </row>
    <row r="4" spans="1:2" s="2729" customFormat="1">
      <c r="A4" s="2737" t="s">
        <v>4</v>
      </c>
      <c r="B4" s="2738" t="str">
        <f ca="1">'预评函-封皮'!B18</f>
        <v>吴薇（注册号:1419970001）、崔锴（注册号:1120100036)</v>
      </c>
    </row>
    <row r="5" spans="1:2" s="2728" customFormat="1">
      <c r="A5" s="2739" t="s">
        <v>5</v>
      </c>
      <c r="B5" s="2740" t="str">
        <f>'预评函-封皮'!B21</f>
        <v>康正预评字号</v>
      </c>
    </row>
    <row r="6" spans="1:2" s="2729" customFormat="1">
      <c r="A6" s="2737" t="s">
        <v>6</v>
      </c>
      <c r="B6" s="2736" t="str">
        <f>'预评函-1'!A4</f>
        <v>受贵公司委托，我公司对浙江省杭州市房地产进行了预评估。</v>
      </c>
    </row>
    <row r="7" spans="1:2">
      <c r="A7" s="2737" t="s">
        <v>7</v>
      </c>
      <c r="B7" s="274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2737" t="s">
        <v>8</v>
      </c>
      <c r="B8" s="2741" t="str">
        <f>'预评函-1'!A8</f>
        <v>为估价委托人了解估价对象房地产市场价值提供参考依据。</v>
      </c>
    </row>
    <row r="9" spans="1:2">
      <c r="A9" s="2737" t="s">
        <v>9</v>
      </c>
      <c r="B9" s="2741" t="str">
        <f>'预评函-1'!A10</f>
        <v>2019年8月18日</v>
      </c>
    </row>
    <row r="10" spans="1:2">
      <c r="A10" s="2737" t="s">
        <v>10</v>
      </c>
      <c r="B10" s="2741" t="str">
        <f>'预评函-1'!A13</f>
        <v>本次估价的“房地产价值”是指在正常市场情况下，在价值时点2019年8月18日，估价对象规划用途为住宅，假定未设立法定优先受偿款下的房地产市场价值。</v>
      </c>
    </row>
    <row r="11" spans="1:2">
      <c r="A11" s="2737" t="s">
        <v>11</v>
      </c>
      <c r="B11" s="2741"/>
    </row>
    <row r="12" spans="1:2">
      <c r="A12" s="2737" t="s">
        <v>12</v>
      </c>
      <c r="B12" s="2741" t="str">
        <f>'预评函-1'!A14</f>
        <v>——</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v>
      </c>
    </row>
    <row r="15" spans="1:2" s="2728" customFormat="1">
      <c r="A15" s="2739" t="s">
        <v>15</v>
      </c>
      <c r="B15" s="2742" t="str">
        <f>'预评函-1'!A18</f>
        <v>本次评估采用的主估价方法为比较法和收益法。</v>
      </c>
    </row>
    <row r="16" spans="1:2">
      <c r="A16" s="2735" t="s">
        <v>16</v>
      </c>
      <c r="B16" s="27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7" t="s">
        <v>17</v>
      </c>
      <c r="B17" s="2741" t="str">
        <f>'预评函-2（1）'!B6</f>
        <v>浙江省杭州市房地产</v>
      </c>
    </row>
    <row r="18" spans="1:2">
      <c r="A18" s="2737" t="s">
        <v>18</v>
      </c>
      <c r="B18" s="2741">
        <f>'预评函-2（1）'!C6</f>
        <v>54.92</v>
      </c>
    </row>
    <row r="19" spans="1:2">
      <c r="A19" s="2737" t="s">
        <v>19</v>
      </c>
      <c r="B19" s="2741">
        <f ca="1">'预评函-2（1）'!D7</f>
        <v>3255383</v>
      </c>
    </row>
    <row r="20" spans="1:2">
      <c r="A20" s="2737" t="s">
        <v>20</v>
      </c>
      <c r="B20" s="2741" t="str">
        <f>'预评函-2（1）'!C7</f>
        <v>总价（元）</v>
      </c>
    </row>
    <row r="21" spans="1:2">
      <c r="A21" s="2737" t="s">
        <v>21</v>
      </c>
      <c r="B21" s="2741">
        <f ca="1">'预评函-2（1）'!D9</f>
        <v>59275</v>
      </c>
    </row>
    <row r="22" spans="1:2">
      <c r="A22" s="2737" t="s">
        <v>22</v>
      </c>
      <c r="B22" s="2741" t="str">
        <f ca="1">'预评函-2（1）'!D8</f>
        <v>叁佰贰拾伍万伍仟叁佰捌拾叁元整</v>
      </c>
    </row>
    <row r="23" spans="1:2">
      <c r="A23" s="2737" t="s">
        <v>23</v>
      </c>
      <c r="B23" s="2741">
        <f>'预评函-2（1）'!D10</f>
        <v>0</v>
      </c>
    </row>
    <row r="24" spans="1:2">
      <c r="A24" s="2737" t="s">
        <v>24</v>
      </c>
      <c r="B24" s="2741" t="str">
        <f>'预评函-2（1）'!C10</f>
        <v>总额（元）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3255383</v>
      </c>
    </row>
    <row r="30" spans="1:2">
      <c r="A30" s="2737" t="s">
        <v>30</v>
      </c>
      <c r="B30" s="2741" t="str">
        <f ca="1">'预评函-2（1）'!D16</f>
        <v>叁佰贰拾伍万伍仟叁佰捌拾叁元整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f ca="1">'预评函-2（2）'!D4</f>
        <v>2848481</v>
      </c>
    </row>
    <row r="38" spans="1:2">
      <c r="A38" s="2737" t="s">
        <v>38</v>
      </c>
      <c r="B38" s="2741">
        <f ca="1">'预评函-2（2）'!E4</f>
        <v>51866</v>
      </c>
    </row>
    <row r="39" spans="1:2">
      <c r="A39" s="2737" t="s">
        <v>39</v>
      </c>
      <c r="B39" s="2741" t="str">
        <f ca="1">'预评函-2（2）'!D5</f>
        <v>贰佰捌拾肆万捌仟肆佰捌拾壹元整</v>
      </c>
    </row>
    <row r="40" spans="1:2">
      <c r="A40" s="2737" t="s">
        <v>40</v>
      </c>
      <c r="B40" s="2741">
        <f ca="1">'预评函-2（2）'!F4</f>
        <v>406902</v>
      </c>
    </row>
    <row r="41" spans="1:2">
      <c r="A41" s="2737" t="s">
        <v>41</v>
      </c>
      <c r="B41" s="2741">
        <f ca="1">'预评函-2（2）'!G4</f>
        <v>7409</v>
      </c>
    </row>
    <row r="42" spans="1:2" s="2728" customFormat="1">
      <c r="A42" s="2739" t="s">
        <v>42</v>
      </c>
      <c r="B42" s="2743" t="str">
        <f ca="1">'预评函-2（2）'!F5</f>
        <v>肆拾万陆仟玖佰零贰元整</v>
      </c>
    </row>
    <row r="43" spans="1:2">
      <c r="A43" s="2735" t="s">
        <v>43</v>
      </c>
      <c r="B43" s="2744" t="str">
        <f>'预评函-3'!A13</f>
        <v>2.本次评估设定估价对象房地产权属无争议，未被查封或者以其他形式限制其房地产权利，未设定抵押权等他项权利，不涉及第三方权利义务。</v>
      </c>
    </row>
    <row r="44" spans="1:2">
      <c r="A44" s="2737" t="s">
        <v>44</v>
      </c>
      <c r="B44" s="2741" t="str">
        <f>'预评函-3'!A14</f>
        <v>——</v>
      </c>
    </row>
    <row r="45" spans="1:2">
      <c r="A45" s="2737" t="s">
        <v>45</v>
      </c>
      <c r="B45" s="2741" t="str">
        <f>'预评函-3'!A15</f>
        <v>——</v>
      </c>
    </row>
    <row r="46" spans="1:2">
      <c r="A46" s="2737" t="s">
        <v>46</v>
      </c>
      <c r="B46" s="2741" t="str">
        <f>'预评函-3'!A16</f>
        <v>——</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v>
      </c>
    </row>
    <row r="49" spans="1:2">
      <c r="A49" s="2737" t="s">
        <v>49</v>
      </c>
      <c r="B49" s="27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t="str">
        <f>'预评函-3'!A4</f>
        <v>吴薇</v>
      </c>
    </row>
    <row r="53" spans="1:2">
      <c r="A53" s="2737" t="s">
        <v>53</v>
      </c>
      <c r="B53" s="2741">
        <f ca="1">'预评函-3'!B4</f>
        <v>1419970001</v>
      </c>
    </row>
    <row r="54" spans="1:2">
      <c r="A54" s="2737" t="s">
        <v>54</v>
      </c>
      <c r="B54" s="2747" t="str">
        <f>'预评函-3'!A5</f>
        <v>崔锴</v>
      </c>
    </row>
    <row r="55" spans="1:2" s="2728" customFormat="1">
      <c r="A55" s="2739" t="s">
        <v>55</v>
      </c>
      <c r="B55" s="2743">
        <f ca="1">'预评函-3'!B5</f>
        <v>1120100036</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单位：元、元/平方米（单位：人民币）</v>
      </c>
    </row>
    <row r="60" spans="1:2">
      <c r="A60" s="2748" t="s">
        <v>60</v>
      </c>
      <c r="B60" s="2741" t="str">
        <f>'预评函-2（2）'!D2</f>
        <v>出让国有建设用地使用权价值</v>
      </c>
    </row>
    <row r="61" spans="1:2" s="2729" customFormat="1">
      <c r="A61" s="2748" t="s">
        <v>61</v>
      </c>
      <c r="B61" s="2741" t="str">
        <f>'预评函-2（2）'!A14</f>
        <v>单位：平方米、元、元/平方米（币种：人民币）</v>
      </c>
    </row>
    <row r="62" spans="1:2" ht="28.5">
      <c r="A62" s="2748" t="s">
        <v>62</v>
      </c>
      <c r="B62" s="2741">
        <f ca="1">'预评函-2（1）'!D38</f>
        <v>59275</v>
      </c>
    </row>
    <row r="63" spans="1:2" s="2729" customFormat="1" ht="28.5">
      <c r="A63" s="2748" t="s">
        <v>63</v>
      </c>
      <c r="B63" s="2741" t="str">
        <f>'预评函-2（1）'!D41</f>
        <v>——</v>
      </c>
    </row>
    <row r="64" spans="1:2">
      <c r="A64" s="2748" t="s">
        <v>64</v>
      </c>
      <c r="B64" s="2741" t="str">
        <f>'预评函-2（2）'!A6</f>
        <v>——</v>
      </c>
    </row>
    <row r="65" spans="1:2">
      <c r="A65" s="2748" t="s">
        <v>65</v>
      </c>
      <c r="B65" s="2741" t="str">
        <f>'预评函-2（2）'!A8</f>
        <v>——</v>
      </c>
    </row>
    <row r="66" spans="1:2">
      <c r="A66" s="2748" t="s">
        <v>66</v>
      </c>
      <c r="B66" s="2741" t="str">
        <f>'预评函-2（2）'!A10</f>
        <v>——</v>
      </c>
    </row>
    <row r="67" spans="1:2" s="2728" customFormat="1">
      <c r="A67" s="2749" t="s">
        <v>67</v>
      </c>
      <c r="B67" s="2742" t="str">
        <f>'预评函-2（2）'!A12</f>
        <v>——</v>
      </c>
    </row>
    <row r="68" spans="1:2">
      <c r="A68" s="2730" t="s">
        <v>68</v>
      </c>
      <c r="B68" s="2731" t="str">
        <f>'预评函-3'!A9</f>
        <v>XX</v>
      </c>
    </row>
    <row r="69" spans="1:2">
      <c r="A69" s="2737" t="s">
        <v>69</v>
      </c>
    </row>
    <row r="70" spans="1:2">
      <c r="A70" s="2737"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35" sqref="L35"/>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332</v>
      </c>
      <c r="B1" s="2461" t="str">
        <f>IF(B6="北京市","北京市",C6)&amp;IF(E12="房屋所有权证",B28,E28)&amp;D5&amp;"预评估"</f>
        <v>浙江省杭州市房地产市场价值预评估</v>
      </c>
      <c r="C1" s="2462"/>
      <c r="D1" s="2463"/>
      <c r="E1" s="2462"/>
      <c r="F1" s="2464" t="s">
        <v>333</v>
      </c>
      <c r="G1" s="2465"/>
      <c r="I1" s="2456" t="str">
        <f>IF(B6="北京市","北京市",C6)&amp;IF(E12="房屋所有权证",B28,E28)&amp;"房地产"</f>
        <v>浙江省杭州市房地产</v>
      </c>
    </row>
    <row r="2" spans="1:10">
      <c r="A2" s="2466" t="s">
        <v>334</v>
      </c>
      <c r="B2" s="2467"/>
      <c r="C2" s="2468" t="s">
        <v>335</v>
      </c>
      <c r="D2" s="2467">
        <v>43695</v>
      </c>
      <c r="E2" s="2469"/>
      <c r="F2" s="2469"/>
      <c r="G2" s="2470"/>
      <c r="H2" s="2456"/>
    </row>
    <row r="3" spans="1:10">
      <c r="A3" s="2471" t="s">
        <v>336</v>
      </c>
      <c r="B3" s="2472" t="s">
        <v>176</v>
      </c>
      <c r="C3" s="2473">
        <f ca="1">SUMIF(注册房地产估价师,B3,估价师及机构信息!B3:B24)</f>
        <v>1419970001</v>
      </c>
      <c r="D3" s="2472" t="s">
        <v>178</v>
      </c>
      <c r="E3" s="2474">
        <f ca="1">SUMIF(注册房地产估价师,D3,估价师及机构信息!B3:B24)</f>
        <v>1120100036</v>
      </c>
      <c r="F3" s="2475"/>
      <c r="G3" s="2476"/>
      <c r="H3" s="2456"/>
    </row>
    <row r="4" spans="1:10" ht="13.5" customHeight="1">
      <c r="A4" s="2477" t="s">
        <v>337</v>
      </c>
      <c r="B4" s="2478" t="str">
        <f>D7</f>
        <v>中粮粮油浙江有限公司</v>
      </c>
      <c r="C4" s="2479" t="s">
        <v>338</v>
      </c>
      <c r="D4" s="2480" t="s">
        <v>339</v>
      </c>
      <c r="E4" s="2469"/>
      <c r="F4" s="2469"/>
      <c r="G4" s="2470"/>
    </row>
    <row r="5" spans="1:10">
      <c r="A5" s="2481" t="s">
        <v>340</v>
      </c>
      <c r="B5" s="2482"/>
      <c r="C5" s="1613" t="s">
        <v>341</v>
      </c>
      <c r="D5" s="2483" t="s">
        <v>342</v>
      </c>
      <c r="E5" s="2484" t="s">
        <v>343</v>
      </c>
      <c r="F5" s="2485"/>
      <c r="G5" s="2486"/>
      <c r="I5" s="2456" t="str">
        <f>IF(C16="否","截至估价时点，估价对象抵押权未见登记。","截至价值时点，估价对象已设定抵押。")</f>
        <v>截至估价时点，估价对象抵押权未见登记。</v>
      </c>
    </row>
    <row r="6" spans="1:10">
      <c r="A6" s="2487" t="s">
        <v>344</v>
      </c>
      <c r="B6" s="1627" t="s">
        <v>345</v>
      </c>
      <c r="C6" s="2488" t="s">
        <v>346</v>
      </c>
      <c r="D6" s="2489" t="s">
        <v>347</v>
      </c>
      <c r="E6" s="2075"/>
      <c r="F6" s="2490"/>
      <c r="G6" s="2491"/>
      <c r="I6" s="2458" t="str">
        <f>IF(COUNTIF(B5,"*上海银行*"),"上海银行","")</f>
        <v/>
      </c>
    </row>
    <row r="7" spans="1:10" ht="24.75">
      <c r="A7" s="2471" t="s">
        <v>348</v>
      </c>
      <c r="B7" s="2492" t="s">
        <v>349</v>
      </c>
      <c r="C7" s="2493" t="str">
        <f>IF(B7="自然人","姓名","名称")</f>
        <v>名称</v>
      </c>
      <c r="D7" s="2494" t="s">
        <v>350</v>
      </c>
      <c r="E7" s="2495"/>
      <c r="F7" s="2475"/>
      <c r="G7" s="2476"/>
    </row>
    <row r="8" spans="1:10">
      <c r="A8" s="2810" t="s">
        <v>351</v>
      </c>
      <c r="B8" s="2497" t="s">
        <v>352</v>
      </c>
      <c r="C8" s="2823"/>
      <c r="D8" s="2824"/>
      <c r="E8" s="2498" t="s">
        <v>353</v>
      </c>
      <c r="F8" s="2499" t="s">
        <v>354</v>
      </c>
      <c r="G8" s="2500" t="str">
        <f>C6</f>
        <v>浙江省杭州市</v>
      </c>
    </row>
    <row r="9" spans="1:10" ht="25.5">
      <c r="A9" s="2810"/>
      <c r="B9" s="1612" t="s">
        <v>355</v>
      </c>
      <c r="C9" s="2482"/>
      <c r="D9" s="2501" t="s">
        <v>356</v>
      </c>
      <c r="E9" s="2502" t="s">
        <v>357</v>
      </c>
      <c r="F9" s="2503"/>
      <c r="G9" s="2504"/>
    </row>
    <row r="10" spans="1:10">
      <c r="A10" s="2810"/>
      <c r="B10" s="1612" t="s">
        <v>358</v>
      </c>
      <c r="C10" s="2825"/>
      <c r="D10" s="2826"/>
      <c r="E10" s="2506" t="s">
        <v>359</v>
      </c>
      <c r="F10" s="2507"/>
      <c r="G10" s="2508"/>
    </row>
    <row r="11" spans="1:10">
      <c r="A11" s="2810"/>
      <c r="B11" s="1568" t="s">
        <v>360</v>
      </c>
      <c r="C11" s="2827"/>
      <c r="D11" s="2828"/>
      <c r="E11" s="2075"/>
      <c r="F11" s="2490"/>
      <c r="G11" s="2491"/>
    </row>
    <row r="12" spans="1:10" ht="24">
      <c r="A12" s="2811" t="s">
        <v>361</v>
      </c>
      <c r="B12" s="2509" t="s">
        <v>362</v>
      </c>
      <c r="C12" s="2510">
        <v>54.92</v>
      </c>
      <c r="D12" s="2509" t="s">
        <v>363</v>
      </c>
      <c r="E12" s="2511" t="s">
        <v>364</v>
      </c>
      <c r="F12" s="2512" t="s">
        <v>365</v>
      </c>
      <c r="G12" s="2491"/>
    </row>
    <row r="13" spans="1:10" ht="21" customHeight="1">
      <c r="A13" s="2812"/>
      <c r="B13" s="2513" t="s">
        <v>366</v>
      </c>
      <c r="C13" s="2514"/>
      <c r="D13" s="2513" t="s">
        <v>363</v>
      </c>
      <c r="E13" s="2515" t="s">
        <v>364</v>
      </c>
      <c r="F13" s="2490"/>
      <c r="G13" s="2491"/>
      <c r="I13" s="2801" t="s">
        <v>367</v>
      </c>
      <c r="J13" s="258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6"/>
      <c r="B14" s="2517" t="s">
        <v>368</v>
      </c>
      <c r="C14" s="2518" t="s">
        <v>369</v>
      </c>
      <c r="D14" s="2490"/>
      <c r="E14" s="2490"/>
      <c r="F14" s="2490"/>
      <c r="G14" s="2491"/>
      <c r="I14" s="2801"/>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370</v>
      </c>
      <c r="C15" s="2521"/>
      <c r="D15" s="2475"/>
      <c r="E15" s="2475"/>
      <c r="F15" s="2475"/>
      <c r="G15" s="2476"/>
      <c r="I15" s="2801"/>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371</v>
      </c>
      <c r="B16" s="2522" t="s">
        <v>372</v>
      </c>
      <c r="C16" s="2523" t="s">
        <v>373</v>
      </c>
      <c r="D16" s="2524" t="s">
        <v>374</v>
      </c>
      <c r="E16" s="2525" t="s">
        <v>121</v>
      </c>
      <c r="F16" s="2526" t="str">
        <f>IF(AND(C16="是",E16="否"),"是否提供他项权证或相关说明","")</f>
        <v/>
      </c>
      <c r="G16" s="2525" t="s">
        <v>121</v>
      </c>
      <c r="I16" s="2457"/>
      <c r="J16" s="2456"/>
    </row>
    <row r="17" spans="1:15" ht="13.5" customHeight="1">
      <c r="A17" s="2527" t="s">
        <v>375</v>
      </c>
      <c r="B17" s="2829" t="s">
        <v>376</v>
      </c>
      <c r="C17" s="2830"/>
      <c r="D17" s="2831" t="s">
        <v>377</v>
      </c>
      <c r="E17" s="2832"/>
      <c r="F17" s="2528" t="s">
        <v>378</v>
      </c>
      <c r="G17" s="2529"/>
      <c r="J17" s="2456"/>
    </row>
    <row r="18" spans="1:15" ht="24">
      <c r="A18" s="2527"/>
      <c r="B18" s="2530" t="s">
        <v>379</v>
      </c>
      <c r="C18" s="2486" t="s">
        <v>380</v>
      </c>
      <c r="D18" s="2531" t="s">
        <v>381</v>
      </c>
      <c r="E18" s="2532" t="s">
        <v>382</v>
      </c>
      <c r="F18" s="2533"/>
      <c r="G18" s="2534"/>
      <c r="H18" s="2456"/>
      <c r="J18" s="2456"/>
    </row>
    <row r="19" spans="1:15" ht="21.75" customHeight="1">
      <c r="A19" s="2527"/>
      <c r="B19" s="2535"/>
      <c r="C19" s="2515"/>
      <c r="D19" s="2536"/>
      <c r="E19" s="2490"/>
      <c r="F19" s="2490"/>
      <c r="G19" s="2534"/>
    </row>
    <row r="20" spans="1:15">
      <c r="A20" s="2537" t="s">
        <v>383</v>
      </c>
      <c r="B20" s="2538" t="s">
        <v>384</v>
      </c>
      <c r="C20" s="2539"/>
      <c r="D20" s="2540" t="s">
        <v>384</v>
      </c>
      <c r="E20" s="2539"/>
      <c r="F20" s="2490"/>
      <c r="G20" s="2534"/>
    </row>
    <row r="21" spans="1:15">
      <c r="A21" s="2541"/>
      <c r="B21" s="2542" t="s">
        <v>385</v>
      </c>
      <c r="C21" s="2505"/>
      <c r="D21" s="2527" t="s">
        <v>385</v>
      </c>
      <c r="E21" s="2543"/>
      <c r="F21" s="2490"/>
      <c r="G21" s="2534"/>
    </row>
    <row r="22" spans="1:15">
      <c r="A22" s="2541"/>
      <c r="B22" s="2544" t="s">
        <v>386</v>
      </c>
      <c r="C22" s="2545"/>
      <c r="D22" s="2544" t="s">
        <v>386</v>
      </c>
      <c r="E22" s="2543"/>
      <c r="F22" s="2490"/>
      <c r="G22" s="2534"/>
    </row>
    <row r="23" spans="1:15" s="2454" customFormat="1" ht="20.25">
      <c r="A23" s="2546"/>
      <c r="B23" s="2547" t="s">
        <v>387</v>
      </c>
      <c r="C23" s="2548"/>
      <c r="D23" s="2547" t="s">
        <v>387</v>
      </c>
      <c r="E23" s="2549"/>
      <c r="F23" s="2490"/>
      <c r="G23" s="2534"/>
      <c r="H23" s="2550"/>
      <c r="I23" s="2586"/>
      <c r="K23" s="2588"/>
      <c r="L23" s="2588"/>
      <c r="M23" s="2588"/>
      <c r="O23" s="2586"/>
    </row>
    <row r="24" spans="1:15">
      <c r="A24" s="2551" t="s">
        <v>388</v>
      </c>
      <c r="B24" s="2490"/>
      <c r="C24" s="2490"/>
      <c r="D24" s="2490"/>
      <c r="E24" s="2490"/>
      <c r="F24" s="2490"/>
      <c r="G24" s="2552"/>
      <c r="I24" s="2457"/>
      <c r="K24" s="2457"/>
    </row>
    <row r="25" spans="1:15" s="2455" customFormat="1">
      <c r="A25" s="2553"/>
      <c r="B25" s="2554" t="s">
        <v>389</v>
      </c>
      <c r="C25" s="2553"/>
      <c r="D25" s="2555"/>
      <c r="E25" s="2556" t="s">
        <v>390</v>
      </c>
      <c r="F25" s="2553"/>
      <c r="G25" s="2557" t="s">
        <v>391</v>
      </c>
      <c r="L25" s="2589"/>
      <c r="M25" s="2589"/>
      <c r="O25" s="2590"/>
    </row>
    <row r="26" spans="1:15" s="2455" customFormat="1">
      <c r="A26" s="2553"/>
      <c r="B26" s="2558"/>
      <c r="C26" s="2553"/>
      <c r="D26" s="2555"/>
      <c r="E26" s="2558"/>
      <c r="F26" s="2553"/>
      <c r="G26" s="2559"/>
      <c r="L26" s="2589"/>
      <c r="M26" s="2589"/>
      <c r="O26" s="2590"/>
    </row>
    <row r="27" spans="1:15">
      <c r="A27" s="2560" t="s">
        <v>392</v>
      </c>
      <c r="B27" s="2561"/>
      <c r="C27" s="2817" t="s">
        <v>392</v>
      </c>
      <c r="D27" s="2818"/>
      <c r="E27" s="2561"/>
      <c r="F27" s="2563" t="s">
        <v>392</v>
      </c>
      <c r="G27" s="2561"/>
      <c r="I27" s="2457"/>
      <c r="K27" s="2457"/>
    </row>
    <row r="28" spans="1:15">
      <c r="A28" s="2564" t="s">
        <v>393</v>
      </c>
      <c r="B28" s="2565"/>
      <c r="C28" s="2819" t="s">
        <v>394</v>
      </c>
      <c r="D28" s="2820"/>
      <c r="E28" s="2565"/>
      <c r="F28" s="2071" t="s">
        <v>394</v>
      </c>
      <c r="G28" s="2565"/>
      <c r="I28" s="2457"/>
      <c r="K28" s="2457"/>
    </row>
    <row r="29" spans="1:15">
      <c r="A29" s="2564" t="s">
        <v>395</v>
      </c>
      <c r="B29" s="2565"/>
      <c r="C29" s="2819" t="s">
        <v>395</v>
      </c>
      <c r="D29" s="2820"/>
      <c r="E29" s="2565"/>
      <c r="F29" s="2071" t="s">
        <v>396</v>
      </c>
      <c r="G29" s="2565"/>
      <c r="I29" s="2457"/>
      <c r="K29" s="2457"/>
    </row>
    <row r="30" spans="1:15">
      <c r="A30" s="2564" t="s">
        <v>397</v>
      </c>
      <c r="B30" s="2565"/>
      <c r="C30" s="2813" t="s">
        <v>398</v>
      </c>
      <c r="D30" s="2082"/>
      <c r="E30" s="2566" t="str">
        <f>E31&amp;" "&amp;E32&amp;" "&amp;E33&amp;" "&amp;E34</f>
        <v/>
      </c>
      <c r="F30" s="2071" t="s">
        <v>399</v>
      </c>
      <c r="G30" s="2565"/>
    </row>
    <row r="31" spans="1:15">
      <c r="A31" s="2564" t="s">
        <v>400</v>
      </c>
      <c r="B31" s="2565"/>
      <c r="C31" s="2814"/>
      <c r="D31" s="1624" t="s">
        <v>401</v>
      </c>
      <c r="E31" s="2565"/>
      <c r="F31" s="2071" t="s">
        <v>402</v>
      </c>
      <c r="G31" s="2565"/>
    </row>
    <row r="32" spans="1:15" ht="24">
      <c r="A32" s="2567" t="s">
        <v>403</v>
      </c>
      <c r="B32" s="2568"/>
      <c r="C32" s="2814"/>
      <c r="D32" s="1624" t="s">
        <v>404</v>
      </c>
      <c r="E32" s="2565"/>
      <c r="F32" s="2071" t="s">
        <v>405</v>
      </c>
      <c r="G32" s="2565"/>
    </row>
    <row r="33" spans="1:7">
      <c r="A33" s="2560" t="s">
        <v>406</v>
      </c>
      <c r="B33" s="2561"/>
      <c r="C33" s="2814"/>
      <c r="D33" s="1624" t="s">
        <v>407</v>
      </c>
      <c r="E33" s="2565"/>
      <c r="F33" s="2071" t="s">
        <v>408</v>
      </c>
      <c r="G33" s="2565"/>
    </row>
    <row r="34" spans="1:7">
      <c r="A34" s="2564" t="s">
        <v>409</v>
      </c>
      <c r="B34" s="2565"/>
      <c r="C34" s="2815"/>
      <c r="D34" s="1624" t="s">
        <v>410</v>
      </c>
      <c r="E34" s="2565"/>
      <c r="F34" s="2076" t="s">
        <v>411</v>
      </c>
      <c r="G34" s="2569"/>
    </row>
    <row r="35" spans="1:7">
      <c r="A35" s="2564" t="s">
        <v>362</v>
      </c>
      <c r="B35" s="2565"/>
      <c r="C35" s="2819" t="s">
        <v>412</v>
      </c>
      <c r="D35" s="2820"/>
      <c r="E35" s="2565"/>
      <c r="F35" s="2562" t="s">
        <v>413</v>
      </c>
      <c r="G35" s="2561"/>
    </row>
    <row r="36" spans="1:7">
      <c r="A36" s="2564" t="s">
        <v>414</v>
      </c>
      <c r="B36" s="2565"/>
      <c r="C36" s="2821" t="s">
        <v>415</v>
      </c>
      <c r="D36" s="2822"/>
      <c r="E36" s="2568"/>
      <c r="F36" s="2069" t="s">
        <v>416</v>
      </c>
      <c r="G36" s="2565"/>
    </row>
    <row r="37" spans="1:7">
      <c r="A37" s="2564" t="s">
        <v>417</v>
      </c>
      <c r="B37" s="2565"/>
      <c r="C37" s="2806" t="s">
        <v>418</v>
      </c>
      <c r="D37" s="2570" t="s">
        <v>402</v>
      </c>
      <c r="E37" s="2561"/>
      <c r="F37" s="2076" t="s">
        <v>419</v>
      </c>
      <c r="G37" s="2568"/>
    </row>
    <row r="38" spans="1:7">
      <c r="A38" s="2564" t="s">
        <v>420</v>
      </c>
      <c r="B38" s="2565"/>
      <c r="C38" s="2816"/>
      <c r="D38" s="1624" t="s">
        <v>409</v>
      </c>
      <c r="E38" s="2565"/>
      <c r="F38" s="2563" t="s">
        <v>421</v>
      </c>
      <c r="G38" s="2561"/>
    </row>
    <row r="39" spans="1:7">
      <c r="A39" s="2564" t="s">
        <v>422</v>
      </c>
      <c r="B39" s="2565"/>
      <c r="C39" s="2816" t="s">
        <v>423</v>
      </c>
      <c r="D39" s="1624" t="s">
        <v>362</v>
      </c>
      <c r="E39" s="2565"/>
      <c r="F39" s="2071" t="s">
        <v>424</v>
      </c>
      <c r="G39" s="2565"/>
    </row>
    <row r="40" spans="1:7" ht="24.75" customHeight="1">
      <c r="A40" s="2567" t="s">
        <v>425</v>
      </c>
      <c r="B40" s="2568"/>
      <c r="C40" s="2808"/>
      <c r="D40" s="2077" t="s">
        <v>366</v>
      </c>
      <c r="E40" s="2568"/>
      <c r="F40" s="2076" t="s">
        <v>426</v>
      </c>
      <c r="G40" s="2568"/>
    </row>
    <row r="41" spans="1:7">
      <c r="A41" s="2502" t="s">
        <v>427</v>
      </c>
      <c r="B41" s="2571"/>
      <c r="C41" s="2802" t="s">
        <v>427</v>
      </c>
      <c r="D41" s="2803"/>
      <c r="E41" s="2571"/>
      <c r="F41" s="2563" t="s">
        <v>428</v>
      </c>
      <c r="G41" s="2571"/>
    </row>
    <row r="42" spans="1:7">
      <c r="A42" s="2572" t="s">
        <v>429</v>
      </c>
      <c r="B42" s="2573"/>
      <c r="C42" s="2574"/>
      <c r="D42" s="2575"/>
      <c r="E42" s="2573"/>
      <c r="F42" s="2496"/>
      <c r="G42" s="2573"/>
    </row>
    <row r="43" spans="1:7">
      <c r="A43" s="2061" t="s">
        <v>384</v>
      </c>
      <c r="B43" s="2576"/>
      <c r="C43" s="2574"/>
      <c r="D43" s="2577" t="s">
        <v>384</v>
      </c>
      <c r="E43" s="2576"/>
      <c r="F43" s="2061" t="s">
        <v>384</v>
      </c>
      <c r="G43" s="2576"/>
    </row>
    <row r="44" spans="1:7">
      <c r="A44" s="2061" t="s">
        <v>385</v>
      </c>
      <c r="B44" s="2576"/>
      <c r="C44" s="2574"/>
      <c r="D44" s="2542" t="s">
        <v>385</v>
      </c>
      <c r="E44" s="2576"/>
      <c r="F44" s="2061" t="s">
        <v>385</v>
      </c>
      <c r="G44" s="2576"/>
    </row>
    <row r="45" spans="1:7">
      <c r="A45" s="2061" t="s">
        <v>386</v>
      </c>
      <c r="B45" s="2576"/>
      <c r="C45" s="2574"/>
      <c r="D45" s="2542" t="s">
        <v>386</v>
      </c>
      <c r="E45" s="2576"/>
      <c r="F45" s="2061" t="s">
        <v>386</v>
      </c>
      <c r="G45" s="2576"/>
    </row>
    <row r="46" spans="1:7">
      <c r="A46" s="2061" t="s">
        <v>387</v>
      </c>
      <c r="B46" s="2576"/>
      <c r="C46" s="2574"/>
      <c r="D46" s="2542" t="s">
        <v>387</v>
      </c>
      <c r="E46" s="2576"/>
      <c r="F46" s="2061" t="s">
        <v>387</v>
      </c>
      <c r="G46" s="2576"/>
    </row>
    <row r="47" spans="1:7">
      <c r="A47" s="2572"/>
      <c r="B47" s="2576"/>
      <c r="C47" s="2574"/>
      <c r="D47" s="2575"/>
      <c r="E47" s="2576"/>
      <c r="F47" s="2496"/>
      <c r="G47" s="2576"/>
    </row>
    <row r="48" spans="1:7">
      <c r="A48" s="2567" t="s">
        <v>430</v>
      </c>
      <c r="B48" s="2568"/>
      <c r="C48" s="2804" t="s">
        <v>430</v>
      </c>
      <c r="D48" s="2805"/>
      <c r="E48" s="2578"/>
      <c r="F48" s="2076" t="s">
        <v>431</v>
      </c>
      <c r="G48" s="2568"/>
    </row>
    <row r="49" spans="1:15">
      <c r="A49" s="2564" t="s">
        <v>432</v>
      </c>
      <c r="B49" s="2579"/>
      <c r="C49" s="2806" t="s">
        <v>433</v>
      </c>
      <c r="D49" s="2807"/>
      <c r="E49" s="2580"/>
      <c r="F49" s="2581"/>
      <c r="G49" s="2582"/>
    </row>
    <row r="50" spans="1:15">
      <c r="A50" s="2564" t="s">
        <v>434</v>
      </c>
      <c r="B50" s="2579"/>
      <c r="C50" s="2808" t="s">
        <v>435</v>
      </c>
      <c r="D50" s="2809"/>
      <c r="E50" s="2568"/>
      <c r="F50" s="2490"/>
      <c r="G50" s="2491"/>
    </row>
    <row r="51" spans="1:15">
      <c r="A51" s="2564" t="s">
        <v>413</v>
      </c>
      <c r="B51" s="2565"/>
      <c r="C51" s="2490"/>
      <c r="D51" s="2490"/>
      <c r="E51" s="2490"/>
      <c r="F51" s="2490"/>
      <c r="G51" s="2491"/>
    </row>
    <row r="52" spans="1:15" ht="24">
      <c r="A52" s="2567" t="s">
        <v>436</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2">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18 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3" t="s">
        <v>445</v>
      </c>
      <c r="G3" s="2453" t="s">
        <v>446</v>
      </c>
      <c r="H3" s="2453" t="s">
        <v>447</v>
      </c>
      <c r="I3" s="2453" t="s">
        <v>448</v>
      </c>
      <c r="J3" s="2453" t="s">
        <v>445</v>
      </c>
      <c r="K3" s="2453" t="s">
        <v>449</v>
      </c>
      <c r="L3" s="2453" t="s">
        <v>450</v>
      </c>
      <c r="M3" s="2453" t="s">
        <v>451</v>
      </c>
    </row>
    <row r="4" spans="1:13" ht="42.75">
      <c r="A4" s="2453" t="s">
        <v>452</v>
      </c>
      <c r="B4" s="2453" t="s">
        <v>453</v>
      </c>
      <c r="C4" s="2453" t="s">
        <v>454</v>
      </c>
      <c r="D4" s="2452">
        <v>3807.94</v>
      </c>
      <c r="E4" s="2452">
        <v>20666.91</v>
      </c>
      <c r="F4" s="2452">
        <v>19673</v>
      </c>
      <c r="G4" s="2452">
        <v>0</v>
      </c>
      <c r="H4" s="2452">
        <v>19673</v>
      </c>
      <c r="I4" s="2452">
        <v>0</v>
      </c>
      <c r="J4" s="2452">
        <v>993.91</v>
      </c>
      <c r="K4" s="2452">
        <v>0</v>
      </c>
      <c r="L4" s="2452">
        <v>0</v>
      </c>
      <c r="M4" s="2452">
        <v>993.91</v>
      </c>
    </row>
    <row r="5" spans="1:13" ht="42.75">
      <c r="A5" s="2453" t="s">
        <v>452</v>
      </c>
      <c r="B5" s="2453" t="s">
        <v>455</v>
      </c>
      <c r="C5" s="2453" t="s">
        <v>456</v>
      </c>
      <c r="D5" s="2452">
        <v>3667.86</v>
      </c>
      <c r="E5" s="2452">
        <v>19906.61</v>
      </c>
      <c r="F5" s="2452">
        <v>18792.87</v>
      </c>
      <c r="G5" s="2452">
        <v>18792.87</v>
      </c>
      <c r="H5" s="2452">
        <v>0</v>
      </c>
      <c r="I5" s="2452">
        <v>0</v>
      </c>
      <c r="J5" s="2452">
        <v>1113.74</v>
      </c>
      <c r="K5" s="2452">
        <v>55.59</v>
      </c>
      <c r="L5" s="2452">
        <v>0</v>
      </c>
      <c r="M5" s="2452">
        <v>1058.1500000000001</v>
      </c>
    </row>
    <row r="6" spans="1:13" ht="42.75">
      <c r="A6" s="2453" t="s">
        <v>452</v>
      </c>
      <c r="B6" s="2453" t="s">
        <v>455</v>
      </c>
      <c r="C6" s="2453" t="s">
        <v>457</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452</v>
      </c>
      <c r="B7" s="2453" t="s">
        <v>455</v>
      </c>
      <c r="C7" s="2453" t="s">
        <v>458</v>
      </c>
      <c r="D7" s="2452">
        <v>8.18</v>
      </c>
      <c r="E7" s="2452">
        <v>44.41</v>
      </c>
      <c r="F7" s="2452">
        <v>0</v>
      </c>
      <c r="G7" s="2452">
        <v>0</v>
      </c>
      <c r="H7" s="2452">
        <v>0</v>
      </c>
      <c r="I7" s="2452">
        <v>0</v>
      </c>
      <c r="J7" s="2452">
        <v>44.41</v>
      </c>
      <c r="K7" s="2452">
        <v>44.41</v>
      </c>
      <c r="L7" s="2452">
        <v>0</v>
      </c>
      <c r="M7" s="2452">
        <v>0</v>
      </c>
    </row>
    <row r="8" spans="1:13" ht="42.75">
      <c r="A8" s="2453" t="s">
        <v>452</v>
      </c>
      <c r="B8" s="2453" t="s">
        <v>455</v>
      </c>
      <c r="C8" s="2453" t="s">
        <v>448</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3" t="s">
        <v>459</v>
      </c>
      <c r="B9" s="2833"/>
      <c r="C9" s="2833"/>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28" sqref="I28"/>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460</v>
      </c>
      <c r="B1" s="1644"/>
      <c r="C1" s="1644"/>
      <c r="D1" s="2338"/>
      <c r="E1" s="2338"/>
      <c r="AE1" s="1644"/>
      <c r="AF1" s="1644"/>
      <c r="AG1" s="1644"/>
      <c r="AH1" s="1644"/>
      <c r="AI1" s="1644"/>
      <c r="AJ1" s="1644"/>
      <c r="AK1" s="1644"/>
      <c r="AL1" s="1644"/>
      <c r="AM1" s="1644"/>
      <c r="AN1" s="1644"/>
      <c r="AO1" s="1644"/>
    </row>
    <row r="2" spans="1:41" s="2332" customFormat="1" ht="15">
      <c r="A2" s="2340" t="s">
        <v>461</v>
      </c>
      <c r="B2" s="2341">
        <f>项目基本情况!D2</f>
        <v>43695</v>
      </c>
      <c r="C2" s="2342"/>
      <c r="D2" s="2835" t="s">
        <v>462</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30" t="s">
        <v>463</v>
      </c>
      <c r="B3" s="2345" t="s">
        <v>464</v>
      </c>
      <c r="C3" s="2342"/>
      <c r="D3" s="2836"/>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6" t="s">
        <v>465</v>
      </c>
      <c r="B4" s="2345" t="s">
        <v>466</v>
      </c>
      <c r="C4" s="2342"/>
      <c r="D4" s="2836"/>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467</v>
      </c>
      <c r="B5" s="2348">
        <f>项目基本情况!C12</f>
        <v>54.92</v>
      </c>
      <c r="C5" s="2342"/>
      <c r="D5" s="2349" t="s">
        <v>468</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469</v>
      </c>
      <c r="B6" s="2352">
        <f>项目基本情况!C13</f>
        <v>0</v>
      </c>
      <c r="C6" s="2342"/>
      <c r="D6" s="2349" t="s">
        <v>470</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369</v>
      </c>
      <c r="C10" s="2342"/>
      <c r="D10" s="2340" t="s">
        <v>471</v>
      </c>
      <c r="E10" s="2357" t="s">
        <v>472</v>
      </c>
      <c r="F10" s="2239" t="s">
        <v>473</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474</v>
      </c>
      <c r="B11" s="2359">
        <v>70</v>
      </c>
      <c r="C11" s="2342"/>
      <c r="D11" s="2360" t="s">
        <v>475</v>
      </c>
      <c r="E11" s="2361">
        <v>90</v>
      </c>
      <c r="F11" s="2362" t="s">
        <v>476</v>
      </c>
      <c r="G11" s="2342"/>
      <c r="H11" s="2342"/>
      <c r="I11" s="2342"/>
      <c r="J11" s="2342"/>
      <c r="K11" s="2342"/>
      <c r="L11" s="2448"/>
      <c r="M11" s="2448"/>
      <c r="N11" s="2448"/>
      <c r="O11" s="2448"/>
      <c r="P11" s="2448"/>
      <c r="Q11" s="2448"/>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477</v>
      </c>
      <c r="B12" s="2364"/>
      <c r="C12" s="2342"/>
      <c r="D12" s="2365" t="s">
        <v>478</v>
      </c>
      <c r="E12" s="2366"/>
      <c r="F12" s="2367"/>
      <c r="G12" s="2342"/>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14.25">
      <c r="A13" s="2368" t="s">
        <v>479</v>
      </c>
      <c r="B13" s="2369">
        <f>IF(B12="",B11-(YEAR($B$2)-B26+B23),ROUNDDOWN(MIN((B12-$B$2)/365,B11),2))</f>
        <v>39</v>
      </c>
      <c r="C13" s="2370"/>
      <c r="D13" s="2371" t="s">
        <v>480</v>
      </c>
      <c r="E13" s="2372">
        <f>ROUND(E11*项目基本情况!C12/10000,2)</f>
        <v>0.49</v>
      </c>
      <c r="F13" s="895" t="s">
        <v>481</v>
      </c>
      <c r="G13" s="2342"/>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14.25">
      <c r="A14" s="2363" t="s">
        <v>482</v>
      </c>
      <c r="B14" s="2373">
        <f>IF(ISERROR(ROUND(POWER(1+B15,B11-B13)*(POWER(1+B15,B13)-1)/(POWER(1+B15,B11)-1),3)),0,ROUND(POWER(1+B15,B11-B13)*(POWER(1+B15,B13)-1)/(POWER(1+B15,B11)-1),3))</f>
        <v>0.88</v>
      </c>
      <c r="C14" s="2342"/>
      <c r="D14" s="2374" t="s">
        <v>483</v>
      </c>
      <c r="E14" s="2375">
        <v>200</v>
      </c>
      <c r="F14" s="2367"/>
      <c r="G14" s="2342"/>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14.25">
      <c r="A15" s="2363" t="s">
        <v>484</v>
      </c>
      <c r="B15" s="2376">
        <v>0.05</v>
      </c>
      <c r="C15" s="2342"/>
      <c r="D15" s="2365" t="s">
        <v>485</v>
      </c>
      <c r="E15" s="2377">
        <f>E14-E16</f>
        <v>200</v>
      </c>
      <c r="F15" s="2378"/>
      <c r="G15" s="2342"/>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486</v>
      </c>
      <c r="B16" s="2376">
        <v>5.5E-2</v>
      </c>
      <c r="C16" s="2342"/>
      <c r="D16" s="2379" t="s">
        <v>487</v>
      </c>
      <c r="E16" s="2380"/>
      <c r="F16" s="2381"/>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2" t="s">
        <v>488</v>
      </c>
      <c r="B17" s="2383">
        <v>8.5000000000000006E-2</v>
      </c>
      <c r="C17" s="2342"/>
      <c r="D17" s="2355" t="s">
        <v>489</v>
      </c>
      <c r="E17" s="2384">
        <v>2500</v>
      </c>
      <c r="F17" s="1644"/>
      <c r="G17" s="2342"/>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5" t="str">
        <f>IF(B25=0,"建安总额","在建建安")</f>
        <v>建安总额</v>
      </c>
      <c r="E18" s="2377">
        <f>ROUND(B5*E17*IF(B25=0,1,E20),0)</f>
        <v>137300</v>
      </c>
      <c r="F18" s="2386">
        <f>ROUND(E5*E17*IF(B25=0,1,E20),0)</f>
        <v>0</v>
      </c>
      <c r="G18" s="2342"/>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3" t="s">
        <v>490</v>
      </c>
      <c r="B19" s="2342"/>
      <c r="C19" s="2342"/>
      <c r="D19" s="2385" t="str">
        <f>IF(B25=0,"——","续建建安")</f>
        <v>——</v>
      </c>
      <c r="E19" s="2377" t="str">
        <f>IF(B25=0,"——",ROUND(B5*E17*(1-E20),0))</f>
        <v>——</v>
      </c>
      <c r="F19" s="2386" t="str">
        <f>IF(B25=0,"——",ROUND(E5*E17*(1-E20),0))</f>
        <v>——</v>
      </c>
      <c r="G19" s="2342"/>
      <c r="H19" s="2342"/>
      <c r="I19" s="2342"/>
      <c r="J19" s="2342"/>
      <c r="K19" s="2342"/>
      <c r="L19" s="2342"/>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87" t="s">
        <v>491</v>
      </c>
      <c r="B20" s="2388"/>
      <c r="C20" s="2342"/>
      <c r="D20" s="2389" t="str">
        <f>IF(B25=0,"成新率","工程进度")</f>
        <v>成新率</v>
      </c>
      <c r="E20" s="2390">
        <f>H20</f>
        <v>0.63</v>
      </c>
      <c r="F20" s="1644"/>
      <c r="G20" s="2342"/>
      <c r="H20" s="2391">
        <f>ROUND((I20+J20)*0.5,2)</f>
        <v>0.63</v>
      </c>
      <c r="I20" s="2391">
        <f>ROUND(1-(1-2%)*(2019-1989)/50,2)</f>
        <v>0.41</v>
      </c>
      <c r="J20" s="2391">
        <v>0.85</v>
      </c>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2" t="s">
        <v>492</v>
      </c>
      <c r="B21" s="2393">
        <v>1</v>
      </c>
      <c r="C21" s="2342"/>
      <c r="D21" s="2365" t="s">
        <v>493</v>
      </c>
      <c r="E21" s="2394">
        <v>0.03</v>
      </c>
      <c r="F21" s="2395" t="s">
        <v>494</v>
      </c>
      <c r="G21" s="2342"/>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6" t="s">
        <v>495</v>
      </c>
      <c r="B22" s="2397">
        <v>1</v>
      </c>
      <c r="C22" s="2342"/>
      <c r="D22" s="2365" t="s">
        <v>496</v>
      </c>
      <c r="E22" s="2398">
        <v>0.05</v>
      </c>
      <c r="F22" s="2395" t="s">
        <v>497</v>
      </c>
      <c r="G22" s="2342"/>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399" t="s">
        <v>498</v>
      </c>
      <c r="B23" s="2400">
        <f>B20+B21</f>
        <v>1</v>
      </c>
      <c r="C23" s="2342"/>
      <c r="D23" s="2365" t="s">
        <v>499</v>
      </c>
      <c r="E23" s="2366">
        <v>200</v>
      </c>
      <c r="F23" s="2395" t="s">
        <v>500</v>
      </c>
      <c r="G23" s="2342"/>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1" t="s">
        <v>501</v>
      </c>
      <c r="B24" s="2402">
        <f>B20+B22</f>
        <v>1</v>
      </c>
      <c r="C24" s="2342"/>
      <c r="D24" s="2379" t="s">
        <v>502</v>
      </c>
      <c r="E24" s="2403">
        <v>1.4999999999999999E-2</v>
      </c>
      <c r="F24" s="2395" t="s">
        <v>503</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399" t="s">
        <v>504</v>
      </c>
      <c r="B25" s="2404">
        <f>B21-B22</f>
        <v>0</v>
      </c>
      <c r="C25" s="1644"/>
      <c r="D25" s="2360" t="s">
        <v>505</v>
      </c>
      <c r="E25" s="2394">
        <v>0.02</v>
      </c>
      <c r="F25" s="2395" t="s">
        <v>506</v>
      </c>
      <c r="I25" s="2338"/>
      <c r="AE25" s="1644"/>
      <c r="AF25" s="1644"/>
      <c r="AG25" s="1644"/>
      <c r="AH25" s="1644"/>
      <c r="AI25" s="1644"/>
      <c r="AJ25" s="1644"/>
      <c r="AK25" s="1644"/>
      <c r="AL25" s="1644"/>
      <c r="AM25" s="1644"/>
      <c r="AN25" s="1644"/>
      <c r="AO25" s="1644"/>
    </row>
    <row r="26" spans="1:41" ht="15">
      <c r="A26" s="2405" t="s">
        <v>507</v>
      </c>
      <c r="B26" s="2406">
        <v>1989</v>
      </c>
      <c r="C26" s="2342"/>
      <c r="D26" s="2365" t="s">
        <v>508</v>
      </c>
      <c r="E26" s="2398">
        <v>0.02</v>
      </c>
      <c r="F26" s="2395" t="s">
        <v>506</v>
      </c>
      <c r="G26" s="2344"/>
      <c r="H26" s="2344"/>
      <c r="I26" s="2342"/>
      <c r="J26" s="2342"/>
      <c r="K26" s="2342"/>
      <c r="L26" s="2342"/>
      <c r="M26" s="2342"/>
      <c r="N26" s="2342"/>
      <c r="AE26" s="1644"/>
      <c r="AF26" s="1644"/>
      <c r="AG26" s="1644"/>
      <c r="AH26" s="1644"/>
      <c r="AI26" s="1644"/>
      <c r="AJ26" s="1644"/>
      <c r="AK26" s="1644"/>
      <c r="AL26" s="1644"/>
      <c r="AM26" s="1644"/>
      <c r="AN26" s="1644"/>
      <c r="AO26" s="1644"/>
    </row>
    <row r="27" spans="1:41" ht="14.25">
      <c r="A27" s="1644"/>
      <c r="B27" s="1644"/>
      <c r="C27" s="1644"/>
      <c r="D27" s="2365" t="s">
        <v>509</v>
      </c>
      <c r="E27" s="1615">
        <f ca="1">存贷款利率!G1</f>
        <v>4.3499999999999997E-2</v>
      </c>
      <c r="F27" s="2395" t="s">
        <v>510</v>
      </c>
      <c r="G27" s="2344"/>
      <c r="H27" s="2344"/>
      <c r="K27" s="2342"/>
      <c r="N27" s="2342"/>
      <c r="AE27" s="1644"/>
      <c r="AF27" s="1644"/>
      <c r="AG27" s="1644"/>
      <c r="AH27" s="1644"/>
      <c r="AI27" s="1644"/>
      <c r="AJ27" s="1644"/>
      <c r="AK27" s="1644"/>
      <c r="AL27" s="1644"/>
      <c r="AM27" s="1644"/>
      <c r="AN27" s="1644"/>
      <c r="AO27" s="1644"/>
    </row>
    <row r="28" spans="1:41" ht="14.25">
      <c r="A28" s="2407" t="s">
        <v>511</v>
      </c>
      <c r="B28" s="2408" t="s">
        <v>512</v>
      </c>
      <c r="C28" s="1644"/>
      <c r="D28" s="2409" t="s">
        <v>513</v>
      </c>
      <c r="E28" s="2410">
        <v>0.15</v>
      </c>
      <c r="G28" s="2344"/>
      <c r="H28" s="2344"/>
      <c r="K28" s="2342"/>
      <c r="N28" s="2342"/>
      <c r="AE28" s="1644"/>
      <c r="AF28" s="1644"/>
      <c r="AG28" s="1644"/>
      <c r="AH28" s="1644"/>
      <c r="AI28" s="1644"/>
      <c r="AJ28" s="1644"/>
      <c r="AK28" s="1644"/>
      <c r="AL28" s="1644"/>
      <c r="AM28" s="1644"/>
      <c r="AN28" s="1644"/>
      <c r="AO28" s="1644"/>
    </row>
    <row r="29" spans="1:41" ht="14.25">
      <c r="A29" s="2363" t="str">
        <f>IF(B28="租赁期内按合同租金","合同租金","市场租金")</f>
        <v>市场租金</v>
      </c>
      <c r="B29" s="2411">
        <v>5000</v>
      </c>
      <c r="C29" s="1644"/>
      <c r="D29" s="2374" t="s">
        <v>514</v>
      </c>
      <c r="E29" s="2412">
        <f>E30+E31</f>
        <v>5.6000000000000001E-2</v>
      </c>
      <c r="F29" s="895"/>
      <c r="G29" s="2344"/>
      <c r="H29" s="2344"/>
      <c r="K29" s="2342"/>
      <c r="N29" s="2342"/>
      <c r="AE29" s="1644"/>
      <c r="AF29" s="1644"/>
      <c r="AG29" s="1644"/>
      <c r="AH29" s="1644"/>
      <c r="AI29" s="1644"/>
      <c r="AJ29" s="1644"/>
      <c r="AK29" s="1644"/>
      <c r="AL29" s="1644"/>
      <c r="AM29" s="1644"/>
      <c r="AN29" s="1644"/>
      <c r="AO29" s="1644"/>
    </row>
    <row r="30" spans="1:41" ht="14.25">
      <c r="A30" s="2363" t="s">
        <v>515</v>
      </c>
      <c r="B30" s="2413">
        <f ca="1">存贷款利率!I1</f>
        <v>1.4999999999999999E-2</v>
      </c>
      <c r="C30" s="1644"/>
      <c r="D30" s="2414" t="s">
        <v>516</v>
      </c>
      <c r="E30" s="2415">
        <v>0.05</v>
      </c>
      <c r="F30" s="2416">
        <f>IF(B2&lt;DATE(2016,5,1),0,E30)</f>
        <v>0.05</v>
      </c>
      <c r="G30" s="2344"/>
      <c r="H30" s="2344"/>
      <c r="K30" s="2342"/>
      <c r="N30" s="2342"/>
      <c r="AE30" s="1644"/>
      <c r="AF30" s="1644"/>
      <c r="AG30" s="1644"/>
      <c r="AH30" s="1644"/>
      <c r="AI30" s="1644"/>
      <c r="AJ30" s="1644"/>
      <c r="AK30" s="1644"/>
      <c r="AL30" s="1644"/>
      <c r="AM30" s="1644"/>
      <c r="AN30" s="1644"/>
      <c r="AO30" s="1644"/>
    </row>
    <row r="31" spans="1:41" ht="14.25">
      <c r="A31" s="2363" t="s">
        <v>517</v>
      </c>
      <c r="B31" s="2376">
        <v>0.03</v>
      </c>
      <c r="C31" s="1644"/>
      <c r="D31" s="2414" t="s">
        <v>518</v>
      </c>
      <c r="E31" s="2417">
        <f>E30*(E32+E33+E34)+E35</f>
        <v>6.0000000000000001E-3</v>
      </c>
      <c r="F31" s="895"/>
      <c r="G31" s="2344"/>
      <c r="H31" s="2344"/>
      <c r="K31" s="2342"/>
      <c r="N31" s="2342"/>
      <c r="AE31" s="1644"/>
      <c r="AF31" s="1644"/>
      <c r="AG31" s="1644"/>
      <c r="AH31" s="1644"/>
      <c r="AI31" s="1644"/>
      <c r="AJ31" s="1644"/>
      <c r="AK31" s="1644"/>
      <c r="AL31" s="1644"/>
      <c r="AM31" s="1644"/>
      <c r="AN31" s="1644"/>
      <c r="AO31" s="1644"/>
    </row>
    <row r="32" spans="1:41" ht="14.25">
      <c r="A32" s="2363" t="s">
        <v>519</v>
      </c>
      <c r="B32" s="2376">
        <v>0.05</v>
      </c>
      <c r="C32" s="1644"/>
      <c r="D32" s="2418" t="s">
        <v>520</v>
      </c>
      <c r="E32" s="2419">
        <v>7.0000000000000007E-2</v>
      </c>
      <c r="F32" s="2420" t="s">
        <v>521</v>
      </c>
      <c r="G32" s="2344"/>
      <c r="H32" s="2344"/>
      <c r="K32" s="2342"/>
      <c r="L32" s="2342"/>
      <c r="M32" s="2342"/>
      <c r="N32" s="2342"/>
      <c r="AE32" s="1644"/>
      <c r="AF32" s="1644"/>
      <c r="AG32" s="1644"/>
      <c r="AH32" s="1644"/>
      <c r="AI32" s="1644"/>
      <c r="AJ32" s="1644"/>
      <c r="AK32" s="1644"/>
      <c r="AL32" s="1644"/>
      <c r="AM32" s="1644"/>
      <c r="AN32" s="1644"/>
      <c r="AO32" s="1644"/>
    </row>
    <row r="33" spans="1:41" ht="14.25">
      <c r="A33" s="2363" t="s">
        <v>522</v>
      </c>
      <c r="B33" s="2421">
        <f>收益法!J54</f>
        <v>39</v>
      </c>
      <c r="C33" s="1644"/>
      <c r="D33" s="2418" t="s">
        <v>523</v>
      </c>
      <c r="E33" s="2415">
        <v>0.03</v>
      </c>
      <c r="F33" s="2422" t="s">
        <v>524</v>
      </c>
      <c r="G33" s="2344"/>
      <c r="H33" s="2344"/>
      <c r="K33" s="2342"/>
      <c r="L33" s="2342"/>
      <c r="M33" s="2342"/>
      <c r="N33" s="2342"/>
      <c r="AE33" s="1644"/>
      <c r="AF33" s="1644"/>
      <c r="AG33" s="1644"/>
      <c r="AH33" s="1644"/>
      <c r="AI33" s="1644"/>
      <c r="AJ33" s="1644"/>
      <c r="AK33" s="1644"/>
      <c r="AL33" s="1644"/>
      <c r="AM33" s="1644"/>
      <c r="AN33" s="1644"/>
      <c r="AO33" s="1644"/>
    </row>
    <row r="34" spans="1:41" s="2334" customFormat="1" ht="14.25">
      <c r="A34" s="2414" t="str">
        <f>IF(B28="租赁期内按合同租金","剩余租赁期","——")</f>
        <v>——</v>
      </c>
      <c r="B34" s="2423"/>
      <c r="C34" s="1644"/>
      <c r="D34" s="2418" t="s">
        <v>525</v>
      </c>
      <c r="E34" s="2415">
        <v>0.02</v>
      </c>
      <c r="F34" s="2422" t="s">
        <v>526</v>
      </c>
      <c r="G34" s="2424"/>
      <c r="H34" s="2424"/>
      <c r="I34" s="2367"/>
      <c r="J34" s="2367"/>
      <c r="K34" s="2342"/>
      <c r="L34" s="2342"/>
      <c r="M34" s="2342"/>
      <c r="N34" s="2342"/>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4" customFormat="1" ht="15">
      <c r="A35" s="2425" t="s">
        <v>527</v>
      </c>
      <c r="B35" s="1996"/>
      <c r="C35" s="1644"/>
      <c r="D35" s="2426" t="s">
        <v>528</v>
      </c>
      <c r="E35" s="2427"/>
      <c r="F35" s="2362" t="s">
        <v>476</v>
      </c>
      <c r="G35" s="2424"/>
      <c r="H35" s="2424"/>
      <c r="I35" s="2367"/>
      <c r="J35" s="2367"/>
      <c r="K35" s="2342"/>
      <c r="L35" s="2342"/>
      <c r="M35" s="2342"/>
      <c r="N35" s="2342"/>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4" customFormat="1" ht="14.25">
      <c r="A36" s="2428" t="str">
        <f>IF(B28="租赁期内按合同租金","租金","——")</f>
        <v>——</v>
      </c>
      <c r="B36" s="2429"/>
      <c r="C36" s="1644"/>
      <c r="D36" s="2430" t="s">
        <v>529</v>
      </c>
      <c r="E36" s="2431">
        <v>0.03</v>
      </c>
      <c r="F36" s="2378" t="s">
        <v>530</v>
      </c>
      <c r="G36" s="2424"/>
      <c r="H36" s="2424"/>
      <c r="I36" s="2367"/>
      <c r="J36" s="2367"/>
      <c r="K36" s="2342"/>
      <c r="L36" s="2342"/>
      <c r="M36" s="2342"/>
      <c r="N36" s="2342"/>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4" customFormat="1" ht="14.25">
      <c r="A37" s="2363" t="str">
        <f>IF(B28="租赁期内按合同租金","年租金增长率","——")</f>
        <v>——</v>
      </c>
      <c r="B37" s="2376"/>
      <c r="C37" s="1644"/>
      <c r="D37" s="2379" t="s">
        <v>531</v>
      </c>
      <c r="E37" s="2415">
        <v>5.0000000000000001E-4</v>
      </c>
      <c r="F37" s="2378" t="s">
        <v>532</v>
      </c>
      <c r="G37" s="2344"/>
      <c r="H37" s="2344"/>
      <c r="I37" s="2342"/>
      <c r="J37" s="2342"/>
      <c r="K37" s="2342"/>
      <c r="L37" s="2342"/>
      <c r="M37" s="2342"/>
      <c r="N37" s="2342"/>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4" customFormat="1" ht="14.25">
      <c r="A38" s="2363" t="str">
        <f>IF(B28="租赁期内按合同租金","空置率","——")</f>
        <v>——</v>
      </c>
      <c r="B38" s="2376"/>
      <c r="C38" s="1644"/>
      <c r="D38" s="2432" t="s">
        <v>533</v>
      </c>
      <c r="E38" s="2433">
        <v>1.2E-2</v>
      </c>
      <c r="F38" s="2367"/>
      <c r="G38" s="2338"/>
      <c r="H38" s="2338"/>
      <c r="I38" s="2344"/>
      <c r="J38" s="2342"/>
      <c r="K38" s="2342"/>
      <c r="L38" s="2342"/>
      <c r="M38" s="2342"/>
      <c r="N38" s="2342"/>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4" customFormat="1" ht="14.25">
      <c r="A39" s="2363" t="str">
        <f>IF(B28="租赁期内按合同租金","成新率","——")</f>
        <v>——</v>
      </c>
      <c r="B39" s="2376"/>
      <c r="C39" s="1644"/>
      <c r="D39" s="2371" t="s">
        <v>534</v>
      </c>
      <c r="E39" s="2434">
        <v>0.12</v>
      </c>
      <c r="F39" s="2367"/>
      <c r="G39" s="2424"/>
      <c r="H39" s="2424"/>
      <c r="I39" s="2367"/>
      <c r="J39" s="2367"/>
      <c r="K39" s="2342"/>
      <c r="L39" s="2342"/>
      <c r="M39" s="2342"/>
      <c r="N39" s="2342"/>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4" t="str">
        <f>IF(B28="租赁期内按合同租金","租赁期外收益期","——")</f>
        <v>——</v>
      </c>
      <c r="B40" s="2435" t="str">
        <f>IF(B28="租赁期内按合同租金",B33-B34,"——")</f>
        <v>——</v>
      </c>
      <c r="C40" s="1644"/>
      <c r="D40" s="2432" t="s">
        <v>535</v>
      </c>
      <c r="E40" s="2436">
        <f>SUMIF(D42:D51,E41,E42:E51)</f>
        <v>0</v>
      </c>
      <c r="F40" s="2367"/>
      <c r="G40" s="2344"/>
      <c r="H40" s="2344"/>
      <c r="I40" s="2342"/>
      <c r="J40" s="2342"/>
      <c r="K40" s="2342"/>
      <c r="L40" s="2342"/>
      <c r="M40" s="2342"/>
      <c r="N40" s="2342"/>
      <c r="AE40" s="1644"/>
      <c r="AF40" s="1644"/>
      <c r="AG40" s="1644"/>
      <c r="AH40" s="1644"/>
      <c r="AI40" s="1644"/>
      <c r="AJ40" s="1644"/>
      <c r="AK40" s="1644"/>
      <c r="AL40" s="1644"/>
      <c r="AM40" s="1644"/>
      <c r="AN40" s="1644"/>
      <c r="AO40" s="1644"/>
    </row>
    <row r="41" spans="1:41" ht="14.25">
      <c r="A41" s="2437" t="s">
        <v>536</v>
      </c>
      <c r="B41" s="2438">
        <v>1</v>
      </c>
      <c r="C41" s="1644"/>
      <c r="D41" s="2365" t="s">
        <v>537</v>
      </c>
      <c r="E41" s="2439"/>
      <c r="F41" s="2367" t="s">
        <v>538</v>
      </c>
      <c r="G41" s="2440" t="s">
        <v>539</v>
      </c>
      <c r="H41" s="2344"/>
      <c r="I41" s="2342"/>
      <c r="J41" s="2342"/>
      <c r="K41" s="2342"/>
      <c r="L41" s="2342"/>
      <c r="M41" s="2342"/>
      <c r="N41" s="2342"/>
      <c r="AE41" s="1644"/>
      <c r="AF41" s="1644"/>
      <c r="AG41" s="1644"/>
      <c r="AH41" s="1644"/>
      <c r="AI41" s="1644"/>
      <c r="AJ41" s="1644"/>
      <c r="AK41" s="1644"/>
      <c r="AL41" s="1644"/>
      <c r="AM41" s="1644"/>
      <c r="AN41" s="1644"/>
      <c r="AO41" s="1644"/>
    </row>
    <row r="42" spans="1:41" ht="14.25">
      <c r="A42" s="2363" t="s">
        <v>540</v>
      </c>
      <c r="B42" s="2441">
        <v>12</v>
      </c>
      <c r="C42" s="1644"/>
      <c r="D42" s="2442" t="s">
        <v>541</v>
      </c>
      <c r="E42" s="2411"/>
      <c r="F42" s="2367">
        <v>30</v>
      </c>
      <c r="G42" s="2344"/>
      <c r="H42" s="2344"/>
      <c r="I42" s="2342"/>
      <c r="J42" s="2342"/>
      <c r="K42" s="2342"/>
      <c r="L42" s="2342"/>
      <c r="M42" s="2342"/>
      <c r="N42" s="2342"/>
      <c r="AE42" s="1644"/>
      <c r="AF42" s="1644"/>
      <c r="AG42" s="1644"/>
      <c r="AH42" s="1644"/>
      <c r="AI42" s="1644"/>
      <c r="AJ42" s="1644"/>
      <c r="AK42" s="1644"/>
      <c r="AL42" s="1644"/>
      <c r="AM42" s="1644"/>
      <c r="AN42" s="1644"/>
      <c r="AO42" s="1644"/>
    </row>
    <row r="43" spans="1:41" ht="14.25">
      <c r="A43" s="2363" t="s">
        <v>542</v>
      </c>
      <c r="B43" s="2411"/>
      <c r="C43" s="1644"/>
      <c r="D43" s="2442" t="s">
        <v>543</v>
      </c>
      <c r="E43" s="2411"/>
      <c r="F43" s="2367">
        <v>24</v>
      </c>
      <c r="G43" s="2344"/>
      <c r="H43" s="2344"/>
      <c r="I43" s="2342"/>
      <c r="J43" s="2342"/>
      <c r="K43" s="2342"/>
      <c r="L43" s="2342"/>
      <c r="M43" s="2342"/>
      <c r="N43" s="2342"/>
      <c r="AE43" s="1644"/>
      <c r="AF43" s="1644"/>
      <c r="AG43" s="1644"/>
      <c r="AH43" s="1644"/>
      <c r="AI43" s="1644"/>
      <c r="AJ43" s="1644"/>
      <c r="AK43" s="1644"/>
      <c r="AL43" s="1644"/>
      <c r="AM43" s="1644"/>
      <c r="AN43" s="1644"/>
      <c r="AO43" s="1644"/>
    </row>
    <row r="44" spans="1:41" ht="14.25">
      <c r="A44" s="2363" t="s">
        <v>544</v>
      </c>
      <c r="B44" s="2443">
        <v>1.4999999999999999E-2</v>
      </c>
      <c r="C44" s="1644" t="s">
        <v>545</v>
      </c>
      <c r="D44" s="2442" t="s">
        <v>546</v>
      </c>
      <c r="E44" s="2411"/>
      <c r="F44" s="2367">
        <v>18</v>
      </c>
      <c r="G44" s="1644"/>
      <c r="H44" s="1644"/>
      <c r="I44" s="2344"/>
      <c r="J44" s="2342"/>
      <c r="K44" s="2342"/>
      <c r="L44" s="2342"/>
      <c r="M44" s="2342"/>
      <c r="N44" s="2342"/>
      <c r="AE44" s="1644"/>
      <c r="AF44" s="1644"/>
      <c r="AG44" s="1644"/>
      <c r="AH44" s="1644"/>
      <c r="AI44" s="1644"/>
      <c r="AJ44" s="1644"/>
      <c r="AK44" s="1644"/>
      <c r="AL44" s="1644"/>
      <c r="AM44" s="1644"/>
      <c r="AN44" s="1644"/>
      <c r="AO44" s="1644"/>
    </row>
    <row r="45" spans="1:41" ht="14.25">
      <c r="A45" s="2363" t="s">
        <v>547</v>
      </c>
      <c r="B45" s="2444">
        <v>1.5E-3</v>
      </c>
      <c r="C45" s="1644" t="s">
        <v>548</v>
      </c>
      <c r="D45" s="2442" t="s">
        <v>549</v>
      </c>
      <c r="E45" s="2411"/>
      <c r="F45" s="2367">
        <v>12</v>
      </c>
      <c r="G45" s="1644"/>
      <c r="H45" s="1644"/>
      <c r="M45" s="2342"/>
      <c r="N45" s="2342"/>
      <c r="AE45" s="1644"/>
      <c r="AF45" s="1644"/>
      <c r="AG45" s="1644"/>
      <c r="AH45" s="1644"/>
      <c r="AI45" s="1644"/>
      <c r="AJ45" s="1644"/>
      <c r="AK45" s="1644"/>
      <c r="AL45" s="1644"/>
      <c r="AM45" s="1644"/>
      <c r="AN45" s="1644"/>
      <c r="AO45" s="1644"/>
    </row>
    <row r="46" spans="1:41" ht="14.25">
      <c r="A46" s="2409" t="s">
        <v>550</v>
      </c>
      <c r="B46" s="2445">
        <v>1.4999999999999999E-2</v>
      </c>
      <c r="C46" s="1644" t="s">
        <v>551</v>
      </c>
      <c r="D46" s="2442" t="s">
        <v>266</v>
      </c>
      <c r="E46" s="2411"/>
      <c r="F46" s="2367">
        <v>3</v>
      </c>
      <c r="G46" s="1644"/>
      <c r="H46" s="1644"/>
      <c r="M46" s="2342"/>
      <c r="N46" s="2342"/>
      <c r="AE46" s="1644"/>
      <c r="AF46" s="1644"/>
      <c r="AG46" s="1644"/>
      <c r="AH46" s="1644"/>
      <c r="AI46" s="1644"/>
      <c r="AJ46" s="1644"/>
      <c r="AK46" s="1644"/>
      <c r="AL46" s="1644"/>
      <c r="AM46" s="1644"/>
      <c r="AN46" s="1644"/>
      <c r="AO46" s="1644"/>
    </row>
    <row r="47" spans="1:41" ht="14.25">
      <c r="A47" s="1644"/>
      <c r="B47" s="1644"/>
      <c r="C47" s="1644"/>
      <c r="D47" s="2442" t="s">
        <v>552</v>
      </c>
      <c r="E47" s="2411"/>
      <c r="F47" s="2367">
        <v>1.5</v>
      </c>
      <c r="G47" s="1644"/>
      <c r="H47" s="1644"/>
      <c r="M47" s="2342"/>
      <c r="N47" s="2342"/>
      <c r="AE47" s="1644"/>
      <c r="AF47" s="1644"/>
      <c r="AG47" s="1644"/>
      <c r="AH47" s="1644"/>
      <c r="AI47" s="1644"/>
      <c r="AJ47" s="1644"/>
      <c r="AK47" s="1644"/>
      <c r="AL47" s="1644"/>
      <c r="AM47" s="1644"/>
      <c r="AN47" s="1644"/>
      <c r="AO47" s="1644"/>
    </row>
    <row r="48" spans="1:41" ht="14.25">
      <c r="A48" s="1644"/>
      <c r="B48" s="1644"/>
      <c r="C48" s="1644"/>
      <c r="D48" s="2442" t="s">
        <v>553</v>
      </c>
      <c r="E48" s="2411"/>
      <c r="F48" s="2342"/>
      <c r="G48" s="1644"/>
      <c r="H48" s="1644"/>
      <c r="M48" s="2342"/>
      <c r="N48" s="2342"/>
      <c r="AE48" s="1644"/>
      <c r="AF48" s="1644"/>
      <c r="AG48" s="1644"/>
      <c r="AH48" s="1644"/>
      <c r="AI48" s="1644"/>
      <c r="AJ48" s="1644"/>
      <c r="AK48" s="1644"/>
      <c r="AL48" s="1644"/>
      <c r="AM48" s="1644"/>
      <c r="AN48" s="1644"/>
      <c r="AO48" s="1644"/>
    </row>
    <row r="49" spans="1:41" ht="14.25">
      <c r="A49" s="1644"/>
      <c r="B49" s="1644"/>
      <c r="C49" s="1644"/>
      <c r="D49" s="2442" t="s">
        <v>554</v>
      </c>
      <c r="E49" s="2411"/>
      <c r="F49" s="2342"/>
      <c r="G49" s="1644"/>
      <c r="H49" s="1644"/>
      <c r="M49" s="2342"/>
      <c r="N49" s="2342"/>
      <c r="AE49" s="1644"/>
      <c r="AF49" s="1644"/>
      <c r="AG49" s="1644"/>
      <c r="AH49" s="1644"/>
      <c r="AI49" s="1644"/>
      <c r="AJ49" s="1644"/>
      <c r="AK49" s="1644"/>
      <c r="AL49" s="1644"/>
      <c r="AM49" s="1644"/>
      <c r="AN49" s="1644"/>
      <c r="AO49" s="1644"/>
    </row>
    <row r="50" spans="1:41" ht="14.25">
      <c r="A50" s="1644"/>
      <c r="B50" s="1644"/>
      <c r="C50" s="1644"/>
      <c r="D50" s="2442" t="s">
        <v>555</v>
      </c>
      <c r="E50" s="2411"/>
      <c r="F50" s="2342"/>
      <c r="G50" s="1644"/>
      <c r="H50" s="1644"/>
      <c r="M50" s="2342"/>
      <c r="N50" s="2342"/>
      <c r="AE50" s="1644"/>
      <c r="AF50" s="1644"/>
      <c r="AG50" s="1644"/>
      <c r="AH50" s="1644"/>
      <c r="AI50" s="1644"/>
      <c r="AJ50" s="1644"/>
      <c r="AK50" s="1644"/>
      <c r="AL50" s="1644"/>
      <c r="AM50" s="1644"/>
      <c r="AN50" s="1644"/>
      <c r="AO50" s="1644"/>
    </row>
    <row r="51" spans="1:41" s="1644" customFormat="1" ht="14.25">
      <c r="D51" s="2446" t="s">
        <v>556</v>
      </c>
      <c r="E51" s="2447"/>
      <c r="F51" s="2342"/>
      <c r="M51" s="2342"/>
      <c r="N51" s="2342"/>
      <c r="O51" s="1375"/>
      <c r="P51" s="1375"/>
    </row>
    <row r="52" spans="1:41" s="1644" customFormat="1" ht="14.25">
      <c r="D52" s="2344"/>
      <c r="E52" s="2344"/>
      <c r="F52" s="2344"/>
      <c r="G52" s="2344"/>
      <c r="H52" s="2344"/>
      <c r="I52" s="2342"/>
      <c r="J52" s="2342"/>
      <c r="K52" s="2342"/>
      <c r="L52" s="2342"/>
      <c r="M52" s="2342"/>
      <c r="N52" s="2342"/>
      <c r="O52" s="1375"/>
      <c r="P52" s="1375"/>
    </row>
    <row r="53" spans="1:41" s="1644" customFormat="1" ht="14.25">
      <c r="D53" s="2344"/>
      <c r="E53" s="2344"/>
      <c r="F53" s="2344"/>
      <c r="G53" s="2344"/>
      <c r="H53" s="2344"/>
      <c r="I53" s="2342"/>
      <c r="J53" s="2342"/>
      <c r="K53" s="2342"/>
      <c r="L53" s="2342"/>
      <c r="M53" s="2342"/>
      <c r="N53" s="2342"/>
      <c r="O53" s="1375"/>
      <c r="P53" s="1375"/>
    </row>
    <row r="54" spans="1:41" s="1644" customFormat="1" ht="14.25">
      <c r="D54" s="2344"/>
      <c r="E54" s="2344"/>
      <c r="F54" s="2344"/>
      <c r="G54" s="2344"/>
      <c r="H54" s="2344"/>
      <c r="I54" s="2342"/>
      <c r="J54" s="2342"/>
      <c r="K54" s="2342"/>
      <c r="L54" s="2342"/>
      <c r="M54" s="2342"/>
      <c r="N54" s="2342"/>
      <c r="O54" s="1375"/>
      <c r="P54" s="1375"/>
    </row>
    <row r="55" spans="1:41" s="1644" customFormat="1" ht="14.25">
      <c r="D55" s="2344"/>
      <c r="E55" s="2344"/>
      <c r="F55" s="2344"/>
      <c r="G55" s="2344"/>
      <c r="H55" s="2344"/>
      <c r="I55" s="2342"/>
      <c r="J55" s="2342"/>
      <c r="K55" s="2342"/>
      <c r="L55" s="2342"/>
      <c r="M55" s="2342"/>
      <c r="N55" s="2342"/>
      <c r="O55" s="1375"/>
      <c r="P55" s="1375"/>
    </row>
    <row r="56" spans="1:41" s="1644" customFormat="1" ht="14.25">
      <c r="D56" s="2344"/>
      <c r="E56" s="2344"/>
      <c r="F56" s="2344"/>
      <c r="G56" s="2344"/>
      <c r="H56" s="2344"/>
      <c r="I56" s="2342"/>
      <c r="J56" s="2342"/>
      <c r="K56" s="2342"/>
      <c r="L56" s="2342"/>
      <c r="M56" s="2342"/>
      <c r="N56" s="2342"/>
      <c r="O56" s="1375"/>
      <c r="P56" s="1375"/>
    </row>
    <row r="57" spans="1:41" s="1644" customFormat="1" ht="14.25">
      <c r="D57" s="2344"/>
      <c r="E57" s="2344"/>
      <c r="F57" s="2344"/>
      <c r="G57" s="2344"/>
      <c r="H57" s="2344"/>
      <c r="I57" s="2342"/>
      <c r="J57" s="2342"/>
      <c r="K57" s="2342"/>
      <c r="L57" s="2342"/>
      <c r="M57" s="2342"/>
      <c r="N57" s="2342"/>
      <c r="O57" s="1375"/>
      <c r="P57" s="1375"/>
    </row>
    <row r="58" spans="1:41" s="1644" customFormat="1" ht="14.25">
      <c r="D58" s="2344"/>
      <c r="E58" s="2344"/>
      <c r="F58" s="2344"/>
      <c r="G58" s="2344"/>
      <c r="H58" s="2344"/>
      <c r="I58" s="2342"/>
      <c r="J58" s="2342"/>
      <c r="K58" s="2342"/>
      <c r="L58" s="2342"/>
      <c r="M58" s="2342"/>
      <c r="N58" s="2342"/>
      <c r="O58" s="1375"/>
      <c r="P58" s="1375"/>
    </row>
    <row r="59" spans="1:41" s="1644" customFormat="1" ht="14.25">
      <c r="D59" s="2344"/>
      <c r="E59" s="2344"/>
      <c r="F59" s="2344"/>
      <c r="G59" s="2344"/>
      <c r="H59" s="2344"/>
      <c r="I59" s="2342"/>
      <c r="J59" s="2342"/>
      <c r="K59" s="2342"/>
      <c r="L59" s="2342"/>
      <c r="M59" s="2449"/>
      <c r="N59" s="2342"/>
      <c r="O59" s="1375"/>
      <c r="P59" s="1375"/>
    </row>
    <row r="60" spans="1:41" s="1644" customFormat="1" ht="14.25">
      <c r="D60" s="2344"/>
      <c r="E60" s="2344"/>
      <c r="F60" s="2344"/>
      <c r="G60" s="2344"/>
      <c r="H60" s="2344"/>
      <c r="I60" s="2342"/>
      <c r="J60" s="2342"/>
      <c r="K60" s="2342"/>
      <c r="L60" s="2342"/>
      <c r="M60" s="2342"/>
      <c r="N60" s="2342"/>
      <c r="O60" s="1375"/>
      <c r="P60" s="1375"/>
    </row>
    <row r="61" spans="1:41" s="1644" customFormat="1" ht="14.25">
      <c r="D61" s="2344"/>
      <c r="E61" s="2344"/>
      <c r="F61" s="2344"/>
      <c r="G61" s="2344"/>
      <c r="H61" s="2344"/>
      <c r="I61" s="2342"/>
      <c r="J61" s="2342"/>
      <c r="K61" s="2342"/>
      <c r="L61" s="2342"/>
      <c r="M61" s="2342"/>
      <c r="N61" s="2342"/>
      <c r="O61" s="1375"/>
      <c r="P61" s="1375"/>
    </row>
    <row r="62" spans="1:41" s="1644" customFormat="1" ht="14.25">
      <c r="D62" s="2344"/>
      <c r="E62" s="2344"/>
      <c r="F62" s="2344"/>
      <c r="G62" s="2344"/>
      <c r="H62" s="2344"/>
      <c r="I62" s="2342"/>
      <c r="J62" s="2342"/>
      <c r="K62" s="2342"/>
      <c r="L62" s="2342"/>
      <c r="M62" s="2342"/>
      <c r="N62" s="2342"/>
      <c r="O62" s="1375"/>
      <c r="P62" s="1375"/>
    </row>
    <row r="63" spans="1:41" s="1644" customFormat="1" ht="14.25">
      <c r="D63" s="2344"/>
      <c r="E63" s="2344"/>
      <c r="F63" s="2344"/>
      <c r="G63" s="2344"/>
      <c r="H63" s="2344"/>
      <c r="I63" s="2342"/>
      <c r="J63" s="2342"/>
      <c r="K63" s="2342"/>
      <c r="L63" s="2342"/>
      <c r="M63" s="2342"/>
      <c r="N63" s="2342"/>
      <c r="O63" s="1375"/>
      <c r="P63" s="1375"/>
    </row>
    <row r="64" spans="1:41" s="1644" customFormat="1" ht="14.25">
      <c r="D64" s="2344"/>
      <c r="E64" s="2344"/>
      <c r="F64" s="2344"/>
      <c r="G64" s="2344"/>
      <c r="H64" s="2344"/>
      <c r="I64" s="2342"/>
      <c r="J64" s="2342"/>
      <c r="K64" s="2342"/>
      <c r="L64" s="2342"/>
      <c r="M64" s="2342"/>
      <c r="N64" s="2342"/>
      <c r="O64" s="1375"/>
      <c r="P64" s="1375"/>
    </row>
    <row r="65" spans="1:16" s="1644" customFormat="1" ht="14.25">
      <c r="D65" s="2344"/>
      <c r="E65" s="2344"/>
      <c r="F65" s="2344"/>
      <c r="G65" s="2344"/>
      <c r="H65" s="2344"/>
      <c r="I65" s="2342"/>
      <c r="J65" s="2342"/>
      <c r="K65" s="2342"/>
      <c r="L65" s="2342"/>
      <c r="M65" s="2342"/>
      <c r="N65" s="2342"/>
      <c r="O65" s="1375"/>
      <c r="P65" s="1375"/>
    </row>
    <row r="66" spans="1:16" s="1644" customFormat="1" ht="14.25">
      <c r="A66" s="2450"/>
      <c r="D66" s="2344"/>
      <c r="E66" s="2344"/>
      <c r="F66" s="2344"/>
      <c r="G66" s="2344"/>
      <c r="H66" s="2344"/>
      <c r="I66" s="2342"/>
      <c r="J66" s="2342"/>
      <c r="K66" s="2342"/>
      <c r="L66" s="2342"/>
      <c r="M66" s="2342"/>
      <c r="N66" s="2342"/>
      <c r="O66" s="1375"/>
      <c r="P66" s="1375"/>
    </row>
    <row r="67" spans="1:16" s="1644" customFormat="1" ht="14.25">
      <c r="A67" s="2450"/>
      <c r="D67" s="2344"/>
      <c r="E67" s="2344"/>
      <c r="F67" s="2344"/>
      <c r="G67" s="2344"/>
      <c r="H67" s="2344"/>
      <c r="I67" s="2342"/>
      <c r="J67" s="2342"/>
      <c r="K67" s="2342"/>
      <c r="L67" s="2342"/>
      <c r="M67" s="2342"/>
      <c r="N67" s="2342"/>
      <c r="O67" s="1375"/>
      <c r="P67" s="1375"/>
    </row>
    <row r="68" spans="1:16" s="1644" customFormat="1" ht="14.25">
      <c r="A68" s="2450"/>
      <c r="D68" s="2344"/>
      <c r="E68" s="2344"/>
      <c r="F68" s="2344"/>
      <c r="G68" s="2338"/>
      <c r="H68" s="2338"/>
      <c r="O68" s="1375"/>
      <c r="P68" s="1375"/>
    </row>
    <row r="69" spans="1:16" s="1644" customFormat="1">
      <c r="A69" s="2450"/>
      <c r="D69" s="2338"/>
      <c r="E69" s="2338"/>
      <c r="F69" s="2338"/>
      <c r="G69" s="2338"/>
      <c r="H69" s="2338"/>
      <c r="O69" s="1375"/>
      <c r="P69" s="1375"/>
    </row>
    <row r="70" spans="1:16" s="1644" customFormat="1">
      <c r="A70" s="2450"/>
      <c r="D70" s="2338"/>
      <c r="E70" s="2338"/>
      <c r="F70" s="2338"/>
      <c r="G70" s="2338"/>
      <c r="H70" s="2338"/>
      <c r="O70" s="1375"/>
      <c r="P70" s="1375"/>
    </row>
    <row r="71" spans="1:16" s="1644" customFormat="1">
      <c r="A71" s="2450"/>
      <c r="D71" s="2338"/>
      <c r="E71" s="2338"/>
      <c r="F71" s="2338"/>
      <c r="G71" s="2338"/>
      <c r="H71" s="2338"/>
      <c r="O71" s="1375"/>
      <c r="P71" s="1375"/>
    </row>
    <row r="72" spans="1:16" s="1644" customFormat="1">
      <c r="A72" s="2450"/>
      <c r="D72" s="2338"/>
      <c r="E72" s="2338"/>
      <c r="F72" s="2338"/>
      <c r="G72" s="2338"/>
      <c r="H72" s="2338"/>
      <c r="O72" s="1375"/>
      <c r="P72" s="1375"/>
    </row>
    <row r="73" spans="1:16" s="1644" customFormat="1">
      <c r="A73" s="2450"/>
      <c r="D73" s="2338"/>
      <c r="E73" s="2338"/>
      <c r="F73" s="2338"/>
      <c r="G73" s="2338"/>
      <c r="H73" s="2338"/>
      <c r="O73" s="1375"/>
      <c r="P73" s="1375"/>
    </row>
    <row r="74" spans="1:16" s="1644" customFormat="1">
      <c r="A74" s="2450"/>
      <c r="D74" s="2338"/>
      <c r="E74" s="2338"/>
      <c r="F74" s="2338"/>
      <c r="G74" s="2338"/>
      <c r="H74" s="2338"/>
      <c r="O74" s="1375"/>
      <c r="P74" s="1375"/>
    </row>
    <row r="75" spans="1:16" s="1644" customFormat="1">
      <c r="A75" s="2450"/>
      <c r="D75" s="2338"/>
      <c r="E75" s="2338"/>
      <c r="F75" s="2338"/>
      <c r="G75" s="2338"/>
      <c r="H75" s="2338"/>
      <c r="O75" s="1375"/>
      <c r="P75" s="1375"/>
    </row>
    <row r="76" spans="1:16" s="1644" customFormat="1">
      <c r="A76" s="2450"/>
      <c r="D76" s="2338"/>
      <c r="E76" s="2338"/>
      <c r="F76" s="2338"/>
      <c r="G76" s="2338"/>
      <c r="H76" s="2338"/>
      <c r="O76" s="1375"/>
      <c r="P76" s="1375"/>
    </row>
    <row r="77" spans="1:16" s="1644" customFormat="1">
      <c r="A77" s="2450"/>
      <c r="D77" s="2338"/>
      <c r="E77" s="2338"/>
      <c r="F77" s="2338"/>
      <c r="G77" s="2338"/>
      <c r="H77" s="2338"/>
      <c r="O77" s="1375"/>
      <c r="P77" s="1375"/>
    </row>
    <row r="78" spans="1:16" s="1644" customFormat="1">
      <c r="A78" s="2450"/>
      <c r="D78" s="2338"/>
      <c r="E78" s="2338"/>
      <c r="F78" s="2338"/>
      <c r="G78" s="2338"/>
      <c r="H78" s="2338"/>
      <c r="O78" s="1375"/>
      <c r="P78" s="1375"/>
    </row>
    <row r="79" spans="1:16" s="1644" customFormat="1">
      <c r="A79" s="2450"/>
      <c r="D79" s="2338"/>
      <c r="E79" s="2338"/>
      <c r="F79" s="2338"/>
      <c r="G79" s="2338"/>
      <c r="H79" s="2338"/>
      <c r="O79" s="1375"/>
      <c r="P79" s="1375"/>
    </row>
    <row r="80" spans="1:16" s="1644" customFormat="1">
      <c r="A80" s="2450"/>
      <c r="D80" s="2338"/>
      <c r="E80" s="2338"/>
      <c r="F80" s="2338"/>
      <c r="G80" s="2338"/>
      <c r="H80" s="2338"/>
      <c r="O80" s="1375"/>
      <c r="P80" s="1375"/>
    </row>
    <row r="81" spans="1:16" s="1644" customFormat="1">
      <c r="A81" s="2450"/>
      <c r="D81" s="2338"/>
      <c r="E81" s="2338"/>
      <c r="F81" s="2338"/>
      <c r="G81" s="2338"/>
      <c r="H81" s="2338"/>
      <c r="O81" s="1375"/>
      <c r="P81" s="1375"/>
    </row>
    <row r="82" spans="1:16" s="1644" customFormat="1">
      <c r="A82" s="2450"/>
      <c r="D82" s="2338"/>
      <c r="E82" s="2338"/>
      <c r="F82" s="2338"/>
      <c r="G82" s="2338"/>
      <c r="H82" s="2338"/>
      <c r="O82" s="1375"/>
      <c r="P82" s="1375"/>
    </row>
    <row r="83" spans="1:16" s="1644" customFormat="1">
      <c r="A83" s="2450"/>
      <c r="D83" s="2338"/>
      <c r="E83" s="2338"/>
      <c r="F83" s="2338"/>
      <c r="G83" s="2338"/>
      <c r="H83" s="2338"/>
      <c r="O83" s="1375"/>
      <c r="P83" s="1375"/>
    </row>
    <row r="84" spans="1:16" s="1644" customFormat="1">
      <c r="A84" s="2450"/>
      <c r="D84" s="2338"/>
      <c r="E84" s="2338"/>
      <c r="F84" s="2338"/>
      <c r="G84" s="2338"/>
      <c r="H84" s="2338"/>
      <c r="O84" s="1375"/>
      <c r="P84" s="1375"/>
    </row>
    <row r="85" spans="1:16" s="1644" customFormat="1">
      <c r="A85" s="2450"/>
      <c r="D85" s="2338"/>
      <c r="E85" s="2338"/>
      <c r="F85" s="2338"/>
      <c r="G85" s="2338"/>
      <c r="H85" s="2338"/>
      <c r="O85" s="1375"/>
      <c r="P85" s="1375"/>
    </row>
    <row r="86" spans="1:16" s="1644" customFormat="1">
      <c r="A86" s="2450"/>
      <c r="D86" s="2338"/>
      <c r="E86" s="2338"/>
      <c r="F86" s="2338"/>
      <c r="G86" s="2338"/>
      <c r="H86" s="2338"/>
      <c r="O86" s="1375"/>
      <c r="P86" s="1375"/>
    </row>
    <row r="87" spans="1:16" s="1644" customFormat="1">
      <c r="A87" s="2450"/>
      <c r="D87" s="2338"/>
      <c r="E87" s="2338"/>
      <c r="F87" s="2338"/>
      <c r="G87" s="2338"/>
      <c r="H87" s="2338"/>
      <c r="O87" s="1375"/>
      <c r="P87" s="1375"/>
    </row>
    <row r="88" spans="1:16" s="1644" customFormat="1">
      <c r="A88" s="2450"/>
      <c r="D88" s="2338"/>
      <c r="E88" s="2338"/>
      <c r="F88" s="2338"/>
      <c r="G88" s="2338"/>
      <c r="H88" s="2338"/>
      <c r="O88" s="1375"/>
      <c r="P88" s="1375"/>
    </row>
    <row r="89" spans="1:16" s="1644" customFormat="1">
      <c r="A89" s="2450"/>
      <c r="D89" s="2338"/>
      <c r="E89" s="2338"/>
      <c r="F89" s="2338"/>
      <c r="G89" s="2338"/>
      <c r="H89" s="2338"/>
      <c r="O89" s="1375"/>
      <c r="P89" s="1375"/>
    </row>
    <row r="90" spans="1:16" s="1644" customFormat="1">
      <c r="A90" s="2450"/>
      <c r="D90" s="2338"/>
      <c r="E90" s="2338"/>
      <c r="F90" s="2338"/>
      <c r="G90" s="2338"/>
      <c r="H90" s="2338"/>
      <c r="O90" s="1375"/>
      <c r="P90" s="1375"/>
    </row>
    <row r="91" spans="1:16" s="1644" customFormat="1">
      <c r="A91" s="2450"/>
      <c r="D91" s="2338"/>
      <c r="E91" s="2338"/>
      <c r="F91" s="2338"/>
      <c r="G91" s="2338"/>
      <c r="H91" s="2338"/>
      <c r="O91" s="1375"/>
      <c r="P91" s="1375"/>
    </row>
    <row r="92" spans="1:16" s="1644" customFormat="1">
      <c r="A92" s="2450"/>
      <c r="D92" s="2338"/>
      <c r="E92" s="2338"/>
      <c r="F92" s="2338"/>
      <c r="G92" s="2338"/>
      <c r="H92" s="2338"/>
      <c r="O92" s="1375"/>
      <c r="P92" s="1375"/>
    </row>
    <row r="93" spans="1:16" s="1644" customFormat="1">
      <c r="A93" s="2450"/>
      <c r="D93" s="2338"/>
      <c r="E93" s="2338"/>
      <c r="F93" s="2338"/>
      <c r="G93" s="2338"/>
      <c r="H93" s="2338"/>
      <c r="O93" s="1375"/>
      <c r="P93" s="1375"/>
    </row>
    <row r="94" spans="1:16" s="1644" customFormat="1">
      <c r="A94" s="2450"/>
      <c r="D94" s="2338"/>
      <c r="E94" s="2338"/>
      <c r="F94" s="2338"/>
      <c r="G94" s="2338"/>
      <c r="H94" s="2338"/>
      <c r="O94" s="1375"/>
      <c r="P94" s="1375"/>
    </row>
    <row r="95" spans="1:16" s="1644" customFormat="1">
      <c r="A95" s="2450"/>
      <c r="D95" s="2338"/>
      <c r="E95" s="2338"/>
      <c r="F95" s="2338"/>
      <c r="G95" s="2338"/>
      <c r="H95" s="2338"/>
      <c r="O95" s="1375"/>
      <c r="P95" s="1375"/>
    </row>
    <row r="96" spans="1:16" s="1644" customFormat="1">
      <c r="A96" s="2450"/>
      <c r="D96" s="2338"/>
      <c r="E96" s="2338"/>
      <c r="F96" s="2338"/>
      <c r="G96" s="2338"/>
      <c r="H96" s="2338"/>
      <c r="O96" s="1375"/>
      <c r="P96" s="1375"/>
    </row>
    <row r="97" spans="1:16" s="1644" customFormat="1">
      <c r="A97" s="2450"/>
      <c r="D97" s="2338"/>
      <c r="E97" s="2338"/>
      <c r="F97" s="2338"/>
      <c r="G97" s="2338"/>
      <c r="H97" s="2338"/>
      <c r="O97" s="1375"/>
      <c r="P97" s="1375"/>
    </row>
    <row r="98" spans="1:16" s="1644" customFormat="1">
      <c r="A98" s="2450"/>
      <c r="D98" s="2338"/>
      <c r="E98" s="2338"/>
      <c r="F98" s="2338"/>
      <c r="G98" s="2338"/>
      <c r="H98" s="2338"/>
      <c r="O98" s="1375"/>
      <c r="P98" s="1375"/>
    </row>
    <row r="99" spans="1:16" s="1644" customFormat="1">
      <c r="A99" s="2450"/>
      <c r="D99" s="2338"/>
      <c r="E99" s="2338"/>
      <c r="F99" s="2338"/>
      <c r="G99" s="2338"/>
      <c r="H99" s="2338"/>
      <c r="O99" s="1375"/>
      <c r="P99" s="1375"/>
    </row>
    <row r="100" spans="1:16" s="1644" customFormat="1">
      <c r="A100" s="2450"/>
      <c r="D100" s="2338"/>
      <c r="E100" s="2338"/>
      <c r="F100" s="2338"/>
      <c r="G100" s="2338"/>
      <c r="H100" s="2338"/>
      <c r="O100" s="1375"/>
      <c r="P100" s="1375"/>
    </row>
    <row r="101" spans="1:16" s="1644" customFormat="1">
      <c r="A101" s="2450"/>
      <c r="D101" s="2338"/>
      <c r="E101" s="2338"/>
      <c r="F101" s="2338"/>
      <c r="G101" s="2338"/>
      <c r="H101" s="2338"/>
      <c r="O101" s="1375"/>
      <c r="P101" s="1375"/>
    </row>
    <row r="102" spans="1:16" s="1644" customFormat="1">
      <c r="A102" s="2450"/>
      <c r="D102" s="2338"/>
      <c r="E102" s="2338"/>
      <c r="F102" s="2338"/>
      <c r="G102" s="2338"/>
      <c r="H102" s="2338"/>
      <c r="O102" s="1375"/>
      <c r="P102" s="1375"/>
    </row>
    <row r="103" spans="1:16" s="1644" customFormat="1">
      <c r="A103" s="2450"/>
      <c r="D103" s="2338"/>
      <c r="E103" s="2338"/>
      <c r="F103" s="2338"/>
      <c r="G103" s="2338"/>
      <c r="H103" s="2338"/>
      <c r="O103" s="1375"/>
      <c r="P103" s="1375"/>
    </row>
    <row r="104" spans="1:16" s="1644" customFormat="1">
      <c r="A104" s="2450"/>
      <c r="D104" s="2338"/>
      <c r="E104" s="2338"/>
      <c r="F104" s="2338"/>
      <c r="G104" s="2338"/>
      <c r="H104" s="2338"/>
      <c r="O104" s="1375"/>
      <c r="P104" s="1375"/>
    </row>
    <row r="105" spans="1:16" s="1644" customFormat="1">
      <c r="A105" s="2450"/>
      <c r="D105" s="2338"/>
      <c r="E105" s="2338"/>
      <c r="F105" s="2338"/>
      <c r="G105" s="2338"/>
      <c r="H105" s="2338"/>
      <c r="O105" s="1375"/>
      <c r="P105" s="1375"/>
    </row>
    <row r="106" spans="1:16" s="1644" customFormat="1">
      <c r="A106" s="2450"/>
      <c r="D106" s="2338"/>
      <c r="E106" s="2338"/>
      <c r="F106" s="2338"/>
      <c r="G106" s="2338"/>
      <c r="H106" s="2338"/>
      <c r="O106" s="1375"/>
      <c r="P106" s="1375"/>
    </row>
    <row r="107" spans="1:16" s="1644" customFormat="1">
      <c r="A107" s="2450"/>
      <c r="D107" s="2338"/>
      <c r="E107" s="2338"/>
      <c r="F107" s="2338"/>
      <c r="G107" s="2338"/>
      <c r="H107" s="2338"/>
      <c r="O107" s="1375"/>
      <c r="P107" s="1375"/>
    </row>
    <row r="108" spans="1:16" s="1644" customFormat="1">
      <c r="A108" s="2450"/>
      <c r="D108" s="2338"/>
      <c r="E108" s="2338"/>
      <c r="F108" s="2338"/>
      <c r="G108" s="2338"/>
      <c r="H108" s="2338"/>
      <c r="O108" s="1375"/>
      <c r="P108" s="1375"/>
    </row>
    <row r="109" spans="1:16" s="1644" customFormat="1">
      <c r="A109" s="2450"/>
      <c r="D109" s="2338"/>
      <c r="E109" s="2338"/>
      <c r="F109" s="2338"/>
      <c r="G109" s="2338"/>
      <c r="H109" s="2338"/>
      <c r="O109" s="1375"/>
      <c r="P109" s="1375"/>
    </row>
    <row r="110" spans="1:16" s="1644" customFormat="1">
      <c r="A110" s="2450"/>
      <c r="D110" s="2338"/>
      <c r="E110" s="2338"/>
      <c r="F110" s="2338"/>
      <c r="G110" s="2338"/>
      <c r="H110" s="2338"/>
      <c r="O110" s="1375"/>
      <c r="P110" s="1375"/>
    </row>
    <row r="111" spans="1:16" s="1644" customFormat="1">
      <c r="A111" s="2450"/>
      <c r="D111" s="2338"/>
      <c r="E111" s="2338"/>
      <c r="F111" s="2338"/>
      <c r="G111" s="2338"/>
      <c r="H111" s="2338"/>
      <c r="O111" s="1375"/>
      <c r="P111" s="1375"/>
    </row>
    <row r="112" spans="1:16" s="1644" customFormat="1">
      <c r="A112" s="2450"/>
      <c r="D112" s="2338"/>
      <c r="E112" s="2338"/>
      <c r="F112" s="2338"/>
      <c r="G112" s="2338"/>
      <c r="H112" s="2338"/>
      <c r="O112" s="1375"/>
      <c r="P112" s="1375"/>
    </row>
    <row r="113" spans="1:16" s="1644" customFormat="1">
      <c r="A113" s="2450"/>
      <c r="D113" s="2338"/>
      <c r="E113" s="2338"/>
      <c r="F113" s="2338"/>
      <c r="G113" s="2338"/>
      <c r="H113" s="2338"/>
      <c r="O113" s="1375"/>
      <c r="P113" s="1375"/>
    </row>
    <row r="114" spans="1:16" s="1644" customFormat="1">
      <c r="A114" s="2450"/>
      <c r="D114" s="2338"/>
      <c r="E114" s="2338"/>
      <c r="F114" s="2338"/>
      <c r="G114" s="2338"/>
      <c r="H114" s="2338"/>
      <c r="O114" s="1375"/>
      <c r="P114" s="1375"/>
    </row>
    <row r="115" spans="1:16" s="1644" customFormat="1">
      <c r="A115" s="2450"/>
      <c r="D115" s="2338"/>
      <c r="E115" s="2338"/>
      <c r="F115" s="2338"/>
      <c r="G115" s="2338"/>
      <c r="H115" s="2338"/>
      <c r="O115" s="1375"/>
      <c r="P115" s="1375"/>
    </row>
    <row r="116" spans="1:16" s="1644" customFormat="1">
      <c r="A116" s="2450"/>
      <c r="D116" s="2338"/>
      <c r="E116" s="2338"/>
      <c r="F116" s="2338"/>
      <c r="G116" s="2338"/>
      <c r="H116" s="2338"/>
      <c r="O116" s="1375"/>
      <c r="P116" s="1375"/>
    </row>
    <row r="117" spans="1:16" s="1644" customFormat="1">
      <c r="A117" s="2450"/>
      <c r="D117" s="2338"/>
      <c r="E117" s="2338"/>
      <c r="F117" s="2338"/>
      <c r="G117" s="2338"/>
      <c r="H117" s="2338"/>
      <c r="O117" s="1375"/>
      <c r="P117" s="1375"/>
    </row>
    <row r="118" spans="1:16" s="1644" customFormat="1">
      <c r="A118" s="2450"/>
      <c r="D118" s="2338"/>
      <c r="E118" s="2338"/>
      <c r="F118" s="2338"/>
      <c r="G118" s="2338"/>
      <c r="H118" s="2338"/>
      <c r="O118" s="1375"/>
      <c r="P118" s="1375"/>
    </row>
    <row r="119" spans="1:16" s="1644" customFormat="1">
      <c r="A119" s="2450"/>
      <c r="D119" s="2338"/>
      <c r="E119" s="2338"/>
      <c r="F119" s="2338"/>
      <c r="G119" s="2338"/>
      <c r="H119" s="2338"/>
      <c r="O119" s="1375"/>
      <c r="P119" s="1375"/>
    </row>
    <row r="120" spans="1:16" s="1644" customFormat="1">
      <c r="A120" s="2450"/>
      <c r="D120" s="2338"/>
      <c r="E120" s="2338"/>
      <c r="F120" s="2338"/>
      <c r="G120" s="2338"/>
      <c r="H120" s="2338"/>
      <c r="O120" s="1375"/>
      <c r="P120" s="1375"/>
    </row>
    <row r="121" spans="1:16" s="1644" customFormat="1">
      <c r="A121" s="2450"/>
      <c r="D121" s="2338"/>
      <c r="E121" s="2338"/>
      <c r="F121" s="2338"/>
      <c r="G121" s="2338"/>
      <c r="H121" s="2338"/>
      <c r="O121" s="1375"/>
      <c r="P121" s="1375"/>
    </row>
    <row r="122" spans="1:16" s="1644" customFormat="1">
      <c r="A122" s="2450"/>
      <c r="D122" s="2338"/>
      <c r="E122" s="2338"/>
      <c r="F122" s="2338"/>
      <c r="G122" s="2338"/>
      <c r="H122" s="2338"/>
      <c r="O122" s="1375"/>
      <c r="P122" s="1375"/>
    </row>
    <row r="123" spans="1:16" s="1644" customFormat="1">
      <c r="A123" s="2450"/>
      <c r="D123" s="2338"/>
      <c r="E123" s="2338"/>
      <c r="F123" s="2338"/>
      <c r="G123" s="2338"/>
      <c r="H123" s="2338"/>
      <c r="O123" s="1375"/>
      <c r="P123" s="1375"/>
    </row>
    <row r="124" spans="1:16" s="1644" customFormat="1">
      <c r="A124" s="2450"/>
      <c r="D124" s="2338"/>
      <c r="E124" s="2338"/>
      <c r="F124" s="2338"/>
      <c r="G124" s="2338"/>
      <c r="H124" s="2338"/>
      <c r="O124" s="1375"/>
      <c r="P124" s="1375"/>
    </row>
    <row r="125" spans="1:16" s="1644" customFormat="1">
      <c r="A125" s="2450"/>
      <c r="D125" s="2338"/>
      <c r="E125" s="2338"/>
      <c r="F125" s="2338"/>
      <c r="G125" s="2338"/>
      <c r="H125" s="2338"/>
      <c r="O125" s="1375"/>
      <c r="P125" s="1375"/>
    </row>
    <row r="126" spans="1:16" s="1644" customFormat="1">
      <c r="A126" s="2450"/>
      <c r="D126" s="2338"/>
      <c r="E126" s="2338"/>
      <c r="F126" s="2338"/>
      <c r="G126" s="2338"/>
      <c r="H126" s="2338"/>
      <c r="O126" s="1375"/>
      <c r="P126" s="1375"/>
    </row>
    <row r="127" spans="1:16" s="1644" customFormat="1">
      <c r="A127" s="2450"/>
      <c r="D127" s="2338"/>
      <c r="E127" s="2338"/>
      <c r="F127" s="2338"/>
      <c r="G127" s="2338"/>
      <c r="H127" s="2338"/>
      <c r="O127" s="1375"/>
      <c r="P127" s="1375"/>
    </row>
    <row r="128" spans="1:16" s="1644" customFormat="1">
      <c r="A128" s="2450"/>
      <c r="D128" s="2338"/>
      <c r="E128" s="2338"/>
      <c r="F128" s="2338"/>
      <c r="G128" s="2338"/>
      <c r="H128" s="2338"/>
      <c r="O128" s="1375"/>
      <c r="P128" s="1375"/>
    </row>
    <row r="129" spans="1:16" s="1644" customFormat="1">
      <c r="A129" s="2450"/>
      <c r="D129" s="2338"/>
      <c r="E129" s="2338"/>
      <c r="F129" s="2338"/>
      <c r="G129" s="2338"/>
      <c r="H129" s="2338"/>
      <c r="O129" s="1375"/>
      <c r="P129" s="1375"/>
    </row>
    <row r="130" spans="1:16" s="1644" customFormat="1">
      <c r="A130" s="2450"/>
      <c r="D130" s="2338"/>
      <c r="E130" s="2338"/>
      <c r="F130" s="2338"/>
      <c r="G130" s="2338"/>
      <c r="H130" s="2338"/>
      <c r="O130" s="1375"/>
      <c r="P130" s="1375"/>
    </row>
    <row r="131" spans="1:16" s="1644" customFormat="1">
      <c r="A131" s="2450"/>
      <c r="D131" s="2338"/>
      <c r="E131" s="2338"/>
      <c r="F131" s="2338"/>
      <c r="G131" s="2338"/>
      <c r="H131" s="2338"/>
      <c r="O131" s="1375"/>
      <c r="P131" s="1375"/>
    </row>
    <row r="132" spans="1:16" s="1644" customFormat="1">
      <c r="A132" s="2450"/>
      <c r="D132" s="2338"/>
      <c r="E132" s="2338"/>
      <c r="F132" s="2338"/>
      <c r="G132" s="2338"/>
      <c r="H132" s="2338"/>
      <c r="O132" s="1375"/>
      <c r="P132" s="1375"/>
    </row>
    <row r="133" spans="1:16" s="1644" customFormat="1">
      <c r="A133" s="2450"/>
      <c r="D133" s="2338"/>
      <c r="E133" s="2338"/>
      <c r="F133" s="2338"/>
      <c r="G133" s="2338"/>
      <c r="H133" s="2338"/>
      <c r="O133" s="1375"/>
      <c r="P133" s="1375"/>
    </row>
    <row r="134" spans="1:16" s="1644" customFormat="1">
      <c r="A134" s="2450"/>
      <c r="D134" s="2338"/>
      <c r="E134" s="2338"/>
      <c r="F134" s="2338"/>
      <c r="G134" s="2338"/>
      <c r="H134" s="2338"/>
      <c r="O134" s="1375"/>
      <c r="P134" s="1375"/>
    </row>
    <row r="135" spans="1:16" s="1644" customFormat="1">
      <c r="A135" s="2450"/>
      <c r="D135" s="2338"/>
      <c r="E135" s="2338"/>
      <c r="F135" s="2338"/>
      <c r="G135" s="2338"/>
      <c r="H135" s="2338"/>
      <c r="O135" s="1375"/>
      <c r="P135" s="1375"/>
    </row>
    <row r="136" spans="1:16" s="1644" customFormat="1">
      <c r="A136" s="2450"/>
      <c r="D136" s="2338"/>
      <c r="E136" s="2338"/>
      <c r="F136" s="2338"/>
      <c r="G136" s="2338"/>
      <c r="H136" s="2338"/>
      <c r="O136" s="1375"/>
      <c r="P136" s="1375"/>
    </row>
    <row r="137" spans="1:16" s="1644" customFormat="1">
      <c r="A137" s="2450"/>
      <c r="D137" s="2338"/>
      <c r="E137" s="2338"/>
      <c r="F137" s="2338"/>
      <c r="G137" s="2338"/>
      <c r="H137" s="2338"/>
      <c r="O137" s="1375"/>
      <c r="P137" s="1375"/>
    </row>
    <row r="138" spans="1:16" s="1644" customFormat="1">
      <c r="A138" s="2450"/>
      <c r="D138" s="2338"/>
      <c r="E138" s="2338"/>
      <c r="F138" s="2338"/>
      <c r="G138" s="2338"/>
      <c r="H138" s="2338"/>
      <c r="O138" s="1375"/>
      <c r="P138" s="1375"/>
    </row>
    <row r="139" spans="1:16" s="1644" customFormat="1">
      <c r="A139" s="2450"/>
      <c r="D139" s="2338"/>
      <c r="E139" s="2338"/>
      <c r="F139" s="2338"/>
      <c r="G139" s="2338"/>
      <c r="H139" s="2338"/>
      <c r="O139" s="1375"/>
      <c r="P139" s="1375"/>
    </row>
    <row r="140" spans="1:16" s="1644" customFormat="1">
      <c r="A140" s="2450"/>
      <c r="D140" s="2338"/>
      <c r="E140" s="2338"/>
      <c r="F140" s="2338"/>
      <c r="G140" s="2338"/>
      <c r="H140" s="2338"/>
      <c r="O140" s="1375"/>
      <c r="P140" s="1375"/>
    </row>
    <row r="141" spans="1:16" s="1644" customFormat="1">
      <c r="A141" s="2450"/>
      <c r="D141" s="2338"/>
      <c r="E141" s="2338"/>
      <c r="F141" s="2338"/>
      <c r="G141" s="2338"/>
      <c r="H141" s="2338"/>
      <c r="O141" s="1375"/>
      <c r="P141" s="1375"/>
    </row>
    <row r="142" spans="1:16" s="1644" customFormat="1">
      <c r="A142" s="2450"/>
      <c r="D142" s="2338"/>
      <c r="E142" s="2338"/>
      <c r="F142" s="2338"/>
      <c r="G142" s="2338"/>
      <c r="H142" s="2338"/>
      <c r="O142" s="1375"/>
      <c r="P142" s="1375"/>
    </row>
    <row r="143" spans="1:16" s="1644" customFormat="1">
      <c r="A143" s="2450"/>
      <c r="D143" s="2338"/>
      <c r="E143" s="2338"/>
      <c r="F143" s="2338"/>
      <c r="G143" s="2338"/>
      <c r="H143" s="2338"/>
      <c r="O143" s="1375"/>
      <c r="P143" s="1375"/>
    </row>
    <row r="144" spans="1:16" s="1644" customFormat="1">
      <c r="A144" s="2450"/>
      <c r="D144" s="2338"/>
      <c r="E144" s="2338"/>
      <c r="F144" s="2338"/>
      <c r="G144" s="2338"/>
      <c r="H144" s="2338"/>
      <c r="O144" s="1375"/>
      <c r="P144" s="1375"/>
    </row>
    <row r="145" spans="1:16" s="1644" customFormat="1">
      <c r="A145" s="2450"/>
      <c r="D145" s="2338"/>
      <c r="E145" s="2338"/>
      <c r="F145" s="2338"/>
      <c r="G145" s="2338"/>
      <c r="H145" s="2338"/>
      <c r="O145" s="1375"/>
      <c r="P145" s="1375"/>
    </row>
    <row r="146" spans="1:16" s="1644" customFormat="1">
      <c r="A146" s="2450"/>
      <c r="D146" s="2338"/>
      <c r="E146" s="2338"/>
      <c r="F146" s="2338"/>
      <c r="G146" s="2338"/>
      <c r="H146" s="2338"/>
      <c r="O146" s="1375"/>
      <c r="P146" s="1375"/>
    </row>
    <row r="147" spans="1:16" s="1644" customFormat="1">
      <c r="A147" s="2450"/>
      <c r="D147" s="2338"/>
      <c r="E147" s="2338"/>
      <c r="F147" s="2338"/>
      <c r="G147" s="2338"/>
      <c r="H147" s="2338"/>
      <c r="O147" s="1375"/>
      <c r="P147" s="1375"/>
    </row>
    <row r="148" spans="1:16" s="1644" customFormat="1">
      <c r="A148" s="2450"/>
      <c r="D148" s="2338"/>
      <c r="E148" s="2338"/>
      <c r="F148" s="2338"/>
      <c r="G148" s="2338"/>
      <c r="H148" s="2338"/>
      <c r="O148" s="1375"/>
      <c r="P148" s="1375"/>
    </row>
    <row r="149" spans="1:16" s="1644" customFormat="1">
      <c r="A149" s="2450"/>
      <c r="D149" s="2338"/>
      <c r="E149" s="2338"/>
      <c r="F149" s="2338"/>
      <c r="G149" s="2338"/>
      <c r="H149" s="2338"/>
      <c r="O149" s="1375"/>
      <c r="P149" s="1375"/>
    </row>
    <row r="150" spans="1:16" s="1644" customFormat="1">
      <c r="A150" s="2450"/>
      <c r="D150" s="2338"/>
      <c r="E150" s="2338"/>
      <c r="F150" s="2338"/>
      <c r="G150" s="2338"/>
      <c r="H150" s="2338"/>
      <c r="O150" s="1375"/>
      <c r="P150" s="1375"/>
    </row>
    <row r="151" spans="1:16" s="1644" customFormat="1">
      <c r="A151" s="2450"/>
      <c r="D151" s="2338"/>
      <c r="E151" s="2338"/>
      <c r="F151" s="2338"/>
      <c r="G151" s="2338"/>
      <c r="H151" s="2338"/>
      <c r="O151" s="1375"/>
      <c r="P151" s="1375"/>
    </row>
    <row r="152" spans="1:16" s="1644" customFormat="1">
      <c r="A152" s="2450"/>
      <c r="D152" s="2338"/>
      <c r="E152" s="2338"/>
      <c r="F152" s="2338"/>
      <c r="G152" s="2338"/>
      <c r="H152" s="2338"/>
      <c r="O152" s="1375"/>
      <c r="P152" s="1375"/>
    </row>
    <row r="153" spans="1:16" s="1644" customFormat="1">
      <c r="A153" s="2335"/>
      <c r="B153" s="2336"/>
      <c r="D153" s="2338"/>
      <c r="E153" s="2338"/>
      <c r="F153" s="2338"/>
      <c r="G153" s="2338"/>
      <c r="H153" s="2338"/>
      <c r="O153" s="1375"/>
      <c r="P153" s="1375"/>
    </row>
    <row r="154" spans="1:16" s="1644" customFormat="1">
      <c r="A154" s="2335"/>
      <c r="B154" s="2336"/>
      <c r="D154" s="2338"/>
      <c r="E154" s="2338"/>
      <c r="F154" s="2338"/>
      <c r="G154" s="2338"/>
      <c r="H154" s="2338"/>
      <c r="O154" s="1375"/>
      <c r="P154" s="1375"/>
    </row>
    <row r="155" spans="1:16">
      <c r="D155" s="2338"/>
      <c r="E155" s="2338"/>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2837" t="s">
        <v>557</v>
      </c>
      <c r="B1" s="2838"/>
      <c r="C1" s="2838"/>
      <c r="D1" s="2838"/>
      <c r="E1" s="2838"/>
      <c r="F1" s="2838"/>
      <c r="G1" s="2838"/>
      <c r="H1" s="2279"/>
      <c r="I1" s="2322"/>
      <c r="J1" s="2279"/>
      <c r="K1" s="2279"/>
      <c r="L1" s="2322"/>
      <c r="M1" s="2279"/>
      <c r="N1" s="2279"/>
      <c r="O1" s="2322"/>
      <c r="P1" s="2279"/>
      <c r="Q1" s="2329"/>
      <c r="R1" s="2330"/>
      <c r="S1" s="2331"/>
      <c r="T1" s="2331"/>
      <c r="U1" s="2331"/>
      <c r="V1" s="2331"/>
      <c r="W1" s="2331"/>
      <c r="X1" s="2331"/>
      <c r="Y1" s="2331"/>
      <c r="Z1" s="2331"/>
      <c r="AA1" s="2331"/>
      <c r="AB1" s="2331"/>
      <c r="AC1" s="2331"/>
    </row>
    <row r="2" spans="1:29" ht="15">
      <c r="A2" s="2280"/>
      <c r="B2" s="2281"/>
      <c r="C2" s="2282" t="s">
        <v>558</v>
      </c>
      <c r="D2" s="2283"/>
      <c r="E2" s="2284"/>
      <c r="F2" s="2285"/>
      <c r="G2" s="2282" t="s">
        <v>559</v>
      </c>
      <c r="H2" s="2271"/>
      <c r="I2" s="2271"/>
      <c r="J2" s="2271"/>
      <c r="K2" s="2271"/>
      <c r="L2" s="2271"/>
      <c r="M2" s="2271"/>
      <c r="N2" s="2271"/>
      <c r="O2" s="2271"/>
      <c r="P2" s="2271"/>
      <c r="Q2" s="2271"/>
      <c r="R2" s="2271"/>
    </row>
    <row r="3" spans="1:29" ht="54">
      <c r="A3" s="738" t="s">
        <v>560</v>
      </c>
      <c r="B3" s="2286" t="s">
        <v>207</v>
      </c>
      <c r="C3" s="2287" t="s">
        <v>561</v>
      </c>
      <c r="D3" s="2288"/>
      <c r="E3" s="749" t="s">
        <v>560</v>
      </c>
      <c r="F3" s="2289" t="s">
        <v>210</v>
      </c>
      <c r="G3" s="2290" t="s">
        <v>562</v>
      </c>
      <c r="H3" s="2271"/>
      <c r="I3" s="2271"/>
      <c r="J3" s="2271"/>
      <c r="K3" s="2271"/>
      <c r="L3" s="2271"/>
      <c r="M3" s="2271"/>
      <c r="N3" s="2271"/>
      <c r="O3" s="2271"/>
      <c r="P3" s="2271"/>
      <c r="Q3" s="2271"/>
      <c r="R3" s="2271"/>
    </row>
    <row r="4" spans="1:29" ht="41.25">
      <c r="A4" s="749"/>
      <c r="B4" s="905" t="s">
        <v>208</v>
      </c>
      <c r="C4" s="2291" t="s">
        <v>563</v>
      </c>
      <c r="D4" s="2288"/>
      <c r="E4" s="2292"/>
      <c r="F4" s="2202" t="s">
        <v>211</v>
      </c>
      <c r="G4" s="2293" t="s">
        <v>564</v>
      </c>
      <c r="H4" s="2271"/>
      <c r="I4" s="2271"/>
      <c r="J4" s="2271"/>
      <c r="K4" s="2271"/>
      <c r="L4" s="2271"/>
      <c r="M4" s="2271"/>
      <c r="N4" s="2271"/>
      <c r="O4" s="2271"/>
      <c r="P4" s="2271"/>
      <c r="Q4" s="2271"/>
      <c r="R4" s="2271"/>
    </row>
    <row r="5" spans="1:29" ht="41.25">
      <c r="A5" s="749"/>
      <c r="B5" s="905" t="s">
        <v>209</v>
      </c>
      <c r="C5" s="2291" t="s">
        <v>565</v>
      </c>
      <c r="D5" s="2288"/>
      <c r="E5" s="2292"/>
      <c r="F5" s="905" t="s">
        <v>213</v>
      </c>
      <c r="G5" s="2293" t="s">
        <v>566</v>
      </c>
      <c r="H5" s="2271"/>
      <c r="I5" s="2271"/>
      <c r="J5" s="2271"/>
      <c r="K5" s="2271"/>
      <c r="L5" s="2271"/>
      <c r="M5" s="2271"/>
      <c r="N5" s="2271"/>
      <c r="O5" s="2271"/>
      <c r="P5" s="2271"/>
      <c r="Q5" s="2271"/>
      <c r="R5" s="2271"/>
    </row>
    <row r="6" spans="1:29" ht="54">
      <c r="A6" s="749"/>
      <c r="B6" s="905" t="s">
        <v>211</v>
      </c>
      <c r="C6" s="2293" t="s">
        <v>564</v>
      </c>
      <c r="D6" s="2288"/>
      <c r="E6" s="2292"/>
      <c r="F6" s="905" t="s">
        <v>214</v>
      </c>
      <c r="G6" s="2293" t="s">
        <v>567</v>
      </c>
      <c r="H6" s="2271"/>
      <c r="I6" s="2271"/>
      <c r="J6" s="2271"/>
      <c r="K6" s="2271"/>
      <c r="L6" s="2271"/>
      <c r="M6" s="2271"/>
      <c r="N6" s="2271"/>
      <c r="O6" s="2271"/>
      <c r="P6" s="2271"/>
      <c r="Q6" s="2271"/>
      <c r="R6" s="2271"/>
    </row>
    <row r="7" spans="1:29" ht="40.5">
      <c r="A7" s="749"/>
      <c r="B7" s="905" t="s">
        <v>213</v>
      </c>
      <c r="C7" s="2293" t="s">
        <v>566</v>
      </c>
      <c r="D7" s="2294"/>
      <c r="E7" s="2295"/>
      <c r="F7" s="2296" t="s">
        <v>568</v>
      </c>
      <c r="G7" s="2297" t="s">
        <v>569</v>
      </c>
      <c r="H7" s="2271"/>
      <c r="I7" s="2271"/>
      <c r="J7" s="2271"/>
      <c r="K7" s="2271"/>
      <c r="L7" s="2271"/>
      <c r="M7" s="2271"/>
      <c r="N7" s="2271"/>
      <c r="O7" s="2271"/>
      <c r="P7" s="2271"/>
      <c r="Q7" s="2271"/>
      <c r="R7" s="2271"/>
    </row>
    <row r="8" spans="1:29" ht="27">
      <c r="A8" s="749"/>
      <c r="B8" s="905" t="s">
        <v>214</v>
      </c>
      <c r="C8" s="2293" t="s">
        <v>567</v>
      </c>
      <c r="D8" s="2294"/>
      <c r="E8" s="2294"/>
      <c r="F8" s="866"/>
      <c r="G8" s="866"/>
      <c r="H8" s="2271"/>
      <c r="I8" s="2271"/>
      <c r="J8" s="2271"/>
      <c r="K8" s="2271"/>
      <c r="L8" s="2271"/>
      <c r="M8" s="2271"/>
      <c r="N8" s="2271"/>
      <c r="O8" s="2271"/>
      <c r="P8" s="2271"/>
      <c r="Q8" s="2271"/>
      <c r="R8" s="2271"/>
    </row>
    <row r="9" spans="1:29" ht="27">
      <c r="A9" s="749"/>
      <c r="B9" s="905" t="s">
        <v>570</v>
      </c>
      <c r="C9" s="2291" t="s">
        <v>571</v>
      </c>
      <c r="D9" s="2288"/>
      <c r="E9" s="2294"/>
      <c r="F9" s="866"/>
      <c r="G9" s="866"/>
      <c r="H9" s="2271"/>
      <c r="I9" s="2271"/>
      <c r="J9" s="2271"/>
      <c r="K9" s="2271"/>
      <c r="L9" s="2271"/>
      <c r="M9" s="2271"/>
      <c r="N9" s="2271"/>
      <c r="O9" s="2271"/>
      <c r="P9" s="2271"/>
      <c r="Q9" s="2271"/>
      <c r="R9" s="2271"/>
    </row>
    <row r="10" spans="1:29" s="705" customFormat="1" ht="15">
      <c r="A10" s="2298"/>
      <c r="B10" s="2215" t="s">
        <v>572</v>
      </c>
      <c r="C10" s="2299"/>
      <c r="D10" s="2288"/>
      <c r="E10" s="2288"/>
      <c r="F10" s="866"/>
      <c r="G10" s="866"/>
      <c r="H10" s="2300"/>
      <c r="I10" s="2323"/>
      <c r="J10" s="2324"/>
      <c r="K10" s="2300"/>
      <c r="L10" s="2323"/>
      <c r="M10" s="2324"/>
      <c r="N10" s="2300"/>
      <c r="O10" s="2323"/>
      <c r="P10" s="2324"/>
      <c r="Q10" s="2300"/>
      <c r="R10" s="2323"/>
      <c r="S10" s="2271"/>
      <c r="T10" s="2271"/>
      <c r="U10" s="2271"/>
      <c r="V10" s="2271"/>
      <c r="W10" s="2271"/>
      <c r="X10" s="2271"/>
      <c r="Y10" s="2271"/>
      <c r="Z10" s="2271"/>
      <c r="AA10" s="2271"/>
      <c r="AB10" s="2271"/>
      <c r="AC10" s="2271"/>
    </row>
    <row r="11" spans="1:29" s="705" customFormat="1" ht="15">
      <c r="A11" s="2301"/>
      <c r="B11" s="2294"/>
      <c r="C11" s="2288"/>
      <c r="D11" s="2288"/>
      <c r="E11" s="2288"/>
      <c r="F11" s="2294"/>
      <c r="G11" s="982"/>
      <c r="H11" s="2300"/>
      <c r="I11" s="2323"/>
      <c r="J11" s="2324"/>
      <c r="K11" s="2300"/>
      <c r="L11" s="2323"/>
      <c r="M11" s="2324"/>
      <c r="N11" s="2300"/>
      <c r="O11" s="2323"/>
      <c r="P11" s="2324"/>
      <c r="Q11" s="2300"/>
      <c r="R11" s="2323"/>
      <c r="S11" s="2271"/>
      <c r="T11" s="2271"/>
      <c r="U11" s="2271"/>
      <c r="V11" s="2271"/>
      <c r="W11" s="2271"/>
      <c r="X11" s="2271"/>
      <c r="Y11" s="2271"/>
      <c r="Z11" s="2271"/>
      <c r="AA11" s="2271"/>
      <c r="AB11" s="2271"/>
      <c r="AC11" s="2271"/>
    </row>
    <row r="12" spans="1:29" s="2270" customFormat="1" ht="18">
      <c r="A12" s="2301"/>
      <c r="B12" s="2294"/>
      <c r="C12" s="2288"/>
      <c r="D12" s="2302"/>
      <c r="E12" s="2288"/>
      <c r="F12" s="2294"/>
      <c r="G12" s="982"/>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573</v>
      </c>
      <c r="B13" s="2302"/>
      <c r="C13" s="2302"/>
      <c r="D13" s="2283"/>
      <c r="E13" s="2302"/>
      <c r="F13" s="2302"/>
      <c r="G13" s="2302"/>
    </row>
    <row r="14" spans="1:29" ht="15">
      <c r="A14" s="2305"/>
      <c r="B14" s="2306"/>
      <c r="C14" s="2307" t="s">
        <v>558</v>
      </c>
      <c r="D14" s="2288"/>
      <c r="E14" s="2308"/>
      <c r="F14" s="2308"/>
      <c r="G14" s="2282" t="s">
        <v>559</v>
      </c>
    </row>
    <row r="15" spans="1:29" ht="57">
      <c r="A15" s="1163" t="s">
        <v>560</v>
      </c>
      <c r="B15" s="2309" t="s">
        <v>207</v>
      </c>
      <c r="C15" s="2310" t="str">
        <f>C3</f>
        <v>估价对象周边居住用地比例、居住小区规模和社区发展完善程度，综合评价居住社区成熟度一般</v>
      </c>
      <c r="D15" s="2288"/>
      <c r="E15" s="2311" t="s">
        <v>560</v>
      </c>
      <c r="F15" s="2309" t="s">
        <v>210</v>
      </c>
      <c r="G15" s="741" t="str">
        <f>G3</f>
        <v>估价对象位于XX开发区，园区建设成熟度XX，产业集聚程度XX</v>
      </c>
    </row>
    <row r="16" spans="1:29" ht="42.75">
      <c r="A16" s="1170"/>
      <c r="B16" s="1052" t="s">
        <v>208</v>
      </c>
      <c r="C16" s="2312" t="str">
        <f>C4</f>
        <v>估价对象位于XX商圈，周边商业氛围成熟，人流量大，商业繁华度好</v>
      </c>
      <c r="D16" s="2288"/>
      <c r="E16" s="2313"/>
      <c r="F16" s="2200" t="s">
        <v>211</v>
      </c>
      <c r="G16" s="745" t="str">
        <f>G4</f>
        <v>估价对象周边道路状况、公共交通通达情况、停车便捷程度，综合评价交通便捷度较好</v>
      </c>
    </row>
    <row r="17" spans="1:18" ht="42.75">
      <c r="A17" s="1170"/>
      <c r="B17" s="1052" t="s">
        <v>209</v>
      </c>
      <c r="C17" s="2312" t="str">
        <f>C5</f>
        <v>估价对象位于XX商圈，周边办公楼项目较多，入驻率高，办公集聚程度较好</v>
      </c>
      <c r="D17" s="2294"/>
      <c r="E17" s="2313"/>
      <c r="F17" s="2200" t="s">
        <v>212</v>
      </c>
      <c r="G17" s="2314"/>
    </row>
    <row r="18" spans="1:18" ht="57">
      <c r="A18" s="1170"/>
      <c r="B18" s="2200" t="s">
        <v>211</v>
      </c>
      <c r="C18" s="745" t="str">
        <f>C6</f>
        <v>估价对象周边道路状况、公共交通通达情况、停车便捷程度，综合评价交通便捷度较好</v>
      </c>
      <c r="D18" s="2294"/>
      <c r="E18" s="2313"/>
      <c r="F18" s="2200" t="s">
        <v>568</v>
      </c>
      <c r="G18" s="745" t="str">
        <f>G7</f>
        <v>该园区内是否有污染型企业，绿化情况，卫生条件，整体环境状况判断</v>
      </c>
    </row>
    <row r="19" spans="1:18" ht="28.5">
      <c r="A19" s="1170"/>
      <c r="B19" s="2200" t="s">
        <v>212</v>
      </c>
      <c r="C19" s="2314"/>
      <c r="D19" s="2288"/>
      <c r="E19" s="2313"/>
      <c r="F19" s="905" t="s">
        <v>213</v>
      </c>
      <c r="G19" s="745" t="str">
        <f>G5</f>
        <v>估价对象所在区域公共配套设施齐备情况</v>
      </c>
    </row>
    <row r="20" spans="1:18" ht="28.5">
      <c r="A20" s="1170"/>
      <c r="B20" s="2200" t="s">
        <v>574</v>
      </c>
      <c r="C20" s="2312" t="str">
        <f>C9</f>
        <v>区域自然环境：；人文环境；综合评价环境状况一般</v>
      </c>
      <c r="D20" s="2294"/>
      <c r="E20" s="2313"/>
      <c r="F20" s="905" t="s">
        <v>214</v>
      </c>
      <c r="G20" s="745" t="str">
        <f>G6</f>
        <v>估价对象所在区域基础设施水平</v>
      </c>
    </row>
    <row r="21" spans="1:18" ht="28.5">
      <c r="A21" s="1170"/>
      <c r="B21" s="905" t="s">
        <v>213</v>
      </c>
      <c r="C21" s="745" t="str">
        <f>C7</f>
        <v>估价对象所在区域公共配套设施齐备情况</v>
      </c>
      <c r="D21" s="2288"/>
      <c r="E21" s="2313"/>
      <c r="F21" s="2200" t="s">
        <v>216</v>
      </c>
      <c r="G21" s="2315"/>
    </row>
    <row r="22" spans="1:18" ht="28.5">
      <c r="A22" s="1170"/>
      <c r="B22" s="905" t="s">
        <v>214</v>
      </c>
      <c r="C22" s="745" t="str">
        <f>C8</f>
        <v>估价对象所在区域基础设施水平</v>
      </c>
      <c r="D22" s="2288"/>
      <c r="E22" s="2313"/>
      <c r="F22" s="2200" t="s">
        <v>572</v>
      </c>
      <c r="G22" s="2316"/>
    </row>
    <row r="23" spans="1:18" s="2271" customFormat="1" ht="15">
      <c r="A23" s="1170"/>
      <c r="B23" s="2200" t="s">
        <v>216</v>
      </c>
      <c r="C23" s="2315"/>
      <c r="D23" s="2276"/>
      <c r="E23" s="2317"/>
      <c r="F23" s="2214" t="s">
        <v>575</v>
      </c>
      <c r="G23" s="2318"/>
      <c r="H23" s="2276"/>
      <c r="I23" s="2277"/>
      <c r="J23" s="2276"/>
      <c r="K23" s="2276"/>
      <c r="L23" s="2277"/>
      <c r="M23" s="2276"/>
      <c r="N23" s="2276"/>
      <c r="O23" s="2277"/>
      <c r="P23" s="2276"/>
      <c r="Q23" s="2276"/>
      <c r="R23" s="2278"/>
    </row>
    <row r="24" spans="1:18" s="2271" customFormat="1" ht="15">
      <c r="A24" s="2319"/>
      <c r="B24" s="2214" t="s">
        <v>572</v>
      </c>
      <c r="C24" s="792">
        <f>C10</f>
        <v>0</v>
      </c>
      <c r="D24" s="2276"/>
      <c r="E24" s="2320"/>
      <c r="F24" s="2320"/>
      <c r="G24" s="2321"/>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2259" t="s">
        <v>576</v>
      </c>
      <c r="B1" s="2259">
        <f>SUM(B14:B23)</f>
        <v>54.92</v>
      </c>
      <c r="C1" s="2260"/>
      <c r="D1" s="2260"/>
      <c r="E1" s="2260"/>
      <c r="F1" s="2260"/>
      <c r="G1" s="2261"/>
    </row>
    <row r="2" spans="1:9" ht="16.5">
      <c r="A2" s="2259" t="s">
        <v>577</v>
      </c>
      <c r="B2" s="2259">
        <f>SUM(C14:C23)</f>
        <v>0</v>
      </c>
      <c r="C2" s="2260"/>
      <c r="D2" s="2260"/>
      <c r="E2" s="2260"/>
      <c r="F2" s="2260"/>
      <c r="G2" s="2261"/>
    </row>
    <row r="3" spans="1:9" ht="16.5">
      <c r="A3" s="2259" t="s">
        <v>578</v>
      </c>
      <c r="B3" s="2262">
        <f>项目基本情况!D2</f>
        <v>43695</v>
      </c>
      <c r="C3" s="2260"/>
      <c r="D3" s="2260"/>
      <c r="E3" s="2260"/>
      <c r="F3" s="2260"/>
      <c r="G3" s="2261"/>
    </row>
    <row r="4" spans="1:9" ht="33">
      <c r="A4" s="2259" t="s">
        <v>579</v>
      </c>
      <c r="B4" s="2259" t="s">
        <v>580</v>
      </c>
      <c r="C4" s="2259" t="s">
        <v>581</v>
      </c>
      <c r="D4" s="2259" t="s">
        <v>582</v>
      </c>
      <c r="E4" s="2260"/>
      <c r="F4" s="2261"/>
      <c r="G4" s="2261"/>
    </row>
    <row r="5" spans="1:9" ht="16.5">
      <c r="A5" s="2259" t="s">
        <v>583</v>
      </c>
      <c r="B5" s="2259">
        <f ca="1">SUM(D14:D23)</f>
        <v>325.53829999999999</v>
      </c>
      <c r="C5" s="2259">
        <f ca="1">ROUND(B5*10000/$B$1,0)</f>
        <v>59275</v>
      </c>
      <c r="D5" s="2259" t="e">
        <f ca="1">ROUND(B5*10000/$B$2,0)</f>
        <v>#DIV/0!</v>
      </c>
      <c r="E5" s="2260"/>
      <c r="F5" s="2261"/>
      <c r="G5" s="2261"/>
    </row>
    <row r="6" spans="1:9" ht="16.5">
      <c r="A6" s="2259" t="s">
        <v>584</v>
      </c>
      <c r="B6" s="2259">
        <f ca="1">SUM(G14:G23)</f>
        <v>325.53829999999999</v>
      </c>
      <c r="C6" s="2259">
        <f t="shared" ref="C6:C8" ca="1" si="0">ROUND(B6*10000/$B$1,0)</f>
        <v>59275</v>
      </c>
      <c r="D6" s="2259" t="e">
        <f t="shared" ref="D6:D8" ca="1" si="1">ROUND(B6*10000/$B$2,0)</f>
        <v>#DIV/0!</v>
      </c>
      <c r="E6" s="2260"/>
      <c r="F6" s="2261"/>
      <c r="G6" s="2261"/>
    </row>
    <row r="7" spans="1:9" ht="16.5">
      <c r="A7" s="2259" t="s">
        <v>585</v>
      </c>
      <c r="B7" s="2259" t="e">
        <f>SUM(H14:H23)</f>
        <v>#VALUE!</v>
      </c>
      <c r="C7" s="2259" t="e">
        <f>ROUND(B7*10000/$B$1,0)</f>
        <v>#VALUE!</v>
      </c>
      <c r="D7" s="2259" t="e">
        <f t="shared" si="1"/>
        <v>#VALUE!</v>
      </c>
      <c r="E7" s="2260"/>
      <c r="F7" s="2261"/>
      <c r="G7" s="2261"/>
    </row>
    <row r="8" spans="1:9" ht="16.5">
      <c r="A8" s="2259" t="s">
        <v>586</v>
      </c>
      <c r="B8" s="2259" t="e">
        <f>SUM(I14:I23)</f>
        <v>#VALUE!</v>
      </c>
      <c r="C8" s="2259" t="e">
        <f t="shared" si="0"/>
        <v>#VALUE!</v>
      </c>
      <c r="D8" s="2259" t="e">
        <f t="shared" si="1"/>
        <v>#VALUE!</v>
      </c>
      <c r="E8" s="2260"/>
      <c r="F8" s="2261"/>
      <c r="G8" s="2261"/>
    </row>
    <row r="9" spans="1:9" ht="16.5">
      <c r="A9" s="2259" t="s">
        <v>587</v>
      </c>
      <c r="B9" s="2263"/>
      <c r="C9" s="2260"/>
      <c r="D9" s="2260"/>
      <c r="E9" s="2260"/>
      <c r="F9" s="2261"/>
      <c r="G9" s="2261"/>
    </row>
    <row r="10" spans="1:9" ht="16.5">
      <c r="A10" s="2259" t="s">
        <v>588</v>
      </c>
      <c r="B10" s="2263"/>
      <c r="C10" s="2260"/>
      <c r="D10" s="2260"/>
      <c r="E10" s="2260"/>
      <c r="F10" s="2261"/>
      <c r="G10" s="2261"/>
    </row>
    <row r="11" spans="1:9" ht="16.5">
      <c r="A11" s="2259" t="s">
        <v>589</v>
      </c>
      <c r="B11" s="2263"/>
      <c r="C11" s="2260"/>
      <c r="D11" s="2260"/>
      <c r="E11" s="2260"/>
      <c r="F11" s="2261"/>
      <c r="G11" s="2261"/>
    </row>
    <row r="12" spans="1:9" ht="16.5">
      <c r="A12" s="2260"/>
      <c r="B12" s="2260"/>
      <c r="C12" s="2260"/>
      <c r="D12" s="2260"/>
      <c r="E12" s="2260"/>
      <c r="F12" s="2261"/>
      <c r="G12" s="2261"/>
    </row>
    <row r="13" spans="1:9" ht="33">
      <c r="A13" s="2264" t="s">
        <v>590</v>
      </c>
      <c r="B13" s="2265" t="s">
        <v>576</v>
      </c>
      <c r="C13" s="2265" t="s">
        <v>577</v>
      </c>
      <c r="D13" s="2265" t="s">
        <v>591</v>
      </c>
      <c r="E13" s="2259" t="s">
        <v>581</v>
      </c>
      <c r="F13" s="2259" t="s">
        <v>582</v>
      </c>
      <c r="G13" s="2265" t="s">
        <v>592</v>
      </c>
      <c r="H13" s="2265" t="s">
        <v>593</v>
      </c>
      <c r="I13" s="2265" t="s">
        <v>594</v>
      </c>
    </row>
    <row r="14" spans="1:9" ht="16.5">
      <c r="A14" s="2266" t="s">
        <v>595</v>
      </c>
      <c r="B14" s="2265">
        <f>项目基本情况!C12</f>
        <v>54.92</v>
      </c>
      <c r="C14" s="2265">
        <f>项目基本情况!C13</f>
        <v>0</v>
      </c>
      <c r="D14" s="2265">
        <f ca="1">IF('数据-取费表'!B3="万元",IF(A14="估价对象1（结果表）",结果表!H121,'结果表 (1修多)'!H124),IF(A14="估价对象1（结果表）",结果表!H121,'结果表 (1修多)'!H124)/10000)</f>
        <v>325.53829999999999</v>
      </c>
      <c r="E14" s="2265">
        <f ca="1">ROUND(D14*10000/B14,0)</f>
        <v>59275</v>
      </c>
      <c r="F14" s="2265" t="e">
        <f ca="1">ROUND(D14*10000/C14,0)</f>
        <v>#DIV/0!</v>
      </c>
      <c r="G14" s="2265">
        <f ca="1">IF('数据-取费表'!B3="万元",IF(A14="估价对象1（结果表）",结果表!D125,'结果表 (1修多)'!D128),IF(A14="估价对象1（结果表）",结果表!D125,'结果表 (1修多)'!D128)/10000)</f>
        <v>325.53829999999999</v>
      </c>
      <c r="H14" s="2265" t="e">
        <f>IF('数据-取费表'!B3="万元",IF(A14="估价对象1（结果表）",结果表!D127,'结果表 (1修多)'!D130),IF(A14="估价对象1（结果表）",结果表!D127,'结果表 (1修多)'!D130)/10000)</f>
        <v>#VALUE!</v>
      </c>
      <c r="I14" s="2265" t="e">
        <f>IF('数据-取费表'!B3="万元",IF(A14="估价对象1（结果表）",结果表!D129,'结果表 (1修多)'!D132),IF(A14="估价对象1（结果表）",结果表!D129,'结果表 (1修多)'!D132)/10000)</f>
        <v>#VALUE!</v>
      </c>
    </row>
    <row r="15" spans="1:9" ht="16.5">
      <c r="A15" s="2267" t="s">
        <v>596</v>
      </c>
      <c r="B15" s="2268"/>
      <c r="C15" s="2268"/>
      <c r="D15" s="2268"/>
      <c r="E15" s="2265" t="e">
        <f t="shared" ref="E15:E23" si="2">ROUND(D15*10000/B15,0)</f>
        <v>#DIV/0!</v>
      </c>
      <c r="F15" s="2265" t="e">
        <f t="shared" ref="F15:F23" si="3">ROUND(D15*10000/C15,0)</f>
        <v>#DIV/0!</v>
      </c>
      <c r="G15" s="2269"/>
      <c r="H15" s="2269"/>
      <c r="I15" s="2268"/>
    </row>
    <row r="16" spans="1:9" ht="16.5">
      <c r="A16" s="2267" t="s">
        <v>597</v>
      </c>
      <c r="B16" s="2268"/>
      <c r="C16" s="2268"/>
      <c r="D16" s="2268"/>
      <c r="E16" s="2265" t="e">
        <f t="shared" si="2"/>
        <v>#DIV/0!</v>
      </c>
      <c r="F16" s="2265" t="e">
        <f t="shared" si="3"/>
        <v>#DIV/0!</v>
      </c>
      <c r="G16" s="2269"/>
      <c r="H16" s="2269"/>
      <c r="I16" s="2268"/>
    </row>
    <row r="17" spans="1:9" ht="16.5">
      <c r="A17" s="2267" t="s">
        <v>598</v>
      </c>
      <c r="B17" s="2268"/>
      <c r="C17" s="2268"/>
      <c r="D17" s="2268"/>
      <c r="E17" s="2265" t="e">
        <f t="shared" si="2"/>
        <v>#DIV/0!</v>
      </c>
      <c r="F17" s="2265" t="e">
        <f t="shared" si="3"/>
        <v>#DIV/0!</v>
      </c>
      <c r="G17" s="2269"/>
      <c r="H17" s="2269"/>
      <c r="I17" s="2268"/>
    </row>
    <row r="18" spans="1:9" ht="16.5">
      <c r="A18" s="2267" t="s">
        <v>599</v>
      </c>
      <c r="B18" s="2268"/>
      <c r="C18" s="2268"/>
      <c r="D18" s="2268"/>
      <c r="E18" s="2265" t="e">
        <f t="shared" si="2"/>
        <v>#DIV/0!</v>
      </c>
      <c r="F18" s="2265" t="e">
        <f t="shared" si="3"/>
        <v>#DIV/0!</v>
      </c>
      <c r="G18" s="2268"/>
      <c r="H18" s="2268"/>
      <c r="I18" s="2268"/>
    </row>
    <row r="19" spans="1:9" ht="16.5">
      <c r="A19" s="2267" t="s">
        <v>600</v>
      </c>
      <c r="B19" s="2268"/>
      <c r="C19" s="2268"/>
      <c r="D19" s="2268"/>
      <c r="E19" s="2265" t="e">
        <f t="shared" si="2"/>
        <v>#DIV/0!</v>
      </c>
      <c r="F19" s="2265" t="e">
        <f t="shared" si="3"/>
        <v>#DIV/0!</v>
      </c>
      <c r="G19" s="2268"/>
      <c r="H19" s="2268"/>
      <c r="I19" s="2268"/>
    </row>
    <row r="20" spans="1:9" ht="16.5">
      <c r="A20" s="2267" t="s">
        <v>601</v>
      </c>
      <c r="B20" s="2268"/>
      <c r="C20" s="2268"/>
      <c r="D20" s="2268"/>
      <c r="E20" s="2265" t="e">
        <f t="shared" si="2"/>
        <v>#DIV/0!</v>
      </c>
      <c r="F20" s="2265" t="e">
        <f t="shared" si="3"/>
        <v>#DIV/0!</v>
      </c>
      <c r="G20" s="2268"/>
      <c r="H20" s="2268"/>
      <c r="I20" s="2268"/>
    </row>
    <row r="21" spans="1:9" ht="16.5">
      <c r="A21" s="2267" t="s">
        <v>602</v>
      </c>
      <c r="B21" s="2268"/>
      <c r="C21" s="2268"/>
      <c r="D21" s="2268"/>
      <c r="E21" s="2265" t="e">
        <f t="shared" si="2"/>
        <v>#DIV/0!</v>
      </c>
      <c r="F21" s="2265" t="e">
        <f t="shared" si="3"/>
        <v>#DIV/0!</v>
      </c>
      <c r="G21" s="2268"/>
      <c r="H21" s="2268"/>
      <c r="I21" s="2268"/>
    </row>
    <row r="22" spans="1:9" ht="16.5">
      <c r="A22" s="2267" t="s">
        <v>603</v>
      </c>
      <c r="B22" s="2268"/>
      <c r="C22" s="2268"/>
      <c r="D22" s="2268"/>
      <c r="E22" s="2265" t="e">
        <f t="shared" si="2"/>
        <v>#DIV/0!</v>
      </c>
      <c r="F22" s="2265" t="e">
        <f t="shared" si="3"/>
        <v>#DIV/0!</v>
      </c>
      <c r="G22" s="2268"/>
      <c r="H22" s="2268"/>
      <c r="I22" s="2268"/>
    </row>
    <row r="23" spans="1:9" ht="16.5">
      <c r="A23" s="2267" t="s">
        <v>604</v>
      </c>
      <c r="B23" s="2268"/>
      <c r="C23" s="2268"/>
      <c r="D23" s="2268"/>
      <c r="E23" s="2259" t="e">
        <f t="shared" si="2"/>
        <v>#DIV/0!</v>
      </c>
      <c r="F23" s="2259" t="e">
        <f t="shared" si="3"/>
        <v>#DIV/0!</v>
      </c>
      <c r="G23" s="2268"/>
      <c r="H23" s="2268"/>
      <c r="I23" s="2268"/>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J32" sqref="J32"/>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55" t="str">
        <f>项目基本情况!B1</f>
        <v>浙江省杭州市房地产市场价值预评估</v>
      </c>
      <c r="B2" s="2955"/>
      <c r="C2" s="2955"/>
      <c r="D2" s="2955"/>
      <c r="E2" s="2955"/>
      <c r="F2" s="2955"/>
      <c r="G2" s="2955"/>
      <c r="H2" s="2955"/>
      <c r="I2" s="2955"/>
    </row>
    <row r="3" spans="1:12" ht="12.75">
      <c r="A3" s="2956" t="s">
        <v>606</v>
      </c>
      <c r="B3" s="2957"/>
      <c r="C3" s="2957"/>
      <c r="D3" s="2957"/>
      <c r="E3" s="2957"/>
      <c r="F3" s="2957"/>
      <c r="G3" s="2957"/>
      <c r="H3" s="2957"/>
      <c r="I3" s="2957"/>
    </row>
    <row r="4" spans="1:12" ht="14.25">
      <c r="A4" s="1966" t="s">
        <v>607</v>
      </c>
      <c r="B4" s="1967" t="s">
        <v>608</v>
      </c>
      <c r="C4" s="1968" t="s">
        <v>609</v>
      </c>
      <c r="D4" s="1968" t="s">
        <v>610</v>
      </c>
      <c r="E4" s="2938" t="s">
        <v>611</v>
      </c>
      <c r="F4" s="2940"/>
      <c r="G4" s="2940"/>
      <c r="H4" s="2940"/>
      <c r="I4" s="2939"/>
      <c r="K4" s="1962" t="str">
        <f>IF(ISNUMBER(FIND("比较法",结果表!C4)),"比较法",IF(ISNUMBER(FIND("成本法",结果表!C4)),"成本法",IF(ISNUMBER(FIND("假设开发法",结果表!C4)),"假设开发法",IF(ISNUMBER(FIND("收益法",结果表!C4)),"收益法","基准地价系数修正法"))))</f>
        <v>比较法</v>
      </c>
      <c r="L4" s="1962" t="str">
        <f>IF(ISNUMBER(FIND("比较法",结果表!D4)),"比较法",IF(ISNUMBER(FIND("成本法",结果表!D4)),"成本法",IF(ISNUMBER(FIND("假设开发法",结果表!D4)),"假设开发法",IF(ISNUMBER(FIND("收益法",结果表!D4)),"收益法","基准地价系数修正法"))))</f>
        <v>收益法</v>
      </c>
    </row>
    <row r="5" spans="1:12" ht="12.75">
      <c r="A5" s="2865" t="s">
        <v>612</v>
      </c>
      <c r="B5" s="2852">
        <v>25</v>
      </c>
      <c r="C5" s="2875"/>
      <c r="D5" s="2965"/>
      <c r="E5" s="1611" t="s">
        <v>613</v>
      </c>
      <c r="F5" s="1969"/>
      <c r="G5" s="1969"/>
      <c r="H5" s="1969"/>
      <c r="I5" s="2089"/>
    </row>
    <row r="6" spans="1:12" ht="12.75">
      <c r="A6" s="2865"/>
      <c r="B6" s="2852"/>
      <c r="C6" s="2876"/>
      <c r="D6" s="2965"/>
      <c r="E6" s="1611" t="s">
        <v>614</v>
      </c>
      <c r="F6" s="1969"/>
      <c r="G6" s="1969"/>
      <c r="H6" s="1969"/>
      <c r="I6" s="2089"/>
    </row>
    <row r="7" spans="1:12" ht="12.75">
      <c r="A7" s="2865"/>
      <c r="B7" s="2852"/>
      <c r="C7" s="2877"/>
      <c r="D7" s="2965"/>
      <c r="E7" s="1611" t="s">
        <v>615</v>
      </c>
      <c r="F7" s="1969"/>
      <c r="G7" s="1969"/>
      <c r="H7" s="1969"/>
      <c r="I7" s="2089"/>
    </row>
    <row r="8" spans="1:12" ht="12.75">
      <c r="A8" s="2865" t="s">
        <v>616</v>
      </c>
      <c r="B8" s="2852">
        <v>15</v>
      </c>
      <c r="C8" s="2875"/>
      <c r="D8" s="2965"/>
      <c r="E8" s="1611" t="s">
        <v>617</v>
      </c>
      <c r="F8" s="1969"/>
      <c r="G8" s="1969"/>
      <c r="H8" s="1969"/>
      <c r="I8" s="2089"/>
    </row>
    <row r="9" spans="1:12" ht="12.75">
      <c r="A9" s="2865"/>
      <c r="B9" s="2852"/>
      <c r="C9" s="2877"/>
      <c r="D9" s="2965"/>
      <c r="E9" s="1611" t="s">
        <v>618</v>
      </c>
      <c r="F9" s="1969"/>
      <c r="G9" s="1969"/>
      <c r="H9" s="1969"/>
      <c r="I9" s="2089"/>
    </row>
    <row r="10" spans="1:12" ht="12.75">
      <c r="A10" s="2865" t="s">
        <v>619</v>
      </c>
      <c r="B10" s="2852">
        <v>15</v>
      </c>
      <c r="C10" s="2875"/>
      <c r="D10" s="2965"/>
      <c r="E10" s="1611" t="s">
        <v>620</v>
      </c>
      <c r="F10" s="1969"/>
      <c r="G10" s="1969"/>
      <c r="H10" s="1969"/>
      <c r="I10" s="2089"/>
    </row>
    <row r="11" spans="1:12" ht="12.75">
      <c r="A11" s="2865"/>
      <c r="B11" s="2852"/>
      <c r="C11" s="2877"/>
      <c r="D11" s="2965"/>
      <c r="E11" s="1611" t="s">
        <v>621</v>
      </c>
      <c r="F11" s="1969"/>
      <c r="G11" s="1969"/>
      <c r="H11" s="1969"/>
      <c r="I11" s="2089"/>
    </row>
    <row r="12" spans="1:12" ht="12.75">
      <c r="A12" s="2865" t="s">
        <v>622</v>
      </c>
      <c r="B12" s="2852">
        <v>15</v>
      </c>
      <c r="C12" s="2875"/>
      <c r="D12" s="2965"/>
      <c r="E12" s="1611" t="s">
        <v>623</v>
      </c>
      <c r="F12" s="1969"/>
      <c r="G12" s="1969"/>
      <c r="H12" s="1969"/>
      <c r="I12" s="2089"/>
    </row>
    <row r="13" spans="1:12" ht="12.75">
      <c r="A13" s="2865"/>
      <c r="B13" s="2852"/>
      <c r="C13" s="2877"/>
      <c r="D13" s="2965"/>
      <c r="E13" s="1611" t="s">
        <v>624</v>
      </c>
      <c r="F13" s="1969"/>
      <c r="G13" s="1969"/>
      <c r="H13" s="1969"/>
      <c r="I13" s="2089"/>
    </row>
    <row r="14" spans="1:12" ht="12.75">
      <c r="A14" s="2865" t="s">
        <v>625</v>
      </c>
      <c r="B14" s="2852">
        <v>30</v>
      </c>
      <c r="C14" s="2875">
        <v>1</v>
      </c>
      <c r="D14" s="2965">
        <v>0</v>
      </c>
      <c r="E14" s="1611" t="s">
        <v>626</v>
      </c>
      <c r="F14" s="1969"/>
      <c r="G14" s="1969"/>
      <c r="H14" s="1969"/>
      <c r="I14" s="2089"/>
    </row>
    <row r="15" spans="1:12" ht="12.75">
      <c r="A15" s="2865"/>
      <c r="B15" s="2852"/>
      <c r="C15" s="2876"/>
      <c r="D15" s="2965"/>
      <c r="E15" s="1611" t="s">
        <v>627</v>
      </c>
      <c r="F15" s="1969"/>
      <c r="G15" s="1969"/>
      <c r="H15" s="1969"/>
      <c r="I15" s="2089"/>
    </row>
    <row r="16" spans="1:12" ht="12.75">
      <c r="A16" s="2865"/>
      <c r="B16" s="2852"/>
      <c r="C16" s="2877"/>
      <c r="D16" s="2965"/>
      <c r="E16" s="1611" t="s">
        <v>628</v>
      </c>
      <c r="F16" s="1969"/>
      <c r="G16" s="1969"/>
      <c r="H16" s="1969"/>
      <c r="I16" s="2089"/>
    </row>
    <row r="17" spans="1:35" ht="15">
      <c r="A17" s="1970" t="s">
        <v>629</v>
      </c>
      <c r="B17" s="1971"/>
      <c r="C17" s="1972">
        <f>SUM(C5:C16)</f>
        <v>1</v>
      </c>
      <c r="D17" s="1972">
        <f>SUM(D5:D16)</f>
        <v>0</v>
      </c>
      <c r="E17" s="1965"/>
      <c r="F17" s="1965"/>
      <c r="G17" s="1965"/>
      <c r="H17" s="1965"/>
      <c r="I17" s="1965"/>
    </row>
    <row r="18" spans="1:35" ht="15">
      <c r="A18" s="1973" t="s">
        <v>630</v>
      </c>
      <c r="B18" s="1974"/>
      <c r="C18" s="1975">
        <f>ROUND(C17/SUM(C17:D17),2)</f>
        <v>1</v>
      </c>
      <c r="D18" s="1975">
        <f>1-C18</f>
        <v>0</v>
      </c>
      <c r="E18" s="1965"/>
      <c r="F18" s="1965"/>
      <c r="G18" s="1965"/>
      <c r="H18" s="1965"/>
      <c r="I18" s="1965"/>
    </row>
    <row r="19" spans="1:35" ht="15">
      <c r="A19" s="1976" t="s">
        <v>631</v>
      </c>
      <c r="B19" s="1977" t="s">
        <v>632</v>
      </c>
      <c r="C19" s="1978">
        <f ca="1">SUMIF(INDIRECT("'"&amp;C4&amp;"'"&amp;"!A:A"),结果表!B19,INDIRECT("'"&amp;C4&amp;"'"&amp;"!B:B"))</f>
        <v>3255383</v>
      </c>
      <c r="D19" s="1979">
        <f ca="1">SUMIF(INDIRECT("'"&amp;D4&amp;"'"&amp;"!A:A"),结果表!B19,INDIRECT("'"&amp;D4&amp;"'"&amp;"!B:B"))</f>
        <v>1052996</v>
      </c>
      <c r="E19" s="1976" t="s">
        <v>633</v>
      </c>
      <c r="F19" s="1977" t="s">
        <v>632</v>
      </c>
      <c r="G19" s="1980">
        <f ca="1">ROUND(C19*$C$18+D19*$D$18,0)</f>
        <v>3255383</v>
      </c>
      <c r="H19" s="1981" t="str">
        <f>'数据-取费表'!B3</f>
        <v>元</v>
      </c>
      <c r="I19" s="1965"/>
    </row>
    <row r="20" spans="1:35" ht="15">
      <c r="A20" s="1982"/>
      <c r="B20" s="1983" t="s">
        <v>634</v>
      </c>
      <c r="C20" s="1061">
        <f ca="1">SUMIF(INDIRECT("'"&amp;C4&amp;"'"&amp;"!A:A"),结果表!B20,INDIRECT("'"&amp;C4&amp;"'"&amp;"!B:B"))</f>
        <v>59275</v>
      </c>
      <c r="D20" s="1331">
        <f ca="1">SUMIF(INDIRECT("'"&amp;D4&amp;"'"&amp;"!A:A"),结果表!B20,INDIRECT("'"&amp;D4&amp;"'"&amp;"!B:B"))</f>
        <v>19173</v>
      </c>
      <c r="E20" s="1982"/>
      <c r="F20" s="1983" t="s">
        <v>634</v>
      </c>
      <c r="G20" s="1984">
        <f ca="1">ROUND(C20*$C$18+D20*$D$18,0)</f>
        <v>59275</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f ca="1">IF(C19&lt;D19,D19/C19-1,C19/D19-1)</f>
        <v>2.0915435576203518</v>
      </c>
      <c r="E22" s="1965"/>
      <c r="F22" s="1965"/>
      <c r="G22" s="1965"/>
      <c r="H22" s="1965"/>
      <c r="I22" s="1965"/>
    </row>
    <row r="23" spans="1:35" ht="12.75">
      <c r="A23" s="1965"/>
      <c r="B23" s="1965"/>
      <c r="C23" s="1965"/>
      <c r="D23" s="1965"/>
      <c r="E23" s="1965"/>
      <c r="F23" s="1965"/>
      <c r="G23" s="1965"/>
      <c r="H23" s="1965"/>
      <c r="I23" s="1965"/>
    </row>
    <row r="24" spans="1:35" ht="21.75" customHeight="1">
      <c r="A24" s="2866" t="s">
        <v>637</v>
      </c>
      <c r="B24" s="1977" t="s">
        <v>632</v>
      </c>
      <c r="C24" s="1980">
        <f>D30</f>
        <v>0</v>
      </c>
      <c r="D24" s="1996"/>
      <c r="E24" s="1965"/>
      <c r="F24" s="1965"/>
      <c r="G24" s="1965"/>
      <c r="H24" s="1965"/>
      <c r="I24" s="1965"/>
    </row>
    <row r="25" spans="1:35" ht="21.75" customHeight="1">
      <c r="A25" s="2867"/>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642</v>
      </c>
      <c r="B30" s="2000"/>
      <c r="C30" s="2000"/>
      <c r="D30" s="2000"/>
      <c r="E30" s="2005" t="s">
        <v>643</v>
      </c>
      <c r="F30" s="1965"/>
      <c r="G30" s="1965"/>
      <c r="H30" s="1965"/>
      <c r="I30" s="1965"/>
    </row>
    <row r="31" spans="1:35" s="1960" customFormat="1" ht="14.25">
      <c r="A31" s="2236"/>
      <c r="B31" s="2236"/>
      <c r="C31" s="2236"/>
      <c r="D31" s="2236"/>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7" t="s">
        <v>644</v>
      </c>
      <c r="B32" s="2238" t="str">
        <f>'数据-取费表'!B4</f>
        <v>楼面单价</v>
      </c>
      <c r="C32" s="2239">
        <f ca="1">IF(B32="总价",G19-C24,G20-C25)</f>
        <v>59275</v>
      </c>
      <c r="D32" s="1965" t="str">
        <f>IF(B32="楼面单价","元/平方米",H19)</f>
        <v>元/平方米</v>
      </c>
      <c r="E32" s="1965"/>
      <c r="F32" s="1965"/>
      <c r="G32" s="1965"/>
      <c r="H32" s="1965"/>
      <c r="I32" s="1965"/>
    </row>
    <row r="33" spans="1:16" ht="15">
      <c r="A33" s="2240" t="s">
        <v>645</v>
      </c>
      <c r="B33" s="2241"/>
      <c r="C33" s="2242"/>
      <c r="D33" s="2243"/>
      <c r="E33" s="2244" t="s">
        <v>646</v>
      </c>
      <c r="F33" s="2245" t="str">
        <f>IF(B32="楼面单价","取值（单价）","取值（总价）")</f>
        <v>取值（单价）</v>
      </c>
      <c r="G33" s="1965"/>
      <c r="H33" s="1965"/>
      <c r="I33" s="1965"/>
    </row>
    <row r="34" spans="1:16" ht="15">
      <c r="A34" s="2246"/>
      <c r="B34" s="2247" t="s">
        <v>647</v>
      </c>
      <c r="C34" s="2248">
        <f ca="1">IF(D33="自定义",F34,C32-C35)</f>
        <v>51866</v>
      </c>
      <c r="D34" s="2249">
        <f ca="1">IF(D33="自定义",ROUND(C34/C32,3),1-D35)</f>
        <v>0.875</v>
      </c>
      <c r="E34" s="2250" t="s">
        <v>648</v>
      </c>
      <c r="F34" s="2251"/>
      <c r="G34" s="1965"/>
      <c r="H34" s="1965"/>
      <c r="I34" s="1965"/>
    </row>
    <row r="35" spans="1:16" ht="15">
      <c r="A35" s="2018"/>
      <c r="B35" s="2252" t="s">
        <v>649</v>
      </c>
      <c r="C35" s="2253">
        <f ca="1">IF(D33="自定义",F35,ROUND(C32*D35,0))</f>
        <v>7409</v>
      </c>
      <c r="D35" s="2254">
        <f ca="1">IF(D33="自定义",ROUND(C35/C32,3),IF(D33="成本法成本比率",成本法!C56,IF(D33="收益法收益比率",收益法!J38,收益法!J41)))</f>
        <v>0.125</v>
      </c>
      <c r="E35" s="2255" t="s">
        <v>650</v>
      </c>
      <c r="F35" s="2039"/>
      <c r="G35" s="1965"/>
      <c r="H35" s="1965"/>
      <c r="I35" s="1965"/>
    </row>
    <row r="36" spans="1:16" ht="15">
      <c r="A36" s="2868" t="s">
        <v>651</v>
      </c>
      <c r="B36" s="2021" t="s">
        <v>652</v>
      </c>
      <c r="C36" s="2022">
        <v>0</v>
      </c>
      <c r="D36" s="2023"/>
      <c r="E36" s="2024"/>
      <c r="F36" s="2024"/>
      <c r="G36" s="1965"/>
      <c r="H36" s="1965"/>
      <c r="I36" s="1965"/>
    </row>
    <row r="37" spans="1:16" ht="15">
      <c r="A37" s="2869"/>
      <c r="B37" s="2025" t="s">
        <v>653</v>
      </c>
      <c r="C37" s="2026">
        <v>0</v>
      </c>
      <c r="D37" s="1974"/>
      <c r="E37" s="1974"/>
      <c r="F37" s="2024"/>
      <c r="G37" s="1974"/>
      <c r="H37" s="1974"/>
      <c r="I37" s="1974"/>
    </row>
    <row r="38" spans="1:16" ht="15">
      <c r="A38" s="2870"/>
      <c r="B38" s="2027" t="s">
        <v>654</v>
      </c>
      <c r="C38" s="2028">
        <v>0</v>
      </c>
      <c r="D38" s="2029" t="s">
        <v>655</v>
      </c>
      <c r="E38" s="1974"/>
      <c r="F38" s="2024"/>
      <c r="G38" s="1974"/>
      <c r="H38" s="1974"/>
      <c r="I38" s="1974"/>
    </row>
    <row r="39" spans="1:16" ht="15">
      <c r="A39" s="1982" t="s">
        <v>656</v>
      </c>
      <c r="B39" s="2030" t="s">
        <v>639</v>
      </c>
      <c r="C39" s="2031" t="s">
        <v>640</v>
      </c>
      <c r="D39" s="2031" t="s">
        <v>657</v>
      </c>
      <c r="E39" s="2032" t="s">
        <v>641</v>
      </c>
      <c r="F39" s="2024"/>
      <c r="G39" s="1974"/>
      <c r="H39" s="1974"/>
      <c r="I39" s="1974"/>
    </row>
    <row r="40" spans="1:16" ht="14.25">
      <c r="A40" s="2033" t="s">
        <v>658</v>
      </c>
      <c r="B40" s="2034"/>
      <c r="C40" s="1428"/>
      <c r="D40" s="1428"/>
      <c r="E40" s="2035"/>
      <c r="F40" s="2024"/>
      <c r="G40" s="1974"/>
      <c r="H40" s="1974"/>
      <c r="I40" s="1974"/>
    </row>
    <row r="41" spans="1:16" ht="14.25">
      <c r="A41" s="2033" t="s">
        <v>659</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660</v>
      </c>
      <c r="B44" s="2043"/>
      <c r="C44" s="2043"/>
      <c r="D44" s="2044"/>
      <c r="E44" s="2044"/>
      <c r="F44" s="2045"/>
      <c r="G44" s="2045"/>
      <c r="H44" s="2045"/>
      <c r="I44" s="2045"/>
      <c r="J44" s="2091" t="s">
        <v>661</v>
      </c>
      <c r="K44" s="2092"/>
      <c r="L44" s="2092"/>
      <c r="M44" s="2092"/>
      <c r="N44" s="2092"/>
      <c r="O44" s="2092"/>
      <c r="P44" s="1962"/>
    </row>
    <row r="45" spans="1:16" ht="14.25" customHeight="1">
      <c r="A45" s="2958" t="s">
        <v>662</v>
      </c>
      <c r="B45" s="2959"/>
      <c r="C45" s="2960"/>
      <c r="D45" s="1569">
        <f ca="1">ROUND(I102*F45,0)</f>
        <v>3255383</v>
      </c>
      <c r="E45" s="2046" t="s">
        <v>663</v>
      </c>
      <c r="F45" s="2047">
        <v>1</v>
      </c>
      <c r="G45" s="2048" t="s">
        <v>664</v>
      </c>
      <c r="H45" s="1965"/>
      <c r="I45" s="1965"/>
      <c r="J45" s="2950" t="s">
        <v>665</v>
      </c>
      <c r="K45" s="2950"/>
      <c r="L45" s="2950"/>
      <c r="M45" s="2950"/>
      <c r="N45" s="2950"/>
      <c r="O45" s="2950"/>
      <c r="P45" s="1962"/>
    </row>
    <row r="46" spans="1:16" ht="14.25" customHeight="1">
      <c r="A46" s="2961" t="s">
        <v>666</v>
      </c>
      <c r="B46" s="2962"/>
      <c r="C46" s="2962"/>
      <c r="D46" s="2962"/>
      <c r="E46" s="2962"/>
      <c r="F46" s="2962"/>
      <c r="G46" s="2963"/>
      <c r="H46" s="2049"/>
      <c r="I46" s="1374"/>
      <c r="J46" s="1493">
        <v>1</v>
      </c>
      <c r="K46" s="2950" t="s">
        <v>667</v>
      </c>
      <c r="L46" s="2950"/>
      <c r="M46" s="2951" t="str">
        <f>项目基本情况!B1</f>
        <v>浙江省杭州市房地产市场价值预评估</v>
      </c>
      <c r="N46" s="2951"/>
      <c r="O46" s="2951"/>
      <c r="P46" s="1962"/>
    </row>
    <row r="47" spans="1:16" ht="12" customHeight="1">
      <c r="A47" s="2050" t="s">
        <v>668</v>
      </c>
      <c r="B47" s="2051"/>
      <c r="C47" s="2052"/>
      <c r="D47" s="2053" t="s">
        <v>669</v>
      </c>
      <c r="E47" s="1421" t="s">
        <v>670</v>
      </c>
      <c r="F47" s="1784" t="s">
        <v>671</v>
      </c>
      <c r="G47" s="2054" t="s">
        <v>672</v>
      </c>
      <c r="H47" s="2049"/>
      <c r="I47" s="1374"/>
      <c r="J47" s="1493">
        <v>2</v>
      </c>
      <c r="K47" s="2950" t="s">
        <v>673</v>
      </c>
      <c r="L47" s="2950"/>
      <c r="M47" s="2964">
        <f>'数据-取费表'!B2</f>
        <v>43695</v>
      </c>
      <c r="N47" s="2964"/>
      <c r="O47" s="2964"/>
      <c r="P47" s="1962"/>
    </row>
    <row r="48" spans="1:16" ht="25.5">
      <c r="A48" s="2949" t="s">
        <v>674</v>
      </c>
      <c r="B48" s="2946"/>
      <c r="C48" s="2946"/>
      <c r="D48" s="1611">
        <f ca="1">IF(H48="情况1",0,IF(H48="情况2",D52,IF(H48="情况3",D53,IF(H48="情况4",D54))))</f>
        <v>173620</v>
      </c>
      <c r="E48" s="1624" t="str">
        <f>IF(H48="情况4","(销售额-原购置价)×税（费）率","销售额×税（费）率")</f>
        <v>销售额×税（费）率</v>
      </c>
      <c r="F48" s="2055">
        <f>IF(H48="情况1","免征",'数据-取费表'!E29)</f>
        <v>5.6000000000000001E-2</v>
      </c>
      <c r="G48" s="2056" t="s">
        <v>675</v>
      </c>
      <c r="H48" s="2057" t="s">
        <v>676</v>
      </c>
      <c r="I48" s="2049"/>
      <c r="J48" s="1493">
        <v>3</v>
      </c>
      <c r="K48" s="2950" t="s">
        <v>677</v>
      </c>
      <c r="L48" s="2950"/>
      <c r="M48" s="2951">
        <f ca="1">I102</f>
        <v>3255383</v>
      </c>
      <c r="N48" s="2951"/>
      <c r="O48" s="2951"/>
      <c r="P48" s="1962"/>
    </row>
    <row r="49" spans="1:16" ht="25.5" customHeight="1">
      <c r="A49" s="2058" t="s">
        <v>678</v>
      </c>
      <c r="B49" s="2924" t="s">
        <v>679</v>
      </c>
      <c r="C49" s="2924"/>
      <c r="D49" s="1665">
        <v>0</v>
      </c>
      <c r="E49" s="2059" t="s">
        <v>680</v>
      </c>
      <c r="F49" s="2060" t="s">
        <v>121</v>
      </c>
      <c r="G49" s="2952"/>
      <c r="H49" s="1965"/>
      <c r="I49" s="2094"/>
      <c r="J49" s="149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962"/>
    </row>
    <row r="50" spans="1:16" ht="25.5" customHeight="1">
      <c r="A50" s="2061"/>
      <c r="B50" s="2924" t="s">
        <v>681</v>
      </c>
      <c r="C50" s="2924"/>
      <c r="D50" s="1692"/>
      <c r="E50" s="2062"/>
      <c r="F50" s="2063"/>
      <c r="G50" s="2953"/>
      <c r="H50" s="1965"/>
      <c r="I50" s="2094"/>
      <c r="J50" s="2950" t="s">
        <v>682</v>
      </c>
      <c r="K50" s="2950"/>
      <c r="L50" s="2950"/>
      <c r="M50" s="2950"/>
      <c r="N50" s="2950"/>
      <c r="O50" s="2950"/>
      <c r="P50" s="1962"/>
    </row>
    <row r="51" spans="1:16" ht="12" customHeight="1">
      <c r="A51" s="2064"/>
      <c r="B51" s="2924" t="s">
        <v>683</v>
      </c>
      <c r="C51" s="2924"/>
      <c r="D51" s="2065"/>
      <c r="E51" s="451"/>
      <c r="F51" s="2063"/>
      <c r="G51" s="2954"/>
      <c r="H51" s="1965"/>
      <c r="I51" s="2094"/>
      <c r="J51" s="2093" t="s">
        <v>684</v>
      </c>
      <c r="K51" s="2950" t="s">
        <v>685</v>
      </c>
      <c r="L51" s="2950"/>
      <c r="M51" s="2093" t="s">
        <v>686</v>
      </c>
      <c r="N51" s="2093" t="s">
        <v>687</v>
      </c>
      <c r="O51" s="2093" t="s">
        <v>688</v>
      </c>
      <c r="P51" s="1962"/>
    </row>
    <row r="52" spans="1:16" ht="24" customHeight="1">
      <c r="A52" s="2066" t="s">
        <v>689</v>
      </c>
      <c r="B52" s="2924" t="s">
        <v>690</v>
      </c>
      <c r="C52" s="2924"/>
      <c r="D52" s="2065">
        <f ca="1">ROUND(D45*'数据-取费表'!E29/(1+'数据-取费表'!F30),0)</f>
        <v>173620</v>
      </c>
      <c r="E52" s="1424" t="s">
        <v>691</v>
      </c>
      <c r="F52" s="2067">
        <f>'数据-取费表'!E29</f>
        <v>5.6000000000000001E-2</v>
      </c>
      <c r="G52" s="2068"/>
      <c r="H52" s="1965"/>
      <c r="I52" s="2094"/>
      <c r="J52" s="1493">
        <v>1</v>
      </c>
      <c r="K52" s="2942" t="s">
        <v>692</v>
      </c>
      <c r="L52" s="2942"/>
      <c r="M52" s="2095">
        <f ca="1">D48</f>
        <v>173620</v>
      </c>
      <c r="N52" s="1493" t="str">
        <f>E48</f>
        <v>销售额×税（费）率</v>
      </c>
      <c r="O52" s="2096">
        <f>F48</f>
        <v>5.6000000000000001E-2</v>
      </c>
      <c r="P52" s="1962"/>
    </row>
    <row r="53" spans="1:16" ht="12" customHeight="1">
      <c r="A53" s="2066" t="s">
        <v>693</v>
      </c>
      <c r="B53" s="2923" t="s">
        <v>694</v>
      </c>
      <c r="C53" s="2820"/>
      <c r="D53" s="2065">
        <f ca="1">ROUND(D45*'数据-取费表'!E29/(1+'数据-取费表'!F30),0)</f>
        <v>173620</v>
      </c>
      <c r="E53" s="1424" t="s">
        <v>691</v>
      </c>
      <c r="F53" s="2067">
        <f>'数据-取费表'!E29</f>
        <v>5.6000000000000001E-2</v>
      </c>
      <c r="G53" s="2068"/>
      <c r="H53" s="1965"/>
      <c r="I53" s="2094"/>
      <c r="J53" s="1493">
        <v>2</v>
      </c>
      <c r="K53" s="2942" t="s">
        <v>695</v>
      </c>
      <c r="L53" s="2942"/>
      <c r="M53" s="2095">
        <f t="shared" ref="M53:O54" ca="1" si="1">D55</f>
        <v>1628</v>
      </c>
      <c r="N53" s="1493" t="str">
        <f t="shared" si="1"/>
        <v>销售额×税（费）率</v>
      </c>
      <c r="O53" s="2096">
        <f t="shared" si="1"/>
        <v>5.0000000000000001E-4</v>
      </c>
      <c r="P53" s="1962"/>
    </row>
    <row r="54" spans="1:16" ht="12" customHeight="1">
      <c r="A54" s="2066" t="s">
        <v>696</v>
      </c>
      <c r="B54" s="2923" t="s">
        <v>697</v>
      </c>
      <c r="C54" s="2820"/>
      <c r="D54" s="2065">
        <f ca="1">C68</f>
        <v>173620</v>
      </c>
      <c r="E54" s="451" t="s">
        <v>698</v>
      </c>
      <c r="F54" s="2067">
        <f>'数据-取费表'!E29</f>
        <v>5.6000000000000001E-2</v>
      </c>
      <c r="G54" s="2068"/>
      <c r="H54" s="2070"/>
      <c r="I54" s="2094"/>
      <c r="J54" s="1493">
        <v>3</v>
      </c>
      <c r="K54" s="2942" t="s">
        <v>699</v>
      </c>
      <c r="L54" s="2942"/>
      <c r="M54" s="2095">
        <f t="shared" ca="1" si="1"/>
        <v>1842547</v>
      </c>
      <c r="N54" s="1493" t="str">
        <f t="shared" si="1"/>
        <v>增值额×税（费）率</v>
      </c>
      <c r="O54" s="2097" t="str">
        <f t="shared" si="1"/>
        <v>——</v>
      </c>
      <c r="P54" s="1962"/>
    </row>
    <row r="55" spans="1:16" ht="24" customHeight="1">
      <c r="A55" s="2816" t="s">
        <v>700</v>
      </c>
      <c r="B55" s="2946"/>
      <c r="C55" s="2946"/>
      <c r="D55" s="1663">
        <f ca="1">IF(H55="个人住宅",0,ROUND(D45*I55,0))</f>
        <v>1628</v>
      </c>
      <c r="E55" s="1424" t="s">
        <v>701</v>
      </c>
      <c r="F55" s="2067">
        <f>IF(H55="正常",I55,"免征")</f>
        <v>5.0000000000000001E-4</v>
      </c>
      <c r="G55" s="2068"/>
      <c r="H55" s="2057" t="s">
        <v>702</v>
      </c>
      <c r="I55" s="2098">
        <f>'数据-取费表'!E37</f>
        <v>5.0000000000000001E-4</v>
      </c>
      <c r="J55" s="1493">
        <f>IF(H59="非个人房产","",4)</f>
        <v>4</v>
      </c>
      <c r="K55" s="2942" t="str">
        <f>IF(H59="非个人房产","——","个人所得税")</f>
        <v>个人所得税</v>
      </c>
      <c r="L55" s="2942"/>
      <c r="M55" s="2099">
        <f ca="1">D59</f>
        <v>32554</v>
      </c>
      <c r="N55" s="2100" t="str">
        <f>E59</f>
        <v>销售额×税（费）率</v>
      </c>
      <c r="O55" s="2101">
        <f>F59</f>
        <v>0.01</v>
      </c>
      <c r="P55" s="1962"/>
    </row>
    <row r="56" spans="1:16" ht="24.75">
      <c r="A56" s="2816" t="s">
        <v>703</v>
      </c>
      <c r="B56" s="2946"/>
      <c r="C56" s="2946"/>
      <c r="D56" s="1663">
        <f ca="1">IF(H56="个人住宅",D57,D58)</f>
        <v>1842547</v>
      </c>
      <c r="E56" s="1424" t="s">
        <v>704</v>
      </c>
      <c r="F56" s="2067" t="str">
        <f>IF(H56="正常",F58,"免征")</f>
        <v>——</v>
      </c>
      <c r="G56" s="2072" t="s">
        <v>705</v>
      </c>
      <c r="H56" s="2073" t="s">
        <v>702</v>
      </c>
      <c r="I56" s="2075"/>
      <c r="J56" s="1493" t="str">
        <f>IF(项目基本情况!I6="上海银行",IF(J55="",4,J55+1),"")</f>
        <v/>
      </c>
      <c r="K56" s="2947" t="str">
        <f>IF(项目基本情况!I6="上海银行","其他处置费用","")</f>
        <v/>
      </c>
      <c r="L56" s="2948"/>
      <c r="M56" s="2095" t="str">
        <f>IF(项目基本情况!I6="上海银行",M69,"")</f>
        <v/>
      </c>
      <c r="N56" s="2936" t="str">
        <f>IF(项目基本情况!I6="上海银行","包含处置中涉及的律师、诉讼、拍卖、评估等费用","")</f>
        <v/>
      </c>
      <c r="O56" s="2937"/>
      <c r="P56" s="1962"/>
    </row>
    <row r="57" spans="1:16" ht="12.75">
      <c r="A57" s="2066" t="s">
        <v>678</v>
      </c>
      <c r="B57" s="2938" t="s">
        <v>706</v>
      </c>
      <c r="C57" s="2939"/>
      <c r="D57" s="2074">
        <v>0</v>
      </c>
      <c r="E57" s="2059" t="s">
        <v>680</v>
      </c>
      <c r="F57" s="1378"/>
      <c r="G57" s="2068"/>
      <c r="H57" s="2075"/>
      <c r="I57" s="2075"/>
      <c r="J57" s="2942">
        <f>IF(AND(J55="",J56=""),4,IF(项目基本情况!I6="上海银行",J56+1,J55+1))</f>
        <v>5</v>
      </c>
      <c r="K57" s="2942" t="s">
        <v>707</v>
      </c>
      <c r="L57" s="2102" t="s">
        <v>708</v>
      </c>
      <c r="M57" s="2103"/>
      <c r="N57" s="2104">
        <f ca="1">SUMIF(M52:M56,"&lt;9e307")</f>
        <v>2050349</v>
      </c>
      <c r="O57" s="2105"/>
      <c r="P57" s="2106" t="e">
        <f ca="1">N57/M49</f>
        <v>#VALUE!</v>
      </c>
    </row>
    <row r="58" spans="1:16" ht="24.75">
      <c r="A58" s="2066" t="s">
        <v>689</v>
      </c>
      <c r="B58" s="2938" t="s">
        <v>709</v>
      </c>
      <c r="C58" s="2940"/>
      <c r="D58" s="1663">
        <f ca="1">IF(H58="转让取得",C81,C97)</f>
        <v>1842547</v>
      </c>
      <c r="E58" s="1424" t="s">
        <v>704</v>
      </c>
      <c r="F58" s="1421" t="s">
        <v>121</v>
      </c>
      <c r="G58" s="2068"/>
      <c r="H58" s="2073" t="s">
        <v>710</v>
      </c>
      <c r="I58" s="2075"/>
      <c r="J58" s="2942"/>
      <c r="K58" s="2942"/>
      <c r="L58" s="2102" t="s">
        <v>711</v>
      </c>
      <c r="M58" s="2107"/>
      <c r="N58" s="2108" t="str">
        <f ca="1">IF(H19="元",NUMBERSTRING(INT(N57),2)&amp;"元整",NUMBERSTRING(INT(N57*10000),2)&amp;"元整")</f>
        <v>贰佰零伍万零叁佰肆拾玖元整</v>
      </c>
      <c r="O58" s="2109"/>
      <c r="P58" s="1962"/>
    </row>
    <row r="59" spans="1:16" ht="25.5">
      <c r="A59" s="2808" t="s">
        <v>712</v>
      </c>
      <c r="B59" s="2809"/>
      <c r="C59" s="2809"/>
      <c r="D59" s="2078">
        <f ca="1">IF(H59="非个人房产","——",IF(H59="个人住宅",0,ROUND(D45*I59,0)))</f>
        <v>32554</v>
      </c>
      <c r="E59" s="2079" t="str">
        <f>IF(H59="非个人房产","——","销售额×税（费）率")</f>
        <v>销售额×税（费）率</v>
      </c>
      <c r="F59" s="2080">
        <f>IF(H59="非个人房产","——",IF(H59="个人住宅","免征",I59))</f>
        <v>0.01</v>
      </c>
      <c r="G59" s="2081" t="s">
        <v>705</v>
      </c>
      <c r="H59" s="2073" t="s">
        <v>713</v>
      </c>
      <c r="I59" s="2110">
        <v>0.01</v>
      </c>
      <c r="J59" s="2943">
        <f>J57+1</f>
        <v>6</v>
      </c>
      <c r="K59" s="2942" t="s">
        <v>714</v>
      </c>
      <c r="L59" s="1493" t="s">
        <v>708</v>
      </c>
      <c r="M59" s="2111"/>
      <c r="N59" s="2112" t="e">
        <f ca="1">M49-N57</f>
        <v>#VALUE!</v>
      </c>
      <c r="O59" s="2113"/>
      <c r="P59" s="1962"/>
    </row>
    <row r="60" spans="1:16" ht="12" customHeight="1">
      <c r="A60" s="2082"/>
      <c r="B60" s="1965"/>
      <c r="C60" s="1965"/>
      <c r="D60" s="1965"/>
      <c r="E60" s="2075"/>
      <c r="F60" s="2075"/>
      <c r="G60" s="2075"/>
      <c r="H60" s="2040"/>
      <c r="I60" s="1965"/>
      <c r="J60" s="2944"/>
      <c r="K60" s="2942"/>
      <c r="L60" s="2102" t="s">
        <v>711</v>
      </c>
      <c r="M60" s="2107"/>
      <c r="N60" s="2108" t="e">
        <f ca="1">IF(H19="元",NUMBERSTRING(INT(N59),2)&amp;"元整",NUMBERSTRING(INT(N59*10000),2)&amp;"元整")</f>
        <v>#VALUE!</v>
      </c>
      <c r="O60" s="2109"/>
      <c r="P60" s="1962"/>
    </row>
    <row r="61" spans="1:16" ht="12.75">
      <c r="A61" s="2941" t="s">
        <v>715</v>
      </c>
      <c r="B61" s="2941"/>
      <c r="C61" s="2941"/>
      <c r="D61" s="2941"/>
      <c r="E61" s="2941"/>
      <c r="F61" s="2075"/>
      <c r="G61" s="2075"/>
      <c r="H61" s="2040"/>
      <c r="I61" s="1965"/>
      <c r="J61" s="1493">
        <f>J59+1</f>
        <v>7</v>
      </c>
      <c r="K61" s="2942" t="s">
        <v>716</v>
      </c>
      <c r="L61" s="2942"/>
      <c r="M61" s="2114"/>
      <c r="N61" s="2115" t="e">
        <f ca="1">IF(H19="元",ROUND(N59/项目基本情况!C12,0),ROUND(N59*10000/项目基本情况!C12,0))</f>
        <v>#VALUE!</v>
      </c>
      <c r="O61" s="2116"/>
      <c r="P61" s="1962"/>
    </row>
    <row r="62" spans="1:16" ht="12.75">
      <c r="A62" s="2931" t="s">
        <v>717</v>
      </c>
      <c r="B62" s="2932"/>
      <c r="C62" s="463"/>
      <c r="D62" s="463" t="s">
        <v>718</v>
      </c>
      <c r="E62" s="2083" t="s">
        <v>672</v>
      </c>
      <c r="F62" s="2075"/>
      <c r="G62" s="2075"/>
      <c r="H62" s="2040"/>
      <c r="I62" s="1965"/>
      <c r="J62" s="1962"/>
      <c r="K62" s="1962"/>
      <c r="L62" s="1962"/>
      <c r="M62" s="1962"/>
      <c r="N62" s="1962"/>
      <c r="O62" s="1962"/>
      <c r="P62" s="1962"/>
    </row>
    <row r="63" spans="1:16" ht="12.75">
      <c r="A63" s="2084">
        <v>1</v>
      </c>
      <c r="B63" s="2085" t="s">
        <v>719</v>
      </c>
      <c r="C63" s="2086">
        <f ca="1">ROUND((C64+C65)/(1+'数据-取费表'!F30),0)</f>
        <v>3100365</v>
      </c>
      <c r="D63" s="2087"/>
      <c r="E63" s="2088"/>
      <c r="F63" s="2075"/>
      <c r="G63" s="2075"/>
      <c r="H63" s="2040"/>
      <c r="I63" s="1965"/>
      <c r="J63" s="2945" t="s">
        <v>720</v>
      </c>
      <c r="K63" s="2117" t="s">
        <v>721</v>
      </c>
      <c r="L63" s="2118" t="e">
        <f>IF(M49&gt;10000,M49*0.5%,IF(AND(M49&gt;1000,M49&lt;=10000),M49*1%,IF(AND(M49&gt;100,M49&lt;=1000),M49*3%,IF(AND(M49&gt;10,M49&lt;=100),M49*5%,M49*8%))))</f>
        <v>#VALUE!</v>
      </c>
      <c r="M63" s="1421" t="e">
        <f>ROUND(L63,1)</f>
        <v>#VALUE!</v>
      </c>
      <c r="N63" s="1962"/>
      <c r="O63" s="1962"/>
      <c r="P63" s="1962"/>
    </row>
    <row r="64" spans="1:16" ht="12.75">
      <c r="A64" s="2119" t="s">
        <v>722</v>
      </c>
      <c r="B64" s="413" t="s">
        <v>723</v>
      </c>
      <c r="C64" s="2120">
        <f ca="1">D45</f>
        <v>3255383</v>
      </c>
      <c r="D64" s="439" t="s">
        <v>121</v>
      </c>
      <c r="E64" s="2121"/>
      <c r="F64" s="2075"/>
      <c r="G64" s="2075"/>
      <c r="H64" s="2040"/>
      <c r="I64" s="1965"/>
      <c r="J64" s="2945"/>
      <c r="K64" s="2117" t="s">
        <v>724</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725</v>
      </c>
      <c r="O64" s="1962"/>
      <c r="P64" s="1962"/>
    </row>
    <row r="65" spans="1:35" ht="12.75">
      <c r="A65" s="2119" t="s">
        <v>726</v>
      </c>
      <c r="B65" s="413" t="s">
        <v>727</v>
      </c>
      <c r="C65" s="2122"/>
      <c r="D65" s="439"/>
      <c r="E65" s="2121"/>
      <c r="F65" s="2075"/>
      <c r="G65" s="2075"/>
      <c r="H65" s="2040"/>
      <c r="I65" s="1965"/>
      <c r="J65" s="2945"/>
      <c r="K65" s="2117" t="s">
        <v>728</v>
      </c>
      <c r="L65" s="2118" t="e">
        <f>IF(M49&gt;1000,M49*0.1%,IF(AND(M49&gt;500,M49&lt;=1000),M49*0.5%,IF(AND(M49&gt;50,M49&lt;=500),M49*1%,IF(AND(M49&gt;1,M49&lt;=50),M49*1.5%))))</f>
        <v>#VALUE!</v>
      </c>
      <c r="M65" s="1421" t="e">
        <f t="shared" si="2"/>
        <v>#VALUE!</v>
      </c>
      <c r="N65" s="1962" t="s">
        <v>725</v>
      </c>
      <c r="O65" s="1962"/>
      <c r="P65" s="1962"/>
    </row>
    <row r="66" spans="1:35" ht="12.75">
      <c r="A66" s="2123" t="s">
        <v>729</v>
      </c>
      <c r="B66" s="2124" t="s">
        <v>730</v>
      </c>
      <c r="C66" s="2125"/>
      <c r="D66" s="508" t="s">
        <v>121</v>
      </c>
      <c r="E66" s="2126" t="s">
        <v>731</v>
      </c>
      <c r="F66" s="2075"/>
      <c r="G66" s="2075"/>
      <c r="H66" s="2040"/>
      <c r="I66" s="1965"/>
      <c r="J66" s="2945"/>
      <c r="K66" s="2117" t="s">
        <v>732</v>
      </c>
      <c r="L66" s="2118" t="e">
        <f>M49*0.5%</f>
        <v>#VALUE!</v>
      </c>
      <c r="M66" s="1421" t="e">
        <f>IF(L66&gt;0.5,0.5,ROUND(L66,0))</f>
        <v>#VALUE!</v>
      </c>
      <c r="N66" s="1962" t="s">
        <v>733</v>
      </c>
      <c r="O66" s="1962"/>
      <c r="P66" s="1962"/>
    </row>
    <row r="67" spans="1:35" ht="12.75">
      <c r="A67" s="2123" t="s">
        <v>734</v>
      </c>
      <c r="B67" s="2124" t="s">
        <v>735</v>
      </c>
      <c r="C67" s="2127">
        <f ca="1">C63-C66</f>
        <v>3100365</v>
      </c>
      <c r="D67" s="439" t="s">
        <v>121</v>
      </c>
      <c r="E67" s="2121"/>
      <c r="F67" s="2075"/>
      <c r="G67" s="2075"/>
      <c r="H67" s="2040"/>
      <c r="I67" s="1965"/>
      <c r="J67" s="2945"/>
      <c r="K67" s="2117" t="s">
        <v>736</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737</v>
      </c>
      <c r="B68" s="2129" t="s">
        <v>738</v>
      </c>
      <c r="C68" s="2130">
        <f ca="1">IF(C67&lt;=0,0,ROUND(C67*D68,0))</f>
        <v>173620</v>
      </c>
      <c r="D68" s="630">
        <f>'数据-取费表'!E29</f>
        <v>5.6000000000000001E-2</v>
      </c>
      <c r="E68" s="2131"/>
      <c r="F68" s="2075"/>
      <c r="G68" s="2075"/>
      <c r="H68" s="2040"/>
      <c r="I68" s="1965"/>
      <c r="J68" s="2945"/>
      <c r="K68" s="2117" t="s">
        <v>739</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8"/>
      <c r="E69" s="2135"/>
      <c r="F69" s="2075"/>
      <c r="G69" s="2075"/>
      <c r="H69" s="2040"/>
      <c r="I69" s="1965"/>
      <c r="J69" s="2945"/>
      <c r="K69" s="2117" t="s">
        <v>740</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929" t="s">
        <v>741</v>
      </c>
      <c r="B70" s="2930"/>
      <c r="C70" s="2930"/>
      <c r="D70" s="2930"/>
      <c r="E70" s="2930"/>
      <c r="F70" s="2930"/>
      <c r="G70" s="2930"/>
      <c r="H70" s="2930"/>
      <c r="I70" s="2204"/>
      <c r="O70" s="365"/>
      <c r="P70" s="365"/>
      <c r="Q70" s="365"/>
      <c r="R70" s="365"/>
      <c r="S70" s="365"/>
      <c r="T70" s="365"/>
      <c r="U70" s="365"/>
      <c r="V70" s="365"/>
      <c r="W70" s="365"/>
      <c r="X70" s="365"/>
      <c r="Y70" s="365"/>
      <c r="Z70" s="365"/>
      <c r="AA70" s="2213"/>
      <c r="AB70" s="2213"/>
      <c r="AC70" s="2213"/>
      <c r="AD70" s="2213"/>
      <c r="AE70" s="2213"/>
      <c r="AF70" s="2213"/>
      <c r="AG70" s="2213"/>
      <c r="AH70" s="2213"/>
      <c r="AI70" s="2213"/>
    </row>
    <row r="71" spans="1:35" s="1961" customFormat="1" ht="14.25">
      <c r="A71" s="2931" t="s">
        <v>717</v>
      </c>
      <c r="B71" s="2932"/>
      <c r="C71" s="463"/>
      <c r="D71" s="463" t="s">
        <v>718</v>
      </c>
      <c r="E71" s="2136" t="s">
        <v>672</v>
      </c>
      <c r="F71" s="2137"/>
      <c r="G71" s="2137"/>
      <c r="H71" s="2138"/>
      <c r="I71" s="220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139">
        <v>1</v>
      </c>
      <c r="B72" s="2124" t="s">
        <v>742</v>
      </c>
      <c r="C72" s="2127">
        <f ca="1">ROUND(D45/(1+'数据-取费表'!F30),0)</f>
        <v>3100365</v>
      </c>
      <c r="D72" s="439" t="s">
        <v>121</v>
      </c>
      <c r="E72" s="1684" t="s">
        <v>743</v>
      </c>
      <c r="F72" s="1604"/>
      <c r="G72" s="1604"/>
      <c r="H72" s="2140"/>
      <c r="I72" s="220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41">
        <v>2</v>
      </c>
      <c r="B73" s="1784" t="s">
        <v>744</v>
      </c>
      <c r="C73" s="2127">
        <f ca="1">C74+C78</f>
        <v>18602</v>
      </c>
      <c r="D73" s="439" t="s">
        <v>121</v>
      </c>
      <c r="E73" s="1603"/>
      <c r="F73" s="1604"/>
      <c r="G73" s="1604"/>
      <c r="H73" s="2140"/>
      <c r="I73" s="220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24">
      <c r="A74" s="2142" t="s">
        <v>745</v>
      </c>
      <c r="B74" s="413" t="s">
        <v>746</v>
      </c>
      <c r="C74" s="439">
        <f>ROUND(IF(G77="2016年5月1日后购买",C75/(1+'数据-取费表'!F30)+C76+C77,C75+C76+C77),0)</f>
        <v>0</v>
      </c>
      <c r="D74" s="439" t="s">
        <v>121</v>
      </c>
      <c r="E74" s="1603"/>
      <c r="F74" s="1604"/>
      <c r="G74" s="1604"/>
      <c r="H74" s="2140"/>
      <c r="I74" s="220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747</v>
      </c>
      <c r="B75" s="413" t="s">
        <v>748</v>
      </c>
      <c r="C75" s="543"/>
      <c r="D75" s="439" t="s">
        <v>121</v>
      </c>
      <c r="E75" s="2143" t="s">
        <v>749</v>
      </c>
      <c r="F75" s="2144" t="s">
        <v>750</v>
      </c>
      <c r="G75" s="2143" t="s">
        <v>751</v>
      </c>
      <c r="H75" s="2145"/>
      <c r="I75" s="547"/>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24.75" customHeight="1">
      <c r="A76" s="2142" t="s">
        <v>752</v>
      </c>
      <c r="B76" s="2146" t="s">
        <v>753</v>
      </c>
      <c r="C76" s="439">
        <f>IF(F75="购房发票",ROUND(C75*H75*D76,0),0)</f>
        <v>0</v>
      </c>
      <c r="D76" s="2147">
        <v>0.05</v>
      </c>
      <c r="E76" s="2923" t="s">
        <v>754</v>
      </c>
      <c r="F76" s="2924"/>
      <c r="G76" s="2924"/>
      <c r="H76" s="2925"/>
      <c r="I76" s="220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755</v>
      </c>
      <c r="B77" s="413" t="s">
        <v>756</v>
      </c>
      <c r="C77" s="439">
        <f>ROUND(IF(G77="个人住宅",0,IF(G77="2016年5月1日前购买",C75*D77,C75*D77/(1+'数据-取费表'!F30))),0)</f>
        <v>0</v>
      </c>
      <c r="D77" s="2149">
        <f>'数据-取费表'!E36+'数据-取费表'!E37</f>
        <v>3.0499999999999999E-2</v>
      </c>
      <c r="E77" s="1684" t="s">
        <v>757</v>
      </c>
      <c r="F77" s="2150"/>
      <c r="G77" s="2151" t="s">
        <v>758</v>
      </c>
      <c r="H77" s="2148" t="str">
        <f>IF(G77="个人买卖住房","免征印花税"," ")</f>
        <v/>
      </c>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759</v>
      </c>
      <c r="B78" s="413" t="s">
        <v>760</v>
      </c>
      <c r="C78" s="2152">
        <f ca="1">ROUND(D45*D78/(1+'数据-取费表'!F30),0)</f>
        <v>18602</v>
      </c>
      <c r="D78" s="2153">
        <f>'数据-取费表'!E31</f>
        <v>6.0000000000000001E-3</v>
      </c>
      <c r="E78" s="2926" t="s">
        <v>761</v>
      </c>
      <c r="F78" s="2927"/>
      <c r="G78" s="2927"/>
      <c r="H78" s="2928"/>
      <c r="I78" s="2206"/>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14.25">
      <c r="A79" s="2157" t="s">
        <v>734</v>
      </c>
      <c r="B79" s="2124" t="s">
        <v>762</v>
      </c>
      <c r="C79" s="2127">
        <f ca="1">C72-C73</f>
        <v>3081763</v>
      </c>
      <c r="D79" s="439" t="s">
        <v>121</v>
      </c>
      <c r="E79" s="1603"/>
      <c r="F79" s="1604"/>
      <c r="G79" s="1604"/>
      <c r="H79" s="2140"/>
      <c r="I79" s="2205"/>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24">
      <c r="A80" s="2157" t="s">
        <v>737</v>
      </c>
      <c r="B80" s="2124" t="s">
        <v>763</v>
      </c>
      <c r="C80" s="2158">
        <f ca="1">IF(C79&lt;=0,0,C79/C73)</f>
        <v>165.66836899258143</v>
      </c>
      <c r="D80" s="439"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24">
      <c r="A81" s="2159" t="s">
        <v>764</v>
      </c>
      <c r="B81" s="2129" t="s">
        <v>765</v>
      </c>
      <c r="C81" s="2160">
        <f ca="1">ROUND(IF(C79&lt;=0,0,IF(C80&gt;=200%,C79*60%-C73*35%,IF(C80&gt;=100%,C79*50%-C73*15%,IF(C80&gt;=50%,C79*40%-C73*5%,IF(C80&lt;50%,C79*30%,0))))),0)</f>
        <v>1842547</v>
      </c>
      <c r="D81" s="460"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7.5" customHeight="1">
      <c r="A82" s="2164"/>
      <c r="B82" s="2165"/>
      <c r="C82" s="547"/>
      <c r="D82" s="547"/>
      <c r="E82" s="2165"/>
      <c r="F82" s="2165"/>
      <c r="G82" s="2165"/>
      <c r="H82" s="2166"/>
      <c r="I82" s="2206"/>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14.25">
      <c r="A83" s="2929" t="s">
        <v>766</v>
      </c>
      <c r="B83" s="2930"/>
      <c r="C83" s="2930"/>
      <c r="D83" s="2930"/>
      <c r="E83" s="2930"/>
      <c r="F83" s="2930"/>
      <c r="G83" s="2930"/>
      <c r="H83" s="2930"/>
      <c r="I83" s="547"/>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931" t="s">
        <v>717</v>
      </c>
      <c r="B84" s="2932"/>
      <c r="C84" s="463"/>
      <c r="D84" s="463" t="s">
        <v>718</v>
      </c>
      <c r="E84" s="2136" t="s">
        <v>672</v>
      </c>
      <c r="F84" s="2137"/>
      <c r="G84" s="2137"/>
      <c r="H84" s="21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24">
      <c r="A85" s="2139">
        <v>1</v>
      </c>
      <c r="B85" s="2124" t="s">
        <v>742</v>
      </c>
      <c r="C85" s="2127">
        <f ca="1">ROUND(D45/(1+'数据-取费表'!F30),0)</f>
        <v>3100365</v>
      </c>
      <c r="D85" s="439" t="s">
        <v>121</v>
      </c>
      <c r="E85" s="1603" t="s">
        <v>743</v>
      </c>
      <c r="F85" s="1604"/>
      <c r="G85" s="1604"/>
      <c r="H85" s="2168"/>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41">
        <v>2</v>
      </c>
      <c r="B86" s="1784" t="s">
        <v>744</v>
      </c>
      <c r="C86" s="2127">
        <f ca="1">IF(H88="仅含出让金",C87+C90+C91+C92+C93+C94,C87+C91+C92+C93+C94)</f>
        <v>18602</v>
      </c>
      <c r="D86" s="2169"/>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2" t="s">
        <v>745</v>
      </c>
      <c r="B87" s="413" t="s">
        <v>767</v>
      </c>
      <c r="C87" s="2152">
        <f>C88+C89</f>
        <v>0</v>
      </c>
      <c r="D87" s="2153"/>
      <c r="E87" s="2154"/>
      <c r="F87" s="2155"/>
      <c r="G87" s="2155"/>
      <c r="H87" s="2156"/>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747</v>
      </c>
      <c r="B88" s="413" t="s">
        <v>768</v>
      </c>
      <c r="C88" s="2170"/>
      <c r="D88" s="2153"/>
      <c r="E88" s="2171" t="s">
        <v>769</v>
      </c>
      <c r="F88" s="2155"/>
      <c r="G88" s="2172" t="s">
        <v>770</v>
      </c>
      <c r="H88" s="2173"/>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752</v>
      </c>
      <c r="B89" s="413" t="s">
        <v>756</v>
      </c>
      <c r="C89" s="2152">
        <f>ROUND(C88*D89,0)</f>
        <v>0</v>
      </c>
      <c r="D89" s="2153">
        <f>'数据-取费表'!E36+'数据-取费表'!E37</f>
        <v>3.0499999999999999E-2</v>
      </c>
      <c r="E89" s="2171" t="s">
        <v>771</v>
      </c>
      <c r="F89" s="2155"/>
      <c r="G89" s="2155"/>
      <c r="H89" s="2156"/>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759</v>
      </c>
      <c r="B90" s="413" t="s">
        <v>772</v>
      </c>
      <c r="C90" s="2170"/>
      <c r="D90" s="2153"/>
      <c r="E90" s="2171" t="str">
        <f>IF(H88="-","土地取得成本中已包含该笔费用"," ")</f>
        <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30.75" customHeight="1">
      <c r="A91" s="2142" t="s">
        <v>773</v>
      </c>
      <c r="B91" s="413" t="s">
        <v>774</v>
      </c>
      <c r="C91" s="2152">
        <f>IF(H91="——",成本法!C33,I91)</f>
        <v>0</v>
      </c>
      <c r="D91" s="2153"/>
      <c r="E91" s="2926" t="s">
        <v>775</v>
      </c>
      <c r="F91" s="2927"/>
      <c r="G91" s="2927"/>
      <c r="H91" s="2174" t="s">
        <v>776</v>
      </c>
      <c r="I91" s="220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25.5" customHeight="1">
      <c r="A92" s="2142" t="s">
        <v>777</v>
      </c>
      <c r="B92" s="413" t="s">
        <v>778</v>
      </c>
      <c r="C92" s="2152">
        <f>ROUND((C87+C90+C91)*D92,0)</f>
        <v>0</v>
      </c>
      <c r="D92" s="2153">
        <v>0.1</v>
      </c>
      <c r="E92" s="2926" t="s">
        <v>779</v>
      </c>
      <c r="F92" s="2927"/>
      <c r="G92" s="2927"/>
      <c r="H92" s="2928"/>
      <c r="I92" s="54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780</v>
      </c>
      <c r="B93" s="413" t="s">
        <v>760</v>
      </c>
      <c r="C93" s="2152">
        <f ca="1">ROUND(D45*D93/(1+'数据-取费表'!F30),0)</f>
        <v>18602</v>
      </c>
      <c r="D93" s="2153">
        <f>'数据-取费表'!E31</f>
        <v>6.0000000000000001E-3</v>
      </c>
      <c r="E93" s="2926" t="s">
        <v>761</v>
      </c>
      <c r="F93" s="2927"/>
      <c r="G93" s="2927"/>
      <c r="H93" s="2928"/>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781</v>
      </c>
      <c r="B94" s="413" t="s">
        <v>782</v>
      </c>
      <c r="C94" s="2152">
        <f>ROUND((C87+C90+C91)*D94,0)</f>
        <v>0</v>
      </c>
      <c r="D94" s="2153">
        <v>0.2</v>
      </c>
      <c r="E94" s="2926" t="s">
        <v>783</v>
      </c>
      <c r="F94" s="2927"/>
      <c r="G94" s="2927"/>
      <c r="H94" s="2928"/>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14.25">
      <c r="A95" s="2157" t="s">
        <v>734</v>
      </c>
      <c r="B95" s="2124" t="s">
        <v>762</v>
      </c>
      <c r="C95" s="2127">
        <f ca="1">ROUND(C85-C86,0)</f>
        <v>3081763</v>
      </c>
      <c r="D95" s="439" t="s">
        <v>121</v>
      </c>
      <c r="E95" s="1603"/>
      <c r="F95" s="1604"/>
      <c r="G95" s="1604"/>
      <c r="H95" s="216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24">
      <c r="A96" s="2157" t="s">
        <v>737</v>
      </c>
      <c r="B96" s="2124" t="s">
        <v>763</v>
      </c>
      <c r="C96" s="2158">
        <f ca="1">IF(C95&lt;=0,0,C95/C86)</f>
        <v>165.66836899258143</v>
      </c>
      <c r="D96" s="439"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24">
      <c r="A97" s="2159" t="s">
        <v>764</v>
      </c>
      <c r="B97" s="2129" t="s">
        <v>765</v>
      </c>
      <c r="C97" s="2160">
        <f ca="1">ROUND(IF(C95&lt;=0,0,IF(C96&gt;=200%,C95*60%-C86*35%,IF(C96&gt;=100%,C95*50%-C86*15%,IF(C96&gt;=50%,C95*40%-C86*5%,IF(C96&lt;50%,C95*30%,0))))),0)</f>
        <v>1842547</v>
      </c>
      <c r="D97" s="460"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ht="21.75" customHeight="1">
      <c r="A98" s="2042" t="s">
        <v>784</v>
      </c>
      <c r="B98" s="1965"/>
      <c r="C98" s="1965"/>
      <c r="D98" s="1965"/>
      <c r="E98" s="2075"/>
      <c r="F98" s="2075"/>
      <c r="G98" s="2075"/>
      <c r="H98" s="2040"/>
      <c r="I98" s="1965"/>
    </row>
    <row r="99" spans="1:35" ht="15.75">
      <c r="A99" s="2918" t="s">
        <v>785</v>
      </c>
      <c r="B99" s="2919"/>
      <c r="C99" s="2919"/>
      <c r="D99" s="2920"/>
      <c r="E99" s="1965"/>
      <c r="F99" s="2933" t="s">
        <v>786</v>
      </c>
      <c r="G99" s="2934"/>
      <c r="H99" s="2934"/>
      <c r="I99" s="2935"/>
    </row>
    <row r="100" spans="1:35" ht="15.75">
      <c r="A100" s="2910" t="s">
        <v>787</v>
      </c>
      <c r="B100" s="2911"/>
      <c r="C100" s="2176" t="str">
        <f>C4</f>
        <v>比较法-住宅</v>
      </c>
      <c r="D100" s="2177" t="str">
        <f>D4</f>
        <v>收益法</v>
      </c>
      <c r="E100" s="1965"/>
      <c r="F100" s="2912" t="s">
        <v>788</v>
      </c>
      <c r="G100" s="2913"/>
      <c r="H100" s="2912" t="s">
        <v>789</v>
      </c>
      <c r="I100" s="2914"/>
    </row>
    <row r="101" spans="1:35" ht="15.75">
      <c r="A101" s="2871" t="s">
        <v>790</v>
      </c>
      <c r="B101" s="2178" t="str">
        <f>IF(H19="元","总价（元）","总价（万元）")</f>
        <v>总价（元）</v>
      </c>
      <c r="C101" s="2176">
        <f ca="1">C19</f>
        <v>3255383</v>
      </c>
      <c r="D101" s="2177">
        <f ca="1">D19</f>
        <v>1052996</v>
      </c>
      <c r="E101" s="1965"/>
      <c r="F101" s="2912" t="str">
        <f>项目基本情况!I1</f>
        <v>浙江省杭州市房地产</v>
      </c>
      <c r="G101" s="2913"/>
      <c r="H101" s="2915">
        <f>项目基本情况!C12</f>
        <v>54.92</v>
      </c>
      <c r="I101" s="2914"/>
    </row>
    <row r="102" spans="1:35" ht="15.75">
      <c r="A102" s="2871"/>
      <c r="B102" s="2178" t="s">
        <v>791</v>
      </c>
      <c r="C102" s="2179">
        <f ca="1">C20</f>
        <v>59275</v>
      </c>
      <c r="D102" s="2180">
        <f ca="1">D20</f>
        <v>19173</v>
      </c>
      <c r="E102" s="1965"/>
      <c r="F102" s="2849" t="s">
        <v>792</v>
      </c>
      <c r="G102" s="2850"/>
      <c r="H102" s="2181" t="str">
        <f>C106</f>
        <v>总价（元）</v>
      </c>
      <c r="I102" s="2208">
        <f ca="1">H121</f>
        <v>3255383</v>
      </c>
    </row>
    <row r="103" spans="1:35" ht="15">
      <c r="A103" s="2871" t="s">
        <v>793</v>
      </c>
      <c r="B103" s="2182" t="str">
        <f>B101</f>
        <v>总价（元）</v>
      </c>
      <c r="C103" s="2188">
        <f ca="1">H121</f>
        <v>3255383</v>
      </c>
      <c r="D103" s="2184"/>
      <c r="E103" s="1965"/>
      <c r="F103" s="2849"/>
      <c r="G103" s="2850"/>
      <c r="H103" s="2181" t="s">
        <v>791</v>
      </c>
      <c r="I103" s="2209">
        <f ca="1">I121</f>
        <v>59275</v>
      </c>
    </row>
    <row r="104" spans="1:35" ht="15.75">
      <c r="A104" s="2872"/>
      <c r="B104" s="2191" t="s">
        <v>791</v>
      </c>
      <c r="C104" s="2192">
        <f ca="1">I121</f>
        <v>59275</v>
      </c>
      <c r="D104" s="2193"/>
      <c r="E104" s="1965"/>
      <c r="F104" s="2906"/>
      <c r="G104" s="2907"/>
      <c r="H104" s="2916"/>
      <c r="I104" s="2917"/>
    </row>
    <row r="105" spans="1:35" ht="15.75">
      <c r="A105" s="2918" t="s">
        <v>794</v>
      </c>
      <c r="B105" s="2919"/>
      <c r="C105" s="2919"/>
      <c r="D105" s="2920"/>
      <c r="E105" s="1965"/>
      <c r="F105" s="2921" t="s">
        <v>795</v>
      </c>
      <c r="G105" s="2922"/>
      <c r="H105" s="2190" t="str">
        <f>C108</f>
        <v>总额（元）</v>
      </c>
      <c r="I105" s="2208">
        <f>SUMIF(I106:I108,"&lt;9E307")</f>
        <v>0</v>
      </c>
    </row>
    <row r="106" spans="1:35" ht="15">
      <c r="A106" s="2843" t="s">
        <v>796</v>
      </c>
      <c r="B106" s="2844"/>
      <c r="C106" s="2181" t="str">
        <f>B101</f>
        <v>总价（元）</v>
      </c>
      <c r="D106" s="2194">
        <f ca="1">H121</f>
        <v>3255383</v>
      </c>
      <c r="E106" s="1965"/>
      <c r="F106" s="2902" t="s">
        <v>797</v>
      </c>
      <c r="G106" s="2903"/>
      <c r="H106" s="2190" t="str">
        <f>C109</f>
        <v>总额（元）</v>
      </c>
      <c r="I106" s="2209">
        <f>IF(D36="同一抵押权人同一抵押物续贷",C36&amp;"（未扣减，详见特别提示）",C36)</f>
        <v>0</v>
      </c>
      <c r="K106" s="1974" t="str">
        <f>IF(D123=0,"本次评估不存在"&amp;A123&amp;"。","本次评估"&amp;A123&amp;"为"&amp;D123&amp;"元人民币。")</f>
        <v>本次评估不存在——。</v>
      </c>
    </row>
    <row r="107" spans="1:35" ht="15">
      <c r="A107" s="2843"/>
      <c r="B107" s="2844"/>
      <c r="C107" s="2181" t="s">
        <v>791</v>
      </c>
      <c r="D107" s="2195">
        <f ca="1">I121</f>
        <v>59275</v>
      </c>
      <c r="E107" s="1965"/>
      <c r="F107" s="2902" t="s">
        <v>798</v>
      </c>
      <c r="G107" s="2903"/>
      <c r="H107" s="2190" t="str">
        <f>C110</f>
        <v>总额（元）</v>
      </c>
      <c r="I107" s="2209">
        <f>C37</f>
        <v>0</v>
      </c>
      <c r="K107" s="2210"/>
    </row>
    <row r="108" spans="1:35" ht="15">
      <c r="A108" s="2904" t="s">
        <v>799</v>
      </c>
      <c r="B108" s="2905"/>
      <c r="C108" s="2190" t="str">
        <f>IF(H19="元","总额（元）","总额（万元）")</f>
        <v>总额（元）</v>
      </c>
      <c r="D108" s="2194">
        <f>IF(D36="正常操作",I106+I107+I108,I107+I108)</f>
        <v>0</v>
      </c>
      <c r="E108" s="1965"/>
      <c r="F108" s="2902" t="s">
        <v>800</v>
      </c>
      <c r="G108" s="2903"/>
      <c r="H108" s="2190" t="str">
        <f>C111</f>
        <v>总额（元）</v>
      </c>
      <c r="I108" s="2209">
        <f>C38</f>
        <v>0</v>
      </c>
    </row>
    <row r="109" spans="1:35" ht="15.75">
      <c r="A109" s="2902" t="s">
        <v>797</v>
      </c>
      <c r="B109" s="2903"/>
      <c r="C109" s="2190" t="str">
        <f>C108</f>
        <v>总额（元）</v>
      </c>
      <c r="D109" s="783">
        <f>IF(D36="同一抵押权人同一抵押物续贷",C36&amp;"（未扣减，详见特别提示）",C36)</f>
        <v>0</v>
      </c>
      <c r="E109" s="1965"/>
      <c r="F109" s="2906"/>
      <c r="G109" s="2907"/>
      <c r="H109" s="2908"/>
      <c r="I109" s="2909"/>
    </row>
    <row r="110" spans="1:35" ht="28.5" customHeight="1">
      <c r="A110" s="2902" t="s">
        <v>798</v>
      </c>
      <c r="B110" s="2903"/>
      <c r="C110" s="2190" t="str">
        <f>C108</f>
        <v>总额（元）</v>
      </c>
      <c r="D110" s="783">
        <f>C37</f>
        <v>0</v>
      </c>
      <c r="E110" s="1965"/>
      <c r="F110" s="2839" t="str">
        <f>IF(项目基本情况!F5="已注销","——","3.房地产抵押价值")</f>
        <v>3.房地产抵押价值</v>
      </c>
      <c r="G110" s="2840"/>
      <c r="H110" s="2256" t="str">
        <f>C112</f>
        <v>总价（元）</v>
      </c>
      <c r="I110" s="2257">
        <f ca="1">IF(F110="——","——",I102-I105)</f>
        <v>3255383</v>
      </c>
    </row>
    <row r="111" spans="1:35" ht="15">
      <c r="A111" s="2902" t="s">
        <v>800</v>
      </c>
      <c r="B111" s="2903"/>
      <c r="C111" s="2190" t="str">
        <f>C108</f>
        <v>总额（元）</v>
      </c>
      <c r="D111" s="783">
        <f>C38</f>
        <v>0</v>
      </c>
      <c r="E111" s="1965"/>
      <c r="F111" s="2841"/>
      <c r="G111" s="2842"/>
      <c r="H111" s="2181" t="s">
        <v>791</v>
      </c>
      <c r="I111" s="2211">
        <f ca="1">D113</f>
        <v>59275</v>
      </c>
    </row>
    <row r="112" spans="1:35" ht="26.25" customHeight="1">
      <c r="A112" s="2843" t="str">
        <f>IF(项目基本情况!F5="已注销","——","3.房地产抵押价值")</f>
        <v>3.房地产抵押价值</v>
      </c>
      <c r="B112" s="2844"/>
      <c r="C112" s="2181" t="str">
        <f>B101</f>
        <v>总价（元）</v>
      </c>
      <c r="D112" s="2194">
        <f ca="1">IF(A112="——","——",D106-D108)</f>
        <v>3255383</v>
      </c>
      <c r="E112" s="1965"/>
      <c r="F112" s="2839" t="str">
        <f>IF(项目基本情况!F5="已注销及未注销","4.抵押担保权已注销时的房地产抵押价值",IF(项目基本情况!F5="已注销","3.抵押担保权已注销时的房地产抵押价值","——"))</f>
        <v>——</v>
      </c>
      <c r="G112" s="2840"/>
      <c r="H112" s="2256" t="str">
        <f>C114</f>
        <v>总价（元）</v>
      </c>
      <c r="I112" s="2257" t="str">
        <f>IF(F112="——","——",I102-I107-I108)</f>
        <v>——</v>
      </c>
    </row>
    <row r="113" spans="1:15" ht="15">
      <c r="A113" s="2843"/>
      <c r="B113" s="2844"/>
      <c r="C113" s="2181" t="s">
        <v>791</v>
      </c>
      <c r="D113" s="2195">
        <f ca="1">ROUND(IF(D112=D106,D107,IF(H19="元",D112/项目基本情况!C12,D112*10000/项目基本情况!C12)),0)</f>
        <v>59275</v>
      </c>
      <c r="E113" s="1965"/>
      <c r="F113" s="2841"/>
      <c r="G113" s="2842"/>
      <c r="H113" s="2181" t="s">
        <v>791</v>
      </c>
      <c r="I113" s="2258" t="str">
        <f>D115</f>
        <v>——</v>
      </c>
    </row>
    <row r="114" spans="1:15" ht="15.75">
      <c r="A114" s="2843" t="str">
        <f>IF(项目基本情况!F5="已注销及未注销","4.抵押担保权已注销时的房地产抵押价值",IF(项目基本情况!F5="已注销","3.抵押担保权已注销时的房地产抵押价值","——"))</f>
        <v>——</v>
      </c>
      <c r="B114" s="2844"/>
      <c r="C114" s="2181" t="str">
        <f>B101</f>
        <v>总价（元）</v>
      </c>
      <c r="D114" s="2194" t="str">
        <f>IF(A114="——","——",D106-D110-D111)</f>
        <v>——</v>
      </c>
      <c r="E114" s="1965"/>
      <c r="F114" s="2839" t="str">
        <f>IF(项目基本情况!G5="抵押净值",IF(OR(项目基本情况!F5="已注销",项目基本情况!F5="房地产抵押价值"),"4.抵押净值","5.抵押净值"),"——")</f>
        <v>——</v>
      </c>
      <c r="G114" s="2840"/>
      <c r="H114" s="2181" t="str">
        <f>C116</f>
        <v>总价（元）</v>
      </c>
      <c r="I114" s="2208" t="str">
        <f>IF(F114="——","——",N59)</f>
        <v>——</v>
      </c>
    </row>
    <row r="115" spans="1:15" ht="15">
      <c r="A115" s="2843"/>
      <c r="B115" s="2844"/>
      <c r="C115" s="2181" t="s">
        <v>791</v>
      </c>
      <c r="D115" s="2195" t="str">
        <f>IF(A114="——","——",ROUND(IF(D114=D106,D107,IF(H19="元",D114/项目基本情况!C12,D114*10000/项目基本情况!C12)),0))</f>
        <v>——</v>
      </c>
      <c r="E115" s="1965"/>
      <c r="F115" s="2845"/>
      <c r="G115" s="2846"/>
      <c r="H115" s="2197" t="s">
        <v>791</v>
      </c>
      <c r="I115" s="2212" t="str">
        <f ca="1">D117</f>
        <v>——</v>
      </c>
    </row>
    <row r="116" spans="1:15" ht="15.75">
      <c r="A116" s="2843" t="str">
        <f>IF(项目基本情况!G5="抵押净值",IF(OR(项目基本情况!F5="已注销",项目基本情况!F5="房地产抵押价值"),"4.抵押净值","5.抵押净值"),"——")</f>
        <v>——</v>
      </c>
      <c r="B116" s="2844"/>
      <c r="C116" s="2181" t="str">
        <f>B101</f>
        <v>总价（元）</v>
      </c>
      <c r="D116" s="2194" t="str">
        <f>IF(A116="——","——",N59)</f>
        <v>——</v>
      </c>
      <c r="E116" s="1965"/>
      <c r="F116" s="2891"/>
      <c r="G116" s="2891"/>
      <c r="H116" s="2892"/>
      <c r="I116" s="2892"/>
      <c r="N116" s="1369"/>
      <c r="O116" s="1369"/>
    </row>
    <row r="117" spans="1:15" ht="15">
      <c r="A117" s="2847"/>
      <c r="B117" s="2848"/>
      <c r="C117" s="2197" t="s">
        <v>791</v>
      </c>
      <c r="D117" s="2199" t="str">
        <f ca="1">IF(D116=D112,D113,IF(A116="——","——",N61))</f>
        <v>——</v>
      </c>
      <c r="E117" s="1965"/>
      <c r="F117" s="2893" t="str">
        <f>IF(B32="总价","（以上估价结果中单价为总价除以建筑面积得出）","（以上估价结果中总价为楼面单价乘以建筑面积得出）")</f>
        <v>（以上估价结果中总价为楼面单价乘以建筑面积得出）</v>
      </c>
      <c r="G117" s="2893"/>
      <c r="H117" s="2893"/>
      <c r="I117" s="2893"/>
      <c r="N117" s="1369"/>
      <c r="O117" s="1369"/>
    </row>
    <row r="118" spans="1:15" ht="15">
      <c r="A118" s="2894" t="s">
        <v>801</v>
      </c>
      <c r="B118" s="2895"/>
      <c r="C118" s="2895"/>
      <c r="D118" s="2895"/>
      <c r="E118" s="2895"/>
      <c r="F118" s="2895"/>
      <c r="G118" s="2895"/>
      <c r="H118" s="2895"/>
      <c r="I118" s="2895"/>
    </row>
    <row r="119" spans="1:15" ht="14.25">
      <c r="A119" s="2851" t="s">
        <v>802</v>
      </c>
      <c r="B119" s="2873" t="s">
        <v>803</v>
      </c>
      <c r="C119" s="2873" t="s">
        <v>804</v>
      </c>
      <c r="D119" s="2896" t="s">
        <v>805</v>
      </c>
      <c r="E119" s="2897"/>
      <c r="F119" s="2852" t="s">
        <v>649</v>
      </c>
      <c r="G119" s="2852"/>
      <c r="H119" s="2852" t="s">
        <v>806</v>
      </c>
      <c r="I119" s="2898"/>
    </row>
    <row r="120" spans="1:15" ht="14.25">
      <c r="A120" s="2851"/>
      <c r="B120" s="2874"/>
      <c r="C120" s="2874"/>
      <c r="D120" s="905" t="s">
        <v>807</v>
      </c>
      <c r="E120" s="905" t="s">
        <v>634</v>
      </c>
      <c r="F120" s="905" t="s">
        <v>807</v>
      </c>
      <c r="G120" s="905" t="s">
        <v>634</v>
      </c>
      <c r="H120" s="905" t="s">
        <v>807</v>
      </c>
      <c r="I120" s="783" t="s">
        <v>634</v>
      </c>
    </row>
    <row r="121" spans="1:15" ht="28.5">
      <c r="A121" s="2200" t="str">
        <f>项目基本情况!I1</f>
        <v>浙江省杭州市房地产</v>
      </c>
      <c r="B121" s="905">
        <f>项目基本情况!C12</f>
        <v>54.92</v>
      </c>
      <c r="C121" s="905">
        <f>项目基本情况!C13</f>
        <v>0</v>
      </c>
      <c r="D121" s="905">
        <f ca="1">ROUND(IF(B32="总价",C34,IF('数据-取费表'!B3="万元",E121*B121/10000,E121*B121)),0)</f>
        <v>2848481</v>
      </c>
      <c r="E121" s="905">
        <f ca="1">ROUND(IF(B32="楼面单价",C34,IF(H19="元",D121/B121,D121*10000/B121)),0)</f>
        <v>51866</v>
      </c>
      <c r="F121" s="905">
        <f ca="1">ROUND(IF(B32="总价",C35,IF('数据-取费表'!B3="万元",G121*B121/10000,G121*B121)),0)</f>
        <v>406902</v>
      </c>
      <c r="G121" s="905">
        <f ca="1">ROUND(IF(B32="楼面单价",C35,IF(H19="元",F121/B121,F121*10000/B121)),0)</f>
        <v>7409</v>
      </c>
      <c r="H121" s="905">
        <f ca="1">ROUND(IF(B32="总价",C32,IF('数据-取费表'!B3="万元",I121*B121/10000,I121*B121)),0)</f>
        <v>3255383</v>
      </c>
      <c r="I121" s="783">
        <f ca="1">ROUND(IF(B32="楼面单价",C32,IF(H19="元",H121/B121,H121*10000/B121)),0)</f>
        <v>59275</v>
      </c>
    </row>
    <row r="122" spans="1:15" ht="14.25">
      <c r="A122" s="2851" t="s">
        <v>808</v>
      </c>
      <c r="B122" s="2852"/>
      <c r="C122" s="2852"/>
      <c r="D122" s="2899" t="str">
        <f ca="1">IF(H19="元",NUMBERSTRING(INT(D121),2)&amp;"元整",NUMBERSTRING(INT(D121*10000),2)&amp;"元整")</f>
        <v>贰佰捌拾肆万捌仟肆佰捌拾壹元整</v>
      </c>
      <c r="E122" s="2900"/>
      <c r="F122" s="2899" t="str">
        <f ca="1">IF(H19="元",NUMBERSTRING(INT(F121),2)&amp;"元整",NUMBERSTRING(INT(F121*10000),2)&amp;"元整")</f>
        <v>肆拾万陆仟玖佰零贰元整</v>
      </c>
      <c r="G122" s="2900"/>
      <c r="H122" s="2899" t="str">
        <f ca="1">IF(H19="元",NUMBERSTRING(INT(H121),2)&amp;"元整",NUMBERSTRING(INT(H121*10000),2)&amp;"元整")</f>
        <v>叁佰贰拾伍万伍仟叁佰捌拾叁元整</v>
      </c>
      <c r="I122" s="2901"/>
    </row>
    <row r="123" spans="1:15" ht="15">
      <c r="A123" s="2878" t="str">
        <f>IF(项目基本情况!D5="房地产市场价值","——",MID(A108,3,LEN(A108)-2))</f>
        <v>——</v>
      </c>
      <c r="B123" s="2879"/>
      <c r="C123" s="2880"/>
      <c r="D123" s="2857">
        <f>I105</f>
        <v>0</v>
      </c>
      <c r="E123" s="2879"/>
      <c r="F123" s="2879"/>
      <c r="G123" s="2879"/>
      <c r="H123" s="2879"/>
      <c r="I123" s="2881"/>
    </row>
    <row r="124" spans="1:15" ht="14.25">
      <c r="A124" s="2882" t="s">
        <v>808</v>
      </c>
      <c r="B124" s="2883"/>
      <c r="C124" s="2884"/>
      <c r="D124" s="2885">
        <f>H109</f>
        <v>0</v>
      </c>
      <c r="E124" s="2886"/>
      <c r="F124" s="2886"/>
      <c r="G124" s="2886"/>
      <c r="H124" s="2886"/>
      <c r="I124" s="2887"/>
    </row>
    <row r="125" spans="1:15" ht="15">
      <c r="A125" s="2855" t="str">
        <f>IF(项目基本情况!D5="房地产市场价值","——",MID(A112,3,LEN(A112)-2))</f>
        <v>——</v>
      </c>
      <c r="B125" s="2856"/>
      <c r="C125" s="2856"/>
      <c r="D125" s="2857">
        <f ca="1">I110</f>
        <v>3255383</v>
      </c>
      <c r="E125" s="2879"/>
      <c r="F125" s="2879"/>
      <c r="G125" s="2879"/>
      <c r="H125" s="2879"/>
      <c r="I125" s="2881"/>
    </row>
    <row r="126" spans="1:15" ht="14.25">
      <c r="A126" s="2851" t="s">
        <v>808</v>
      </c>
      <c r="B126" s="2852"/>
      <c r="C126" s="2852"/>
      <c r="D126" s="2885">
        <f ca="1">I111</f>
        <v>59275</v>
      </c>
      <c r="E126" s="2886"/>
      <c r="F126" s="2886"/>
      <c r="G126" s="2886"/>
      <c r="H126" s="2886"/>
      <c r="I126" s="2887"/>
    </row>
    <row r="127" spans="1:15" ht="15">
      <c r="A127" s="2855" t="str">
        <f>IF(项目基本情况!D5="房地产市场价值","——",MID(A114,3,LEN(A114)-2))</f>
        <v>——</v>
      </c>
      <c r="B127" s="2856"/>
      <c r="C127" s="2856"/>
      <c r="D127" s="2888" t="str">
        <f>I112</f>
        <v>——</v>
      </c>
      <c r="E127" s="2889"/>
      <c r="F127" s="2889"/>
      <c r="G127" s="2889"/>
      <c r="H127" s="2889"/>
      <c r="I127" s="2890"/>
    </row>
    <row r="128" spans="1:15" ht="14.25">
      <c r="A128" s="2851" t="s">
        <v>808</v>
      </c>
      <c r="B128" s="2852"/>
      <c r="C128" s="2853"/>
      <c r="D128" s="2854" t="str">
        <f>I113</f>
        <v>——</v>
      </c>
      <c r="E128" s="2854"/>
      <c r="F128" s="2854"/>
      <c r="G128" s="2854"/>
      <c r="H128" s="2854"/>
      <c r="I128" s="2854"/>
    </row>
    <row r="129" spans="1:9" ht="15">
      <c r="A129" s="2855" t="str">
        <f>IF(项目基本情况!D5="房地产市场价值","——",MID(F114,3,LEN(F114)-2))</f>
        <v>——</v>
      </c>
      <c r="B129" s="2856"/>
      <c r="C129" s="2857"/>
      <c r="D129" s="2858" t="str">
        <f>I114</f>
        <v>——</v>
      </c>
      <c r="E129" s="2858"/>
      <c r="F129" s="2858"/>
      <c r="G129" s="2858"/>
      <c r="H129" s="2858"/>
      <c r="I129" s="2858"/>
    </row>
    <row r="130" spans="1:9" ht="14.25">
      <c r="A130" s="2859" t="s">
        <v>808</v>
      </c>
      <c r="B130" s="2860"/>
      <c r="C130" s="2860"/>
      <c r="D130" s="2861">
        <f>H116</f>
        <v>0</v>
      </c>
      <c r="E130" s="2862"/>
      <c r="F130" s="2862"/>
      <c r="G130" s="2862"/>
      <c r="H130" s="2862"/>
      <c r="I130" s="2863"/>
    </row>
    <row r="131" spans="1:9" ht="12.75">
      <c r="A131" s="2135" t="str">
        <f>IF(H19="元","单位：平方米、元、元/平方米（币种：人民币）","单位：平方米、万元、元/平方米（币种：人民币）")</f>
        <v>单位：平方米、元、元/平方米（币种：人民币）</v>
      </c>
      <c r="B131" s="2135"/>
      <c r="C131" s="2135"/>
      <c r="D131" s="2135"/>
      <c r="E131" s="2135"/>
      <c r="F131" s="2135"/>
      <c r="G131" s="2135"/>
      <c r="H131" s="2135"/>
      <c r="I131" s="2135"/>
    </row>
    <row r="132" spans="1:9" ht="12.75">
      <c r="A132" s="2864" t="str">
        <f>IF(B32="总价","（以上估价结果中楼面单价为总价除以建筑面积得出）","（以上估价结果中总价为楼面单价乘以建筑面积得出）")</f>
        <v>（以上估价结果中总价为楼面单价乘以建筑面积得出）</v>
      </c>
      <c r="B132" s="2864"/>
      <c r="C132" s="2864"/>
      <c r="D132" s="2864"/>
      <c r="E132" s="2864"/>
      <c r="F132" s="2864"/>
      <c r="G132" s="2864"/>
      <c r="H132" s="2864"/>
      <c r="I132" s="2864"/>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9"/>
      <c r="G136" s="1369"/>
      <c r="H136" s="1369"/>
      <c r="I136" s="1369"/>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2"/>
    </row>
    <row r="139" spans="1:9" ht="21.75" customHeight="1">
      <c r="A139" s="1372"/>
      <c r="B139" s="1372"/>
      <c r="C139" s="1372"/>
      <c r="D139" s="1372"/>
      <c r="E139" s="1372"/>
      <c r="F139" s="2227" t="s">
        <v>811</v>
      </c>
      <c r="G139" s="2228"/>
      <c r="H139" s="2228"/>
      <c r="I139" s="2235" t="s">
        <v>812</v>
      </c>
    </row>
    <row r="140" spans="1:9" ht="21.75" customHeight="1">
      <c r="A140" s="1372"/>
      <c r="B140" s="2229"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8"/>
      <c r="C142" s="2228"/>
      <c r="D142" s="2228"/>
      <c r="E142" s="2228"/>
      <c r="F142" s="2228"/>
      <c r="G142" s="2228"/>
      <c r="H142" s="2228"/>
      <c r="I142" s="2235" t="s">
        <v>814</v>
      </c>
    </row>
    <row r="143" spans="1:9" ht="21.75" customHeight="1">
      <c r="A143" s="1372"/>
      <c r="B143" s="2229" t="s">
        <v>815</v>
      </c>
      <c r="C143" s="1372"/>
      <c r="D143" s="1372"/>
      <c r="E143" s="1372"/>
      <c r="F143" s="1372"/>
      <c r="G143" s="1372"/>
      <c r="H143" s="1372"/>
      <c r="I143" s="1372"/>
    </row>
    <row r="144" spans="1:9" ht="21.75" customHeight="1">
      <c r="A144" s="1372"/>
      <c r="B144" s="2229"/>
      <c r="C144" s="1372"/>
      <c r="D144" s="1372"/>
      <c r="E144" s="1372"/>
      <c r="F144" s="1372"/>
      <c r="G144" s="1372"/>
      <c r="H144" s="1372"/>
      <c r="I144" s="1372"/>
    </row>
    <row r="145" spans="1:35" ht="21.75" customHeight="1">
      <c r="A145" s="1372"/>
      <c r="B145" s="2228"/>
      <c r="C145" s="2228"/>
      <c r="D145" s="2228"/>
      <c r="E145" s="2228"/>
      <c r="F145" s="2228"/>
      <c r="G145" s="2228"/>
      <c r="H145" s="2228"/>
      <c r="I145" s="2235" t="s">
        <v>814</v>
      </c>
    </row>
    <row r="146" spans="1:35" ht="21.75" customHeight="1">
      <c r="A146" s="1372"/>
      <c r="B146" s="2229"/>
      <c r="C146" s="2230"/>
      <c r="D146" s="2231"/>
      <c r="E146" s="2231"/>
      <c r="F146" s="2232"/>
      <c r="G146" s="1372"/>
      <c r="H146" s="1372"/>
      <c r="I146" s="1372"/>
    </row>
    <row r="147" spans="1:35" s="1369" customFormat="1" ht="21.75" customHeight="1">
      <c r="A147" s="1372"/>
      <c r="B147" s="2229"/>
      <c r="C147" s="2230"/>
      <c r="D147" s="2231"/>
      <c r="E147" s="2231"/>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02:G103"/>
    <mergeCell ref="A128:C128"/>
    <mergeCell ref="D128:I128"/>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75" t="s">
        <v>816</v>
      </c>
      <c r="B2" s="2975"/>
      <c r="C2" s="2975"/>
      <c r="D2" s="2975"/>
      <c r="E2" s="2975"/>
      <c r="F2" s="2975"/>
      <c r="G2" s="2975"/>
      <c r="H2" s="2975"/>
      <c r="I2" s="2975"/>
    </row>
    <row r="3" spans="1:12" ht="12.75">
      <c r="A3" s="2956" t="s">
        <v>606</v>
      </c>
      <c r="B3" s="2957"/>
      <c r="C3" s="2957"/>
      <c r="D3" s="2957"/>
      <c r="E3" s="2957"/>
      <c r="F3" s="2957"/>
      <c r="G3" s="2957"/>
      <c r="H3" s="2957"/>
      <c r="I3" s="2957"/>
    </row>
    <row r="4" spans="1:12" ht="14.25">
      <c r="A4" s="1966" t="s">
        <v>607</v>
      </c>
      <c r="B4" s="1967" t="s">
        <v>608</v>
      </c>
      <c r="C4" s="1968"/>
      <c r="D4" s="1968"/>
      <c r="E4" s="2938" t="s">
        <v>611</v>
      </c>
      <c r="F4" s="2940"/>
      <c r="G4" s="2940"/>
      <c r="H4" s="2940"/>
      <c r="I4" s="2939"/>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5" t="s">
        <v>612</v>
      </c>
      <c r="B5" s="2852">
        <v>25</v>
      </c>
      <c r="C5" s="2875"/>
      <c r="D5" s="2965"/>
      <c r="E5" s="1611" t="s">
        <v>613</v>
      </c>
      <c r="F5" s="1969"/>
      <c r="G5" s="1969"/>
      <c r="H5" s="1969"/>
      <c r="I5" s="2089"/>
    </row>
    <row r="6" spans="1:12" ht="12.75">
      <c r="A6" s="2865"/>
      <c r="B6" s="2852"/>
      <c r="C6" s="2876"/>
      <c r="D6" s="2965"/>
      <c r="E6" s="1611" t="s">
        <v>614</v>
      </c>
      <c r="F6" s="1969"/>
      <c r="G6" s="1969"/>
      <c r="H6" s="1969"/>
      <c r="I6" s="2089"/>
    </row>
    <row r="7" spans="1:12" ht="12.75">
      <c r="A7" s="2865"/>
      <c r="B7" s="2852"/>
      <c r="C7" s="2877"/>
      <c r="D7" s="2965"/>
      <c r="E7" s="1611" t="s">
        <v>615</v>
      </c>
      <c r="F7" s="1969"/>
      <c r="G7" s="1969"/>
      <c r="H7" s="1969"/>
      <c r="I7" s="2089"/>
    </row>
    <row r="8" spans="1:12" ht="12.75">
      <c r="A8" s="2865" t="s">
        <v>616</v>
      </c>
      <c r="B8" s="2852">
        <v>15</v>
      </c>
      <c r="C8" s="2875"/>
      <c r="D8" s="2965"/>
      <c r="E8" s="1611" t="s">
        <v>617</v>
      </c>
      <c r="F8" s="1969"/>
      <c r="G8" s="1969"/>
      <c r="H8" s="1969"/>
      <c r="I8" s="2089"/>
    </row>
    <row r="9" spans="1:12" ht="12.75">
      <c r="A9" s="2865"/>
      <c r="B9" s="2852"/>
      <c r="C9" s="2877"/>
      <c r="D9" s="2965"/>
      <c r="E9" s="1611" t="s">
        <v>618</v>
      </c>
      <c r="F9" s="1969"/>
      <c r="G9" s="1969"/>
      <c r="H9" s="1969"/>
      <c r="I9" s="2089"/>
    </row>
    <row r="10" spans="1:12" ht="12.75">
      <c r="A10" s="2865" t="s">
        <v>619</v>
      </c>
      <c r="B10" s="2852">
        <v>15</v>
      </c>
      <c r="C10" s="2875"/>
      <c r="D10" s="2965"/>
      <c r="E10" s="1611" t="s">
        <v>620</v>
      </c>
      <c r="F10" s="1969"/>
      <c r="G10" s="1969"/>
      <c r="H10" s="1969"/>
      <c r="I10" s="2089"/>
    </row>
    <row r="11" spans="1:12" ht="12.75">
      <c r="A11" s="2865"/>
      <c r="B11" s="2852"/>
      <c r="C11" s="2877"/>
      <c r="D11" s="2965"/>
      <c r="E11" s="1611" t="s">
        <v>621</v>
      </c>
      <c r="F11" s="1969"/>
      <c r="G11" s="1969"/>
      <c r="H11" s="1969"/>
      <c r="I11" s="2089"/>
    </row>
    <row r="12" spans="1:12" ht="12.75">
      <c r="A12" s="2865" t="s">
        <v>622</v>
      </c>
      <c r="B12" s="2852">
        <v>15</v>
      </c>
      <c r="C12" s="2875"/>
      <c r="D12" s="2965"/>
      <c r="E12" s="1611" t="s">
        <v>623</v>
      </c>
      <c r="F12" s="1969"/>
      <c r="G12" s="1969"/>
      <c r="H12" s="1969"/>
      <c r="I12" s="2089"/>
    </row>
    <row r="13" spans="1:12" ht="12.75">
      <c r="A13" s="2865"/>
      <c r="B13" s="2852"/>
      <c r="C13" s="2877"/>
      <c r="D13" s="2965"/>
      <c r="E13" s="1611" t="s">
        <v>624</v>
      </c>
      <c r="F13" s="1969"/>
      <c r="G13" s="1969"/>
      <c r="H13" s="1969"/>
      <c r="I13" s="2089"/>
    </row>
    <row r="14" spans="1:12" ht="12.75">
      <c r="A14" s="2865" t="s">
        <v>625</v>
      </c>
      <c r="B14" s="2852">
        <v>30</v>
      </c>
      <c r="C14" s="2875"/>
      <c r="D14" s="2965"/>
      <c r="E14" s="1611" t="s">
        <v>626</v>
      </c>
      <c r="F14" s="1969"/>
      <c r="G14" s="1969"/>
      <c r="H14" s="1969"/>
      <c r="I14" s="2089"/>
    </row>
    <row r="15" spans="1:12" ht="12.75">
      <c r="A15" s="2865"/>
      <c r="B15" s="2852"/>
      <c r="C15" s="2876"/>
      <c r="D15" s="2965"/>
      <c r="E15" s="1611" t="s">
        <v>627</v>
      </c>
      <c r="F15" s="1969"/>
      <c r="G15" s="1969"/>
      <c r="H15" s="1969"/>
      <c r="I15" s="2089"/>
    </row>
    <row r="16" spans="1:12" ht="12.75">
      <c r="A16" s="2865"/>
      <c r="B16" s="2852"/>
      <c r="C16" s="2877"/>
      <c r="D16" s="2965"/>
      <c r="E16" s="1611" t="s">
        <v>628</v>
      </c>
      <c r="F16" s="1969"/>
      <c r="G16" s="1969"/>
      <c r="H16" s="1969"/>
      <c r="I16" s="2089"/>
    </row>
    <row r="17" spans="1:35" ht="15">
      <c r="A17" s="1970" t="s">
        <v>629</v>
      </c>
      <c r="B17" s="1971"/>
      <c r="C17" s="1972">
        <f>SUM(C5:C16)</f>
        <v>0</v>
      </c>
      <c r="D17" s="1972">
        <f>SUM(D5:D16)</f>
        <v>0</v>
      </c>
      <c r="E17" s="1965"/>
      <c r="F17" s="1965"/>
      <c r="G17" s="1965"/>
      <c r="H17" s="1965"/>
      <c r="I17" s="1965"/>
    </row>
    <row r="18" spans="1:35" ht="15">
      <c r="A18" s="1973" t="s">
        <v>630</v>
      </c>
      <c r="B18" s="1974"/>
      <c r="C18" s="1975" t="e">
        <f>ROUND(C17/SUM(C17:D17),2)</f>
        <v>#DIV/0!</v>
      </c>
      <c r="D18" s="1975" t="e">
        <f>1-C18</f>
        <v>#DIV/0!</v>
      </c>
      <c r="E18" s="1965"/>
      <c r="F18" s="1965"/>
      <c r="G18" s="1965"/>
      <c r="H18" s="1965"/>
      <c r="I18" s="1965"/>
    </row>
    <row r="19" spans="1:35" ht="15">
      <c r="A19" s="1976" t="s">
        <v>631</v>
      </c>
      <c r="B19" s="1977" t="s">
        <v>632</v>
      </c>
      <c r="C19" s="1978" t="e">
        <f ca="1">SUMIF(INDIRECT("'"&amp;C4&amp;"'"&amp;"!A:A"),'结果表 (1修多)'!B19,INDIRECT("'"&amp;C4&amp;"'"&amp;"!B:B"))</f>
        <v>#REF!</v>
      </c>
      <c r="D19" s="1979" t="e">
        <f ca="1">SUMIF(INDIRECT("'"&amp;D4&amp;"'"&amp;"!A:A"),'结果表 (1修多)'!B19,INDIRECT("'"&amp;D4&amp;"'"&amp;"!B:B"))</f>
        <v>#REF!</v>
      </c>
      <c r="E19" s="1976" t="s">
        <v>633</v>
      </c>
      <c r="F19" s="1977" t="s">
        <v>632</v>
      </c>
      <c r="G19" s="1980" t="e">
        <f ca="1">ROUND(C19*$C$18+D19*$D$18,0)</f>
        <v>#REF!</v>
      </c>
      <c r="H19" s="1981" t="str">
        <f>'数据-取费表'!B3</f>
        <v>元</v>
      </c>
      <c r="I19" s="1965"/>
    </row>
    <row r="20" spans="1:35" ht="15">
      <c r="A20" s="1982"/>
      <c r="B20" s="1983" t="s">
        <v>634</v>
      </c>
      <c r="C20" s="1061" t="e">
        <f ca="1">SUMIF(INDIRECT("'"&amp;C4&amp;"'"&amp;"!A:A"),'结果表 (1修多)'!B20,INDIRECT("'"&amp;C4&amp;"'"&amp;"!B:B"))</f>
        <v>#REF!</v>
      </c>
      <c r="D20" s="1331" t="e">
        <f ca="1">SUMIF(INDIRECT("'"&amp;D4&amp;"'"&amp;"!A:A"),'结果表 (1修多)'!B20,INDIRECT("'"&amp;D4&amp;"'"&amp;"!B:B"))</f>
        <v>#REF!</v>
      </c>
      <c r="E20" s="1982"/>
      <c r="F20" s="1983" t="s">
        <v>634</v>
      </c>
      <c r="G20" s="1984" t="e">
        <f ca="1">ROUND(C20*$C$18+D20*$D$18,0)</f>
        <v>#REF!</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866" t="s">
        <v>637</v>
      </c>
      <c r="B24" s="1977" t="s">
        <v>632</v>
      </c>
      <c r="C24" s="1980">
        <f>D30</f>
        <v>0</v>
      </c>
      <c r="D24" s="1996"/>
      <c r="E24" s="1965"/>
      <c r="F24" s="1965"/>
      <c r="G24" s="1965"/>
      <c r="H24" s="1965"/>
      <c r="I24" s="1965"/>
    </row>
    <row r="25" spans="1:35" ht="21.75" customHeight="1">
      <c r="A25" s="2867"/>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642</v>
      </c>
      <c r="B30" s="2004"/>
      <c r="C30" s="2004"/>
      <c r="D30" s="2004"/>
      <c r="E30" s="2005" t="s">
        <v>818</v>
      </c>
      <c r="F30" s="1965"/>
      <c r="G30" s="1965"/>
      <c r="H30" s="1965"/>
      <c r="I30" s="1965"/>
    </row>
    <row r="31" spans="1:35" s="1960" customFormat="1" ht="15">
      <c r="A31" s="2976" t="s">
        <v>819</v>
      </c>
      <c r="B31" s="2976"/>
      <c r="C31" s="2976"/>
      <c r="D31" s="2976"/>
      <c r="E31" s="2976"/>
      <c r="F31" s="2976"/>
      <c r="G31" s="2976"/>
      <c r="H31" s="2976"/>
      <c r="I31" s="2976"/>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635</v>
      </c>
      <c r="E32" s="1965"/>
      <c r="F32" s="1965"/>
      <c r="G32" s="1965"/>
      <c r="H32" s="1965"/>
      <c r="I32" s="1965"/>
    </row>
    <row r="33" spans="1:16" ht="15">
      <c r="A33" s="2009" t="s">
        <v>821</v>
      </c>
      <c r="B33" s="2010" t="s">
        <v>822</v>
      </c>
      <c r="C33" s="2011">
        <f>典型户型修正!B2</f>
        <v>0</v>
      </c>
      <c r="D33" s="2012" t="str">
        <f>IF('数据-取费表'!B3="万元","万元","元")</f>
        <v>元</v>
      </c>
      <c r="E33" s="1965"/>
      <c r="F33" s="1965"/>
      <c r="G33" s="1965"/>
      <c r="H33" s="1965"/>
      <c r="I33" s="1965"/>
    </row>
    <row r="34" spans="1:16" ht="15">
      <c r="A34" s="2013"/>
      <c r="B34" s="2014" t="s">
        <v>823</v>
      </c>
      <c r="C34" s="1989" t="e">
        <f>典型户型修正!B3</f>
        <v>#DIV/0!</v>
      </c>
      <c r="D34" s="1965" t="s">
        <v>635</v>
      </c>
      <c r="E34" s="1965"/>
      <c r="F34" s="1965"/>
      <c r="G34" s="1965"/>
      <c r="H34" s="1965"/>
      <c r="I34" s="1965"/>
    </row>
    <row r="35" spans="1:16" ht="15">
      <c r="A35" s="2015"/>
      <c r="B35" s="2016" t="s">
        <v>647</v>
      </c>
      <c r="C35" s="2017">
        <f>IF('数据-取费表'!B3="万元",典型户型修正!V25,典型户型修正!U25)</f>
        <v>0</v>
      </c>
      <c r="D35" s="1965" t="str">
        <f>D33</f>
        <v>元</v>
      </c>
      <c r="E35" s="1965"/>
      <c r="F35" s="1965"/>
      <c r="G35" s="1965"/>
      <c r="H35" s="1965"/>
      <c r="I35" s="1965"/>
    </row>
    <row r="36" spans="1:16" ht="15">
      <c r="A36" s="2018"/>
      <c r="B36" s="2019" t="s">
        <v>649</v>
      </c>
      <c r="C36" s="2020">
        <f>IF('数据-取费表'!B3="万元",典型户型修正!Y25,典型户型修正!X25)</f>
        <v>0</v>
      </c>
      <c r="D36" s="1965" t="str">
        <f>D33</f>
        <v>元</v>
      </c>
      <c r="E36" s="1965"/>
      <c r="F36" s="1965"/>
      <c r="G36" s="1965"/>
      <c r="H36" s="1965"/>
      <c r="I36" s="1965"/>
    </row>
    <row r="37" spans="1:16" ht="15">
      <c r="A37" s="2868" t="s">
        <v>651</v>
      </c>
      <c r="B37" s="2021" t="s">
        <v>652</v>
      </c>
      <c r="C37" s="2022"/>
      <c r="D37" s="2023"/>
      <c r="E37" s="2024"/>
      <c r="F37" s="2024"/>
      <c r="G37" s="1965"/>
      <c r="H37" s="1965"/>
      <c r="I37" s="1965"/>
    </row>
    <row r="38" spans="1:16" ht="15">
      <c r="A38" s="2869"/>
      <c r="B38" s="2025" t="s">
        <v>653</v>
      </c>
      <c r="C38" s="2026"/>
      <c r="D38" s="1974"/>
      <c r="E38" s="1974"/>
      <c r="F38" s="2024"/>
      <c r="G38" s="1974"/>
      <c r="H38" s="1974"/>
      <c r="I38" s="1974"/>
    </row>
    <row r="39" spans="1:16" ht="15">
      <c r="A39" s="2870"/>
      <c r="B39" s="2027" t="s">
        <v>654</v>
      </c>
      <c r="C39" s="2028"/>
      <c r="D39" s="2029" t="s">
        <v>655</v>
      </c>
      <c r="E39" s="1974"/>
      <c r="F39" s="2024"/>
      <c r="G39" s="1974"/>
      <c r="H39" s="1974"/>
      <c r="I39" s="1974"/>
    </row>
    <row r="40" spans="1:16" ht="15">
      <c r="A40" s="1982" t="s">
        <v>656</v>
      </c>
      <c r="B40" s="2030" t="s">
        <v>639</v>
      </c>
      <c r="C40" s="2031" t="s">
        <v>640</v>
      </c>
      <c r="D40" s="2031" t="s">
        <v>657</v>
      </c>
      <c r="E40" s="2032" t="s">
        <v>641</v>
      </c>
      <c r="F40" s="2024"/>
      <c r="G40" s="1974"/>
      <c r="H40" s="1974"/>
      <c r="I40" s="1974"/>
    </row>
    <row r="41" spans="1:16" ht="14.25">
      <c r="A41" s="2033" t="s">
        <v>658</v>
      </c>
      <c r="B41" s="2034"/>
      <c r="C41" s="1428"/>
      <c r="D41" s="1428"/>
      <c r="E41" s="2035"/>
      <c r="F41" s="2024"/>
      <c r="G41" s="1974"/>
      <c r="H41" s="1974"/>
      <c r="I41" s="1974"/>
    </row>
    <row r="42" spans="1:16" ht="14.25">
      <c r="A42" s="2033" t="s">
        <v>659</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660</v>
      </c>
      <c r="B45" s="2043"/>
      <c r="C45" s="2043"/>
      <c r="D45" s="2044"/>
      <c r="E45" s="2044"/>
      <c r="F45" s="2045"/>
      <c r="G45" s="2045"/>
      <c r="H45" s="2045"/>
      <c r="I45" s="2045"/>
      <c r="J45" s="2091" t="s">
        <v>661</v>
      </c>
      <c r="K45" s="2092"/>
      <c r="L45" s="2092"/>
      <c r="M45" s="2092"/>
      <c r="N45" s="2092"/>
      <c r="O45" s="2092"/>
      <c r="P45" s="1962"/>
    </row>
    <row r="46" spans="1:16" ht="14.25" customHeight="1">
      <c r="A46" s="2958" t="s">
        <v>662</v>
      </c>
      <c r="B46" s="2959"/>
      <c r="C46" s="2960"/>
      <c r="D46" s="1569">
        <f>ROUND(I103*F46,0)</f>
        <v>0</v>
      </c>
      <c r="E46" s="2046" t="s">
        <v>663</v>
      </c>
      <c r="F46" s="2047">
        <v>1</v>
      </c>
      <c r="G46" s="2048" t="s">
        <v>664</v>
      </c>
      <c r="H46" s="1965"/>
      <c r="I46" s="1965"/>
      <c r="J46" s="2950" t="s">
        <v>665</v>
      </c>
      <c r="K46" s="2950"/>
      <c r="L46" s="2950"/>
      <c r="M46" s="2950"/>
      <c r="N46" s="2950"/>
      <c r="O46" s="2950"/>
      <c r="P46" s="1962"/>
    </row>
    <row r="47" spans="1:16" ht="14.25" customHeight="1">
      <c r="A47" s="2961" t="s">
        <v>666</v>
      </c>
      <c r="B47" s="2962"/>
      <c r="C47" s="2962"/>
      <c r="D47" s="2962"/>
      <c r="E47" s="2962"/>
      <c r="F47" s="2962"/>
      <c r="G47" s="2963"/>
      <c r="H47" s="2049"/>
      <c r="I47" s="1374"/>
      <c r="J47" s="1493">
        <v>1</v>
      </c>
      <c r="K47" s="2950" t="s">
        <v>667</v>
      </c>
      <c r="L47" s="2950"/>
      <c r="M47" s="2977"/>
      <c r="N47" s="2977"/>
      <c r="O47" s="2977"/>
      <c r="P47" s="1962"/>
    </row>
    <row r="48" spans="1:16" ht="12" customHeight="1">
      <c r="A48" s="2050" t="s">
        <v>668</v>
      </c>
      <c r="B48" s="2051"/>
      <c r="C48" s="2052"/>
      <c r="D48" s="2053" t="s">
        <v>669</v>
      </c>
      <c r="E48" s="1421" t="s">
        <v>670</v>
      </c>
      <c r="F48" s="1784" t="s">
        <v>671</v>
      </c>
      <c r="G48" s="2054" t="s">
        <v>672</v>
      </c>
      <c r="H48" s="2049"/>
      <c r="I48" s="1374"/>
      <c r="J48" s="1493">
        <v>2</v>
      </c>
      <c r="K48" s="2950" t="s">
        <v>673</v>
      </c>
      <c r="L48" s="2950"/>
      <c r="M48" s="2964">
        <f>'数据-取费表'!B2</f>
        <v>43695</v>
      </c>
      <c r="N48" s="2964"/>
      <c r="O48" s="2964"/>
      <c r="P48" s="1962"/>
    </row>
    <row r="49" spans="1:16" ht="25.5">
      <c r="A49" s="2949" t="s">
        <v>674</v>
      </c>
      <c r="B49" s="2946"/>
      <c r="C49" s="2946"/>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675</v>
      </c>
      <c r="H49" s="2057" t="s">
        <v>676</v>
      </c>
      <c r="I49" s="2049"/>
      <c r="J49" s="1493">
        <v>3</v>
      </c>
      <c r="K49" s="2950" t="s">
        <v>677</v>
      </c>
      <c r="L49" s="2950"/>
      <c r="M49" s="2951">
        <f>I103</f>
        <v>0</v>
      </c>
      <c r="N49" s="2951"/>
      <c r="O49" s="2951"/>
      <c r="P49" s="1962"/>
    </row>
    <row r="50" spans="1:16" ht="25.5" customHeight="1">
      <c r="A50" s="2058" t="s">
        <v>678</v>
      </c>
      <c r="B50" s="2924" t="s">
        <v>679</v>
      </c>
      <c r="C50" s="2924"/>
      <c r="D50" s="1665">
        <v>0</v>
      </c>
      <c r="E50" s="2059" t="s">
        <v>680</v>
      </c>
      <c r="F50" s="2060" t="s">
        <v>121</v>
      </c>
      <c r="G50" s="2952"/>
      <c r="H50" s="1965"/>
      <c r="I50" s="2094"/>
      <c r="J50" s="149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962"/>
    </row>
    <row r="51" spans="1:16" ht="25.5" customHeight="1">
      <c r="A51" s="2061"/>
      <c r="B51" s="2924" t="s">
        <v>681</v>
      </c>
      <c r="C51" s="2924"/>
      <c r="D51" s="1692"/>
      <c r="E51" s="2062"/>
      <c r="F51" s="2063"/>
      <c r="G51" s="2953"/>
      <c r="H51" s="1965"/>
      <c r="I51" s="2094"/>
      <c r="J51" s="2950" t="s">
        <v>682</v>
      </c>
      <c r="K51" s="2950"/>
      <c r="L51" s="2950"/>
      <c r="M51" s="2950"/>
      <c r="N51" s="2950"/>
      <c r="O51" s="2950"/>
      <c r="P51" s="1962"/>
    </row>
    <row r="52" spans="1:16" ht="12" customHeight="1">
      <c r="A52" s="2064"/>
      <c r="B52" s="2924" t="s">
        <v>683</v>
      </c>
      <c r="C52" s="2924"/>
      <c r="D52" s="2065"/>
      <c r="E52" s="451"/>
      <c r="F52" s="2063"/>
      <c r="G52" s="2954"/>
      <c r="H52" s="1965"/>
      <c r="I52" s="2094"/>
      <c r="J52" s="2093" t="s">
        <v>684</v>
      </c>
      <c r="K52" s="2950" t="s">
        <v>685</v>
      </c>
      <c r="L52" s="2950"/>
      <c r="M52" s="2093" t="s">
        <v>686</v>
      </c>
      <c r="N52" s="2093" t="s">
        <v>687</v>
      </c>
      <c r="O52" s="2093" t="s">
        <v>688</v>
      </c>
      <c r="P52" s="1962"/>
    </row>
    <row r="53" spans="1:16" ht="24" customHeight="1">
      <c r="A53" s="2066" t="s">
        <v>689</v>
      </c>
      <c r="B53" s="2924" t="s">
        <v>690</v>
      </c>
      <c r="C53" s="2924"/>
      <c r="D53" s="2065">
        <f>ROUND(D46*'数据-取费表'!E29/(1+'数据-取费表'!F30),0)</f>
        <v>0</v>
      </c>
      <c r="E53" s="1424" t="s">
        <v>691</v>
      </c>
      <c r="F53" s="2067">
        <f>'数据-取费表'!E29</f>
        <v>5.6000000000000001E-2</v>
      </c>
      <c r="G53" s="2068"/>
      <c r="H53" s="1965"/>
      <c r="I53" s="2094"/>
      <c r="J53" s="1493">
        <v>1</v>
      </c>
      <c r="K53" s="2942" t="s">
        <v>692</v>
      </c>
      <c r="L53" s="2942"/>
      <c r="M53" s="2095">
        <f>D49</f>
        <v>0</v>
      </c>
      <c r="N53" s="1493" t="str">
        <f>E49</f>
        <v>销售额×税（费）率</v>
      </c>
      <c r="O53" s="2096">
        <f>F49</f>
        <v>5.6000000000000001E-2</v>
      </c>
      <c r="P53" s="1962"/>
    </row>
    <row r="54" spans="1:16" ht="12" customHeight="1">
      <c r="A54" s="2066" t="s">
        <v>693</v>
      </c>
      <c r="B54" s="2923" t="s">
        <v>694</v>
      </c>
      <c r="C54" s="2820"/>
      <c r="D54" s="2065">
        <f>ROUND(D46*'数据-取费表'!E29/(1+'数据-取费表'!F30),0)</f>
        <v>0</v>
      </c>
      <c r="E54" s="1424" t="s">
        <v>691</v>
      </c>
      <c r="F54" s="2067">
        <f>'数据-取费表'!E29</f>
        <v>5.6000000000000001E-2</v>
      </c>
      <c r="G54" s="2068"/>
      <c r="H54" s="1965"/>
      <c r="I54" s="2094"/>
      <c r="J54" s="1493">
        <v>2</v>
      </c>
      <c r="K54" s="2942" t="s">
        <v>695</v>
      </c>
      <c r="L54" s="2942"/>
      <c r="M54" s="2095">
        <f t="shared" ref="M54:O55" si="1">D56</f>
        <v>0</v>
      </c>
      <c r="N54" s="1493" t="str">
        <f t="shared" si="1"/>
        <v>销售额×税（费）率</v>
      </c>
      <c r="O54" s="2096">
        <f t="shared" si="1"/>
        <v>5.0000000000000001E-4</v>
      </c>
      <c r="P54" s="1962"/>
    </row>
    <row r="55" spans="1:16" ht="12" customHeight="1">
      <c r="A55" s="2066" t="s">
        <v>696</v>
      </c>
      <c r="B55" s="2923" t="s">
        <v>697</v>
      </c>
      <c r="C55" s="2820"/>
      <c r="D55" s="2065">
        <f>C69</f>
        <v>0</v>
      </c>
      <c r="E55" s="451" t="s">
        <v>698</v>
      </c>
      <c r="F55" s="2067">
        <f>'数据-取费表'!E29</f>
        <v>5.6000000000000001E-2</v>
      </c>
      <c r="G55" s="2068"/>
      <c r="H55" s="2070"/>
      <c r="I55" s="2094"/>
      <c r="J55" s="1493">
        <v>3</v>
      </c>
      <c r="K55" s="2942" t="s">
        <v>699</v>
      </c>
      <c r="L55" s="2942"/>
      <c r="M55" s="2095">
        <f t="shared" si="1"/>
        <v>0</v>
      </c>
      <c r="N55" s="1493" t="str">
        <f t="shared" si="1"/>
        <v>增值额×税（费）率</v>
      </c>
      <c r="O55" s="2097" t="str">
        <f t="shared" si="1"/>
        <v>——</v>
      </c>
      <c r="P55" s="1962"/>
    </row>
    <row r="56" spans="1:16" ht="24" customHeight="1">
      <c r="A56" s="2816" t="s">
        <v>700</v>
      </c>
      <c r="B56" s="2946"/>
      <c r="C56" s="2946"/>
      <c r="D56" s="1663">
        <f>IF(H56="个人住宅",0,ROUND(D46*I56,0))</f>
        <v>0</v>
      </c>
      <c r="E56" s="1424" t="s">
        <v>701</v>
      </c>
      <c r="F56" s="2067">
        <f>IF(H56="正常",I56,"免征")</f>
        <v>5.0000000000000001E-4</v>
      </c>
      <c r="G56" s="2068"/>
      <c r="H56" s="2057" t="s">
        <v>702</v>
      </c>
      <c r="I56" s="2098">
        <f>'数据-取费表'!E37</f>
        <v>5.0000000000000001E-4</v>
      </c>
      <c r="J56" s="1493" t="str">
        <f>IF(H60="非个人房产","",4)</f>
        <v/>
      </c>
      <c r="K56" s="2942" t="str">
        <f>IF(H60="非个人房产","——","个人所得税")</f>
        <v>——</v>
      </c>
      <c r="L56" s="2942"/>
      <c r="M56" s="2099" t="str">
        <f>D60</f>
        <v>——</v>
      </c>
      <c r="N56" s="2100" t="str">
        <f>E60</f>
        <v>——</v>
      </c>
      <c r="O56" s="2101" t="str">
        <f>F60</f>
        <v>——</v>
      </c>
      <c r="P56" s="1962"/>
    </row>
    <row r="57" spans="1:16" ht="24.75">
      <c r="A57" s="2816" t="s">
        <v>703</v>
      </c>
      <c r="B57" s="2946"/>
      <c r="C57" s="2946"/>
      <c r="D57" s="1663">
        <f>IF(H57="个人住宅",D58,D59)</f>
        <v>0</v>
      </c>
      <c r="E57" s="1424" t="s">
        <v>704</v>
      </c>
      <c r="F57" s="2067" t="str">
        <f>IF(H57="正常",F59,"免征")</f>
        <v>——</v>
      </c>
      <c r="G57" s="2072" t="s">
        <v>705</v>
      </c>
      <c r="H57" s="2073" t="s">
        <v>702</v>
      </c>
      <c r="I57" s="2075"/>
      <c r="J57" s="1493" t="str">
        <f>IF(项目基本情况!I6="上海银行",IF(J56="",4,J56+1),"")</f>
        <v/>
      </c>
      <c r="K57" s="2947" t="str">
        <f>IF(项目基本情况!I6="上海银行","其他处置费用","")</f>
        <v/>
      </c>
      <c r="L57" s="2948"/>
      <c r="M57" s="2095" t="str">
        <f>IF(项目基本情况!I6="上海银行",M70,"")</f>
        <v/>
      </c>
      <c r="N57" s="2936" t="str">
        <f>IF(项目基本情况!I6="上海银行","包含处置中涉及的律师、诉讼、拍卖、评估等费用","")</f>
        <v/>
      </c>
      <c r="O57" s="2937"/>
      <c r="P57" s="1962"/>
    </row>
    <row r="58" spans="1:16" ht="12.75">
      <c r="A58" s="2066" t="s">
        <v>678</v>
      </c>
      <c r="B58" s="2938" t="s">
        <v>706</v>
      </c>
      <c r="C58" s="2939"/>
      <c r="D58" s="2074">
        <v>0</v>
      </c>
      <c r="E58" s="2059" t="s">
        <v>680</v>
      </c>
      <c r="F58" s="1378"/>
      <c r="G58" s="2068"/>
      <c r="H58" s="2075"/>
      <c r="I58" s="2075"/>
      <c r="J58" s="2942">
        <f>IF(AND(J56="",J57=""),4,IF(项目基本情况!I6="上海银行",J57+1,J56+1))</f>
        <v>4</v>
      </c>
      <c r="K58" s="2942" t="s">
        <v>707</v>
      </c>
      <c r="L58" s="2102" t="s">
        <v>708</v>
      </c>
      <c r="M58" s="2103"/>
      <c r="N58" s="2104">
        <f>SUMIF(M53:M57,"&lt;9e307")</f>
        <v>0</v>
      </c>
      <c r="O58" s="2105"/>
      <c r="P58" s="2106" t="e">
        <f>N58/M50</f>
        <v>#VALUE!</v>
      </c>
    </row>
    <row r="59" spans="1:16" ht="24.75">
      <c r="A59" s="2066" t="s">
        <v>689</v>
      </c>
      <c r="B59" s="2938" t="s">
        <v>709</v>
      </c>
      <c r="C59" s="2940"/>
      <c r="D59" s="1663">
        <f>IF(H59="转让取得",C82,C98)</f>
        <v>0</v>
      </c>
      <c r="E59" s="1424" t="s">
        <v>704</v>
      </c>
      <c r="F59" s="1421" t="s">
        <v>121</v>
      </c>
      <c r="G59" s="2068"/>
      <c r="H59" s="2073" t="s">
        <v>710</v>
      </c>
      <c r="I59" s="2075"/>
      <c r="J59" s="2942"/>
      <c r="K59" s="2942"/>
      <c r="L59" s="2102" t="s">
        <v>711</v>
      </c>
      <c r="M59" s="2107"/>
      <c r="N59" s="2108" t="str">
        <f>IF(H19="元",NUMBERSTRING(INT(N58),2)&amp;"元整",NUMBERSTRING(INT(N58*10000),2)&amp;"元整")</f>
        <v>零元整</v>
      </c>
      <c r="O59" s="2109"/>
      <c r="P59" s="1962"/>
    </row>
    <row r="60" spans="1:16" ht="24">
      <c r="A60" s="2808" t="s">
        <v>712</v>
      </c>
      <c r="B60" s="2809"/>
      <c r="C60" s="2809"/>
      <c r="D60" s="2078" t="str">
        <f>IF(H60="非个人房产","——",IF(H60="个人住宅",0,ROUND(D46*I60,0)))</f>
        <v>——</v>
      </c>
      <c r="E60" s="2079" t="str">
        <f>IF(H60="非个人房产","——","销售额×税（费）率")</f>
        <v>——</v>
      </c>
      <c r="F60" s="2080" t="str">
        <f>IF(H60="非个人房产","——",IF(H60="个人住宅","免征",I60))</f>
        <v>——</v>
      </c>
      <c r="G60" s="2081" t="s">
        <v>705</v>
      </c>
      <c r="H60" s="2073" t="s">
        <v>824</v>
      </c>
      <c r="I60" s="2110">
        <v>0.01</v>
      </c>
      <c r="J60" s="2943">
        <f>J58+1</f>
        <v>5</v>
      </c>
      <c r="K60" s="2942" t="s">
        <v>714</v>
      </c>
      <c r="L60" s="1493" t="s">
        <v>708</v>
      </c>
      <c r="M60" s="2111"/>
      <c r="N60" s="2112" t="e">
        <f>M50-N58</f>
        <v>#VALUE!</v>
      </c>
      <c r="O60" s="2113"/>
      <c r="P60" s="1962"/>
    </row>
    <row r="61" spans="1:16" ht="12" customHeight="1">
      <c r="A61" s="2082"/>
      <c r="B61" s="1965"/>
      <c r="C61" s="1965"/>
      <c r="D61" s="1965"/>
      <c r="E61" s="2075"/>
      <c r="F61" s="2075"/>
      <c r="G61" s="2075"/>
      <c r="H61" s="2040"/>
      <c r="I61" s="1965"/>
      <c r="J61" s="2944"/>
      <c r="K61" s="2942"/>
      <c r="L61" s="2102" t="s">
        <v>711</v>
      </c>
      <c r="M61" s="2107"/>
      <c r="N61" s="2108" t="e">
        <f>IF(H19="元",NUMBERSTRING(INT(N60),2)&amp;"元整",NUMBERSTRING(INT(N60*10000),2)&amp;"元整")</f>
        <v>#VALUE!</v>
      </c>
      <c r="O61" s="2109"/>
      <c r="P61" s="1962"/>
    </row>
    <row r="62" spans="1:16" ht="12.75">
      <c r="A62" s="2941" t="s">
        <v>715</v>
      </c>
      <c r="B62" s="2941"/>
      <c r="C62" s="2941"/>
      <c r="D62" s="2941"/>
      <c r="E62" s="2941"/>
      <c r="F62" s="2075"/>
      <c r="G62" s="2075"/>
      <c r="H62" s="2040"/>
      <c r="I62" s="1965"/>
      <c r="J62" s="1493">
        <f>J60+1</f>
        <v>6</v>
      </c>
      <c r="K62" s="2942" t="s">
        <v>716</v>
      </c>
      <c r="L62" s="2942"/>
      <c r="M62" s="2114"/>
      <c r="N62" s="2115" t="e">
        <f>IF(H19="元",ROUND(N60/项目基本情况!C12,0),ROUND(N60*10000/项目基本情况!C12,0))</f>
        <v>#VALUE!</v>
      </c>
      <c r="O62" s="2116"/>
      <c r="P62" s="1962"/>
    </row>
    <row r="63" spans="1:16" ht="12.75">
      <c r="A63" s="2931" t="s">
        <v>717</v>
      </c>
      <c r="B63" s="2932"/>
      <c r="C63" s="463"/>
      <c r="D63" s="463" t="s">
        <v>718</v>
      </c>
      <c r="E63" s="2083" t="s">
        <v>672</v>
      </c>
      <c r="F63" s="2075"/>
      <c r="G63" s="2075"/>
      <c r="H63" s="2040"/>
      <c r="I63" s="1965"/>
      <c r="J63" s="1962"/>
      <c r="K63" s="1962"/>
      <c r="L63" s="1962"/>
      <c r="M63" s="1962"/>
      <c r="N63" s="1962"/>
      <c r="O63" s="1962"/>
      <c r="P63" s="1962"/>
    </row>
    <row r="64" spans="1:16" ht="12.75">
      <c r="A64" s="2084">
        <v>1</v>
      </c>
      <c r="B64" s="2085" t="s">
        <v>719</v>
      </c>
      <c r="C64" s="2086">
        <f>ROUND((C65+C66)/(1+'数据-取费表'!F30),0)</f>
        <v>0</v>
      </c>
      <c r="D64" s="2087"/>
      <c r="E64" s="2088"/>
      <c r="F64" s="2075"/>
      <c r="G64" s="2075"/>
      <c r="H64" s="2040"/>
      <c r="I64" s="1965"/>
      <c r="J64" s="2945" t="s">
        <v>720</v>
      </c>
      <c r="K64" s="2117" t="s">
        <v>721</v>
      </c>
      <c r="L64" s="2118" t="e">
        <f>IF(M50&gt;10000,M50*0.5%,IF(AND(M50&gt;1000,M50&lt;=10000),M50*1%,IF(AND(M50&gt;100,M50&lt;=1000),M50*3%,IF(AND(M50&gt;10,M50&lt;=100),M50*5%,M50*8%))))</f>
        <v>#VALUE!</v>
      </c>
      <c r="M64" s="1421" t="e">
        <f>ROUND(L64,1)</f>
        <v>#VALUE!</v>
      </c>
      <c r="N64" s="1962"/>
      <c r="O64" s="1962"/>
      <c r="P64" s="1962"/>
    </row>
    <row r="65" spans="1:35" ht="12.75">
      <c r="A65" s="2119" t="s">
        <v>722</v>
      </c>
      <c r="B65" s="413" t="s">
        <v>723</v>
      </c>
      <c r="C65" s="2120">
        <f>D46</f>
        <v>0</v>
      </c>
      <c r="D65" s="439" t="s">
        <v>121</v>
      </c>
      <c r="E65" s="2121"/>
      <c r="F65" s="2075"/>
      <c r="G65" s="2075"/>
      <c r="H65" s="2040"/>
      <c r="I65" s="1965"/>
      <c r="J65" s="2945"/>
      <c r="K65" s="2117" t="s">
        <v>724</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725</v>
      </c>
      <c r="O65" s="1962"/>
      <c r="P65" s="1962"/>
    </row>
    <row r="66" spans="1:35" ht="12.75">
      <c r="A66" s="2119" t="s">
        <v>726</v>
      </c>
      <c r="B66" s="413" t="s">
        <v>727</v>
      </c>
      <c r="C66" s="2122"/>
      <c r="D66" s="439"/>
      <c r="E66" s="2121"/>
      <c r="F66" s="2075"/>
      <c r="G66" s="2075"/>
      <c r="H66" s="2040"/>
      <c r="I66" s="1965"/>
      <c r="J66" s="2945"/>
      <c r="K66" s="2117" t="s">
        <v>728</v>
      </c>
      <c r="L66" s="2118" t="e">
        <f>IF(M50&gt;1000,M50*0.1%,IF(AND(M50&gt;500,M50&lt;=1000),M50*0.5%,IF(AND(M50&gt;50,M50&lt;=500),M50*1%,IF(AND(M50&gt;1,M50&lt;=50),M50*1.5%))))</f>
        <v>#VALUE!</v>
      </c>
      <c r="M66" s="1421" t="e">
        <f t="shared" si="2"/>
        <v>#VALUE!</v>
      </c>
      <c r="N66" s="1962" t="s">
        <v>725</v>
      </c>
      <c r="O66" s="1962"/>
      <c r="P66" s="1962"/>
    </row>
    <row r="67" spans="1:35" ht="12.75">
      <c r="A67" s="2123" t="s">
        <v>729</v>
      </c>
      <c r="B67" s="2124" t="s">
        <v>730</v>
      </c>
      <c r="C67" s="2125"/>
      <c r="D67" s="508" t="s">
        <v>121</v>
      </c>
      <c r="E67" s="2126" t="s">
        <v>731</v>
      </c>
      <c r="F67" s="2075"/>
      <c r="G67" s="2075"/>
      <c r="H67" s="2040"/>
      <c r="I67" s="1965"/>
      <c r="J67" s="2945"/>
      <c r="K67" s="2117" t="s">
        <v>732</v>
      </c>
      <c r="L67" s="2118" t="e">
        <f>M50*0.5%</f>
        <v>#VALUE!</v>
      </c>
      <c r="M67" s="1421" t="e">
        <f>IF(L67&gt;0.5,0.5,ROUND(L67,0))</f>
        <v>#VALUE!</v>
      </c>
      <c r="N67" s="1962" t="s">
        <v>733</v>
      </c>
      <c r="O67" s="1962"/>
      <c r="P67" s="1962"/>
    </row>
    <row r="68" spans="1:35" ht="12.75">
      <c r="A68" s="2123" t="s">
        <v>734</v>
      </c>
      <c r="B68" s="2124" t="s">
        <v>735</v>
      </c>
      <c r="C68" s="2127">
        <f>C64-C67</f>
        <v>0</v>
      </c>
      <c r="D68" s="439" t="s">
        <v>121</v>
      </c>
      <c r="E68" s="2121"/>
      <c r="F68" s="2075"/>
      <c r="G68" s="2075"/>
      <c r="H68" s="2040"/>
      <c r="I68" s="1965"/>
      <c r="J68" s="2945"/>
      <c r="K68" s="2117" t="s">
        <v>736</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737</v>
      </c>
      <c r="B69" s="2129" t="s">
        <v>738</v>
      </c>
      <c r="C69" s="2130">
        <f>IF(C68&lt;=0,0,ROUND(C68*D69,0))</f>
        <v>0</v>
      </c>
      <c r="D69" s="630">
        <f>'数据-取费表'!E29</f>
        <v>5.6000000000000001E-2</v>
      </c>
      <c r="E69" s="2131"/>
      <c r="F69" s="2075"/>
      <c r="G69" s="2075"/>
      <c r="H69" s="2040"/>
      <c r="I69" s="1965"/>
      <c r="J69" s="2945"/>
      <c r="K69" s="2117" t="s">
        <v>739</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8"/>
      <c r="E70" s="2135"/>
      <c r="F70" s="2075"/>
      <c r="G70" s="2075"/>
      <c r="H70" s="2040"/>
      <c r="I70" s="1965"/>
      <c r="J70" s="2945"/>
      <c r="K70" s="2117" t="s">
        <v>740</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929" t="s">
        <v>741</v>
      </c>
      <c r="B71" s="2930"/>
      <c r="C71" s="2930"/>
      <c r="D71" s="2930"/>
      <c r="E71" s="2930"/>
      <c r="F71" s="2930"/>
      <c r="G71" s="2930"/>
      <c r="H71" s="2930"/>
      <c r="I71" s="2204"/>
      <c r="J71" s="365"/>
      <c r="K71" s="365"/>
      <c r="L71" s="365"/>
      <c r="M71" s="365"/>
      <c r="N71" s="36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931" t="s">
        <v>717</v>
      </c>
      <c r="B72" s="2932"/>
      <c r="C72" s="463"/>
      <c r="D72" s="463" t="s">
        <v>718</v>
      </c>
      <c r="E72" s="2136" t="s">
        <v>672</v>
      </c>
      <c r="F72" s="2137"/>
      <c r="G72" s="2137"/>
      <c r="H72" s="2138"/>
      <c r="I72" s="2205"/>
      <c r="J72" s="365"/>
      <c r="K72" s="365"/>
      <c r="L72" s="365"/>
      <c r="M72" s="365"/>
      <c r="N72" s="36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39">
        <v>1</v>
      </c>
      <c r="B73" s="2124" t="s">
        <v>742</v>
      </c>
      <c r="C73" s="2127">
        <f>ROUND(D46/(1+'数据-取费表'!F30),0)</f>
        <v>0</v>
      </c>
      <c r="D73" s="439" t="s">
        <v>121</v>
      </c>
      <c r="E73" s="1603"/>
      <c r="F73" s="1604"/>
      <c r="G73" s="1604"/>
      <c r="H73" s="2140"/>
      <c r="I73" s="2205"/>
      <c r="J73" s="365"/>
      <c r="K73" s="365"/>
      <c r="L73" s="365"/>
      <c r="M73" s="365"/>
      <c r="N73" s="36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14.25">
      <c r="A74" s="2141">
        <v>2</v>
      </c>
      <c r="B74" s="1784" t="s">
        <v>744</v>
      </c>
      <c r="C74" s="2127">
        <f>C75+C79</f>
        <v>0</v>
      </c>
      <c r="D74" s="439" t="s">
        <v>121</v>
      </c>
      <c r="E74" s="1603"/>
      <c r="F74" s="1604"/>
      <c r="G74" s="1604"/>
      <c r="H74" s="2140"/>
      <c r="I74" s="2205"/>
      <c r="J74" s="365"/>
      <c r="K74" s="365"/>
      <c r="L74" s="365"/>
      <c r="M74" s="365"/>
      <c r="N74" s="36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745</v>
      </c>
      <c r="B75" s="413" t="s">
        <v>746</v>
      </c>
      <c r="C75" s="439">
        <f>ROUND(IF(G78="2016年5月1日后购买",C76/(1+'数据-取费表'!F30)+C77+C78,C76+C77+C78),0)</f>
        <v>0</v>
      </c>
      <c r="D75" s="439" t="s">
        <v>121</v>
      </c>
      <c r="E75" s="1603"/>
      <c r="F75" s="1604"/>
      <c r="G75" s="1604"/>
      <c r="H75" s="2140"/>
      <c r="I75" s="2205"/>
      <c r="J75" s="365"/>
      <c r="K75" s="365"/>
      <c r="L75" s="365"/>
      <c r="M75" s="365"/>
      <c r="N75" s="365"/>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14.25">
      <c r="A76" s="2142" t="s">
        <v>747</v>
      </c>
      <c r="B76" s="413" t="s">
        <v>748</v>
      </c>
      <c r="C76" s="543"/>
      <c r="D76" s="439" t="s">
        <v>121</v>
      </c>
      <c r="E76" s="2143" t="s">
        <v>749</v>
      </c>
      <c r="F76" s="2144" t="s">
        <v>750</v>
      </c>
      <c r="G76" s="2143" t="s">
        <v>751</v>
      </c>
      <c r="H76" s="2145"/>
      <c r="I76" s="547"/>
      <c r="J76" s="365"/>
      <c r="K76" s="365"/>
      <c r="L76" s="365"/>
      <c r="M76" s="365"/>
      <c r="N76" s="36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752</v>
      </c>
      <c r="B77" s="2146" t="s">
        <v>753</v>
      </c>
      <c r="C77" s="439">
        <f>IF(F76="购房发票",ROUND(C76*H76*D77,0),0)</f>
        <v>0</v>
      </c>
      <c r="D77" s="2147">
        <v>0.05</v>
      </c>
      <c r="E77" s="2923" t="s">
        <v>754</v>
      </c>
      <c r="F77" s="2924"/>
      <c r="G77" s="2924"/>
      <c r="H77" s="2925"/>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755</v>
      </c>
      <c r="B78" s="413" t="s">
        <v>756</v>
      </c>
      <c r="C78" s="439">
        <f>ROUND(IF(G78="个人住宅",0,IF(G78="2016年5月1日前购买",C76*D78,C76*D78/(1+'数据-取费表'!F30))),0)</f>
        <v>0</v>
      </c>
      <c r="D78" s="2149">
        <f>'数据-取费表'!E36+'数据-取费表'!E37</f>
        <v>3.0499999999999999E-2</v>
      </c>
      <c r="E78" s="1684" t="s">
        <v>757</v>
      </c>
      <c r="F78" s="2150"/>
      <c r="G78" s="2151" t="s">
        <v>758</v>
      </c>
      <c r="H78" s="2148" t="str">
        <f>IF(G78="个人买卖住房","免征印花税"," ")</f>
        <v/>
      </c>
      <c r="I78" s="2205"/>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24.75" customHeight="1">
      <c r="A79" s="2142" t="s">
        <v>759</v>
      </c>
      <c r="B79" s="413" t="s">
        <v>760</v>
      </c>
      <c r="C79" s="2152">
        <f>ROUND(D46*D79/(1+'数据-取费表'!F30),0)</f>
        <v>0</v>
      </c>
      <c r="D79" s="2153">
        <f>'数据-取费表'!E31</f>
        <v>6.0000000000000001E-3</v>
      </c>
      <c r="E79" s="2926" t="s">
        <v>761</v>
      </c>
      <c r="F79" s="2927"/>
      <c r="G79" s="2927"/>
      <c r="H79" s="2928"/>
      <c r="I79" s="2206"/>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14.25">
      <c r="A80" s="2157" t="s">
        <v>734</v>
      </c>
      <c r="B80" s="2124" t="s">
        <v>762</v>
      </c>
      <c r="C80" s="2127">
        <f>C73-C74</f>
        <v>0</v>
      </c>
      <c r="D80" s="439" t="s">
        <v>121</v>
      </c>
      <c r="E80" s="1603"/>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14.25">
      <c r="A81" s="2157" t="s">
        <v>737</v>
      </c>
      <c r="B81" s="2124" t="s">
        <v>763</v>
      </c>
      <c r="C81" s="2158">
        <f>IF(C80&lt;=0,0,C80/C74)</f>
        <v>0</v>
      </c>
      <c r="D81" s="439"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14.25">
      <c r="A82" s="2159" t="s">
        <v>764</v>
      </c>
      <c r="B82" s="2129" t="s">
        <v>765</v>
      </c>
      <c r="C82" s="2160">
        <f>ROUND(IF(C80&lt;=0,0,IF(C81&gt;=200%,C80*60%-C74*35%,IF(C81&gt;=100%,C80*50%-C74*15%,IF(C81&gt;=50%,C80*40%-C74*5%,IF(C81&lt;50%,C80*30%,0))))),0)</f>
        <v>0</v>
      </c>
      <c r="D82" s="460"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7.5" customHeight="1">
      <c r="A83" s="2164"/>
      <c r="B83" s="2165"/>
      <c r="C83" s="547"/>
      <c r="D83" s="547"/>
      <c r="E83" s="2165"/>
      <c r="F83" s="2165"/>
      <c r="G83" s="2165"/>
      <c r="H83" s="2166"/>
      <c r="I83" s="2206"/>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929" t="s">
        <v>766</v>
      </c>
      <c r="B84" s="2930"/>
      <c r="C84" s="2930"/>
      <c r="D84" s="2930"/>
      <c r="E84" s="2930"/>
      <c r="F84" s="2930"/>
      <c r="G84" s="2930"/>
      <c r="H84" s="2930"/>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14.25">
      <c r="A85" s="2931" t="s">
        <v>717</v>
      </c>
      <c r="B85" s="2932"/>
      <c r="C85" s="463"/>
      <c r="D85" s="463" t="s">
        <v>718</v>
      </c>
      <c r="E85" s="2136" t="s">
        <v>672</v>
      </c>
      <c r="F85" s="2137"/>
      <c r="G85" s="2137"/>
      <c r="H85" s="2167"/>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39">
        <v>1</v>
      </c>
      <c r="B86" s="2124" t="s">
        <v>742</v>
      </c>
      <c r="C86" s="2127">
        <f>ROUND(D46/(1+'数据-取费表'!F30),0)</f>
        <v>0</v>
      </c>
      <c r="D86" s="439" t="s">
        <v>121</v>
      </c>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1">
        <v>2</v>
      </c>
      <c r="B87" s="1784" t="s">
        <v>744</v>
      </c>
      <c r="C87" s="2127">
        <f>IF(H89="仅含出让金",C88+C91+C92+C93+C94+C95,C88+C92+C93+C94+C95)</f>
        <v>0</v>
      </c>
      <c r="D87" s="2169"/>
      <c r="E87" s="1603"/>
      <c r="F87" s="1604"/>
      <c r="G87" s="1604"/>
      <c r="H87" s="2168"/>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745</v>
      </c>
      <c r="B88" s="413" t="s">
        <v>767</v>
      </c>
      <c r="C88" s="2152">
        <f>C89+C90</f>
        <v>0</v>
      </c>
      <c r="D88" s="2153"/>
      <c r="E88" s="2154"/>
      <c r="F88" s="2155"/>
      <c r="G88" s="2155"/>
      <c r="H88" s="2156"/>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747</v>
      </c>
      <c r="B89" s="413" t="s">
        <v>768</v>
      </c>
      <c r="C89" s="2170"/>
      <c r="D89" s="2153"/>
      <c r="E89" s="2171" t="s">
        <v>769</v>
      </c>
      <c r="F89" s="2155"/>
      <c r="G89" s="2172" t="s">
        <v>770</v>
      </c>
      <c r="H89" s="2173"/>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752</v>
      </c>
      <c r="B90" s="413" t="s">
        <v>756</v>
      </c>
      <c r="C90" s="2152">
        <f>ROUND(C89*D90,0)</f>
        <v>0</v>
      </c>
      <c r="D90" s="2153">
        <f>'数据-取费表'!E36+'数据-取费表'!E37</f>
        <v>3.0499999999999999E-2</v>
      </c>
      <c r="E90" s="2171" t="s">
        <v>771</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14.25">
      <c r="A91" s="2142" t="s">
        <v>759</v>
      </c>
      <c r="B91" s="413" t="s">
        <v>772</v>
      </c>
      <c r="C91" s="2170"/>
      <c r="D91" s="2153"/>
      <c r="E91" s="2171" t="str">
        <f>IF(H89="-","土地取得成本中已包含该笔费用"," ")</f>
        <v/>
      </c>
      <c r="F91" s="2155"/>
      <c r="G91" s="2155"/>
      <c r="H91" s="2156"/>
      <c r="I91" s="54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30.75" customHeight="1">
      <c r="A92" s="2142" t="s">
        <v>773</v>
      </c>
      <c r="B92" s="413" t="s">
        <v>774</v>
      </c>
      <c r="C92" s="2152">
        <f>IF(H92="——",成本法!C33,I92)</f>
        <v>0</v>
      </c>
      <c r="D92" s="2153"/>
      <c r="E92" s="2926" t="s">
        <v>775</v>
      </c>
      <c r="F92" s="2927"/>
      <c r="G92" s="2927"/>
      <c r="H92" s="2174" t="s">
        <v>776</v>
      </c>
      <c r="I92" s="220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777</v>
      </c>
      <c r="B93" s="413" t="s">
        <v>778</v>
      </c>
      <c r="C93" s="2152">
        <f>ROUND((C88+C91+C92)*D93,0)</f>
        <v>0</v>
      </c>
      <c r="D93" s="2153">
        <v>0.1</v>
      </c>
      <c r="E93" s="2926" t="s">
        <v>779</v>
      </c>
      <c r="F93" s="2927"/>
      <c r="G93" s="2927"/>
      <c r="H93" s="2928"/>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780</v>
      </c>
      <c r="B94" s="413" t="s">
        <v>760</v>
      </c>
      <c r="C94" s="2152">
        <f>ROUND(D46*D94/(1+'数据-取费表'!F30),0)</f>
        <v>0</v>
      </c>
      <c r="D94" s="2153">
        <f>'数据-取费表'!E31</f>
        <v>6.0000000000000001E-3</v>
      </c>
      <c r="E94" s="2926" t="s">
        <v>761</v>
      </c>
      <c r="F94" s="2927"/>
      <c r="G94" s="2927"/>
      <c r="H94" s="2928"/>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25.5" customHeight="1">
      <c r="A95" s="2142" t="s">
        <v>781</v>
      </c>
      <c r="B95" s="413" t="s">
        <v>782</v>
      </c>
      <c r="C95" s="2152">
        <f>ROUND((C88+C91+C92)*D95,0)</f>
        <v>0</v>
      </c>
      <c r="D95" s="2153">
        <v>0.2</v>
      </c>
      <c r="E95" s="2926" t="s">
        <v>783</v>
      </c>
      <c r="F95" s="2927"/>
      <c r="G95" s="2927"/>
      <c r="H95" s="292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14.25">
      <c r="A96" s="2157" t="s">
        <v>734</v>
      </c>
      <c r="B96" s="2124" t="s">
        <v>762</v>
      </c>
      <c r="C96" s="2127">
        <f>ROUND(C86-C87,0)</f>
        <v>0</v>
      </c>
      <c r="D96" s="439" t="s">
        <v>121</v>
      </c>
      <c r="E96" s="1603"/>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14.25">
      <c r="A97" s="2157" t="s">
        <v>737</v>
      </c>
      <c r="B97" s="2124" t="s">
        <v>763</v>
      </c>
      <c r="C97" s="2158">
        <f>IF(C96&lt;=0,0,C96/C87)</f>
        <v>0</v>
      </c>
      <c r="D97" s="439"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s="1961" customFormat="1" ht="14.25">
      <c r="A98" s="2159" t="s">
        <v>764</v>
      </c>
      <c r="B98" s="2129" t="s">
        <v>765</v>
      </c>
      <c r="C98" s="2160">
        <f>ROUND(IF(C96&lt;=0,0,IF(C97&gt;=200%,C96*60%-C87*35%,IF(C97&gt;=100%,C96*50%-C87*15%,IF(C97&gt;=50%,C96*40%-C87*5%,IF(C97&lt;50%,C96*30%,0))))),0)</f>
        <v>0</v>
      </c>
      <c r="D98" s="460"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7"/>
      <c r="J98" s="365"/>
      <c r="K98" s="365"/>
      <c r="L98" s="365"/>
      <c r="M98" s="365"/>
      <c r="N98" s="365"/>
      <c r="O98" s="365"/>
      <c r="P98" s="365"/>
      <c r="Q98" s="365"/>
      <c r="R98" s="365"/>
      <c r="S98" s="365"/>
      <c r="T98" s="365"/>
      <c r="U98" s="365"/>
      <c r="V98" s="365"/>
      <c r="W98" s="365"/>
      <c r="X98" s="365"/>
      <c r="Y98" s="365"/>
      <c r="Z98" s="365"/>
      <c r="AA98" s="2213"/>
      <c r="AB98" s="2213"/>
      <c r="AC98" s="2213"/>
      <c r="AD98" s="2213"/>
      <c r="AE98" s="2213"/>
      <c r="AF98" s="2213"/>
      <c r="AG98" s="2213"/>
      <c r="AH98" s="2213"/>
      <c r="AI98" s="2213"/>
    </row>
    <row r="99" spans="1:35" ht="21.75" customHeight="1">
      <c r="A99" s="2042" t="s">
        <v>784</v>
      </c>
      <c r="B99" s="1965"/>
      <c r="C99" s="1965"/>
      <c r="D99" s="1965"/>
      <c r="E99" s="2075"/>
      <c r="F99" s="2075"/>
      <c r="G99" s="2075"/>
      <c r="H99" s="2040"/>
      <c r="I99" s="1965"/>
    </row>
    <row r="100" spans="1:35" ht="15.75">
      <c r="A100" s="2918" t="s">
        <v>785</v>
      </c>
      <c r="B100" s="2919"/>
      <c r="C100" s="2919"/>
      <c r="D100" s="2920"/>
      <c r="E100" s="1965"/>
      <c r="F100" s="2933" t="s">
        <v>786</v>
      </c>
      <c r="G100" s="2934"/>
      <c r="H100" s="2934"/>
      <c r="I100" s="2935"/>
    </row>
    <row r="101" spans="1:35" ht="15.75">
      <c r="A101" s="2910" t="s">
        <v>787</v>
      </c>
      <c r="B101" s="2911"/>
      <c r="C101" s="2176">
        <f>C4</f>
        <v>0</v>
      </c>
      <c r="D101" s="2177">
        <f>D4</f>
        <v>0</v>
      </c>
      <c r="E101" s="1965"/>
      <c r="F101" s="2912" t="s">
        <v>788</v>
      </c>
      <c r="G101" s="2913"/>
      <c r="H101" s="2972" t="s">
        <v>789</v>
      </c>
      <c r="I101" s="2914"/>
    </row>
    <row r="102" spans="1:35" ht="15.75">
      <c r="A102" s="2966" t="s">
        <v>825</v>
      </c>
      <c r="B102" s="2178" t="str">
        <f>IF(H19="元","总价（元）","总价（万元）")</f>
        <v>总价（元）</v>
      </c>
      <c r="C102" s="2176" t="e">
        <f ca="1">C19</f>
        <v>#REF!</v>
      </c>
      <c r="D102" s="2177" t="e">
        <f ca="1">D19</f>
        <v>#REF!</v>
      </c>
      <c r="E102" s="1965"/>
      <c r="F102" s="2973"/>
      <c r="G102" s="2974"/>
      <c r="H102" s="2915">
        <f>典型户型修正!B25</f>
        <v>0</v>
      </c>
      <c r="I102" s="2914"/>
    </row>
    <row r="103" spans="1:35" ht="15.75">
      <c r="A103" s="2966"/>
      <c r="B103" s="2178" t="s">
        <v>791</v>
      </c>
      <c r="C103" s="2179" t="e">
        <f ca="1">C20</f>
        <v>#REF!</v>
      </c>
      <c r="D103" s="2180" t="e">
        <f ca="1">D20</f>
        <v>#REF!</v>
      </c>
      <c r="E103" s="1965"/>
      <c r="F103" s="2849" t="s">
        <v>792</v>
      </c>
      <c r="G103" s="2850"/>
      <c r="H103" s="2181" t="str">
        <f>C109</f>
        <v>总价（元）</v>
      </c>
      <c r="I103" s="2208">
        <f>H124</f>
        <v>0</v>
      </c>
    </row>
    <row r="104" spans="1:35" ht="15">
      <c r="A104" s="2966" t="s">
        <v>826</v>
      </c>
      <c r="B104" s="2182" t="str">
        <f>B102</f>
        <v>总价（元）</v>
      </c>
      <c r="C104" s="2183" t="e">
        <f ca="1">ROUND(IF('数据-取费表'!B4="总价",G19,IF(H19="元",G20*'数据-取费表'!E5,G20*'数据-取费表'!E5/10000)),0)</f>
        <v>#REF!</v>
      </c>
      <c r="D104" s="2184"/>
      <c r="E104" s="1965"/>
      <c r="F104" s="2849"/>
      <c r="G104" s="2850"/>
      <c r="H104" s="2181" t="s">
        <v>791</v>
      </c>
      <c r="I104" s="2209" t="e">
        <f>I124</f>
        <v>#DIV/0!</v>
      </c>
    </row>
    <row r="105" spans="1:35" ht="15.75">
      <c r="A105" s="2966"/>
      <c r="B105" s="2178" t="s">
        <v>791</v>
      </c>
      <c r="C105" s="2185" t="e">
        <f ca="1">ROUND(IF('数据-取费表'!B4="楼面单价",G20,IF(H19="元",G19/'数据-取费表'!E5,G19*10000/'数据-取费表'!E5)),0)</f>
        <v>#REF!</v>
      </c>
      <c r="D105" s="2184"/>
      <c r="E105" s="1965"/>
      <c r="F105" s="2906"/>
      <c r="G105" s="2907"/>
      <c r="H105" s="2916"/>
      <c r="I105" s="2917"/>
    </row>
    <row r="106" spans="1:35" ht="15.75">
      <c r="A106" s="2967" t="s">
        <v>827</v>
      </c>
      <c r="B106" s="2187" t="str">
        <f>B102</f>
        <v>总价（元）</v>
      </c>
      <c r="C106" s="2188">
        <f>H124</f>
        <v>0</v>
      </c>
      <c r="D106" s="2189"/>
      <c r="E106" s="1965"/>
      <c r="F106" s="2921" t="s">
        <v>795</v>
      </c>
      <c r="G106" s="2922"/>
      <c r="H106" s="2190" t="str">
        <f>C111</f>
        <v>总额（元）</v>
      </c>
      <c r="I106" s="2208">
        <f>SUMIF(I107:I109,"&lt;9E307")</f>
        <v>0</v>
      </c>
    </row>
    <row r="107" spans="1:35" ht="15">
      <c r="A107" s="2872"/>
      <c r="B107" s="2191" t="s">
        <v>791</v>
      </c>
      <c r="C107" s="2192" t="e">
        <f>I124</f>
        <v>#DIV/0!</v>
      </c>
      <c r="D107" s="2193"/>
      <c r="E107" s="1965"/>
      <c r="F107" s="2902" t="s">
        <v>797</v>
      </c>
      <c r="G107" s="2903"/>
      <c r="H107" s="2190" t="str">
        <f>C112</f>
        <v>总额（元）</v>
      </c>
      <c r="I107" s="2209">
        <f>IF(D37="同一抵押权人同一抵押物续贷",C37&amp;"（未扣减，详见特别提示）",C37)</f>
        <v>0</v>
      </c>
      <c r="K107" s="1974" t="str">
        <f>IF(D126=0,"本次评估不存在"&amp;A126,"本次评估"&amp;A126&amp;"为"&amp;D126&amp;"元人民币。")</f>
        <v>本次评估不存在——</v>
      </c>
    </row>
    <row r="108" spans="1:35" ht="15">
      <c r="A108" s="2969" t="s">
        <v>794</v>
      </c>
      <c r="B108" s="2970"/>
      <c r="C108" s="2970"/>
      <c r="D108" s="2971"/>
      <c r="E108" s="1965"/>
      <c r="F108" s="2902" t="s">
        <v>798</v>
      </c>
      <c r="G108" s="2903"/>
      <c r="H108" s="2190" t="str">
        <f>C113</f>
        <v>总额（元）</v>
      </c>
      <c r="I108" s="2209">
        <f>C38</f>
        <v>0</v>
      </c>
      <c r="K108" s="2210"/>
    </row>
    <row r="109" spans="1:35" ht="15">
      <c r="A109" s="2843" t="s">
        <v>828</v>
      </c>
      <c r="B109" s="2844"/>
      <c r="C109" s="2181" t="str">
        <f>B102</f>
        <v>总价（元）</v>
      </c>
      <c r="D109" s="2194">
        <f>H124</f>
        <v>0</v>
      </c>
      <c r="E109" s="1965"/>
      <c r="F109" s="2902" t="s">
        <v>800</v>
      </c>
      <c r="G109" s="2903"/>
      <c r="H109" s="2190" t="str">
        <f>C114</f>
        <v>总额（元）</v>
      </c>
      <c r="I109" s="2209">
        <f>C39</f>
        <v>0</v>
      </c>
    </row>
    <row r="110" spans="1:35" ht="15.75">
      <c r="A110" s="2843"/>
      <c r="B110" s="2844"/>
      <c r="C110" s="2181" t="s">
        <v>791</v>
      </c>
      <c r="D110" s="2195" t="e">
        <f>I124</f>
        <v>#DIV/0!</v>
      </c>
      <c r="E110" s="1965"/>
      <c r="F110" s="2906"/>
      <c r="G110" s="2907"/>
      <c r="H110" s="2908"/>
      <c r="I110" s="2909"/>
    </row>
    <row r="111" spans="1:35" ht="28.5" customHeight="1">
      <c r="A111" s="2904" t="s">
        <v>799</v>
      </c>
      <c r="B111" s="2905"/>
      <c r="C111" s="2190" t="str">
        <f>IF(H19="元","总额（元）","总额（万元）")</f>
        <v>总额（元）</v>
      </c>
      <c r="D111" s="2194">
        <f>IF(D37="正常操作",I107+I108+I109,I108+I109)</f>
        <v>0</v>
      </c>
      <c r="E111" s="1965"/>
      <c r="F111" s="2839" t="str">
        <f>IF(项目基本情况!F5="已注销","——","3.房地产抵押价值")</f>
        <v>3.房地产抵押价值</v>
      </c>
      <c r="G111" s="2840"/>
      <c r="H111" s="2196" t="str">
        <f>C115</f>
        <v>总价（元）</v>
      </c>
      <c r="I111" s="2208">
        <f>IF(F111="——","——",I103-I106)</f>
        <v>0</v>
      </c>
    </row>
    <row r="112" spans="1:35" ht="15">
      <c r="A112" s="2902" t="s">
        <v>797</v>
      </c>
      <c r="B112" s="2903"/>
      <c r="C112" s="2190" t="str">
        <f>C111</f>
        <v>总额（元）</v>
      </c>
      <c r="D112" s="783">
        <f>IF(D37="同一抵押权人同一抵押物续贷",C37&amp;"（未扣减，详见特别提示）",C37)</f>
        <v>0</v>
      </c>
      <c r="E112" s="1965"/>
      <c r="F112" s="2841"/>
      <c r="G112" s="2842"/>
      <c r="H112" s="2181" t="s">
        <v>791</v>
      </c>
      <c r="I112" s="2211" t="e">
        <f>D116</f>
        <v>#DIV/0!</v>
      </c>
    </row>
    <row r="113" spans="1:26" ht="15.75">
      <c r="A113" s="2902" t="s">
        <v>798</v>
      </c>
      <c r="B113" s="2903"/>
      <c r="C113" s="2190" t="str">
        <f>C111</f>
        <v>总额（元）</v>
      </c>
      <c r="D113" s="783">
        <f>C38</f>
        <v>0</v>
      </c>
      <c r="E113" s="1965"/>
      <c r="F113" s="2839" t="str">
        <f>IF(项目基本情况!F5="已注销及未注销","4.抵押担保权已注销时的房地产抵押价值",IF(项目基本情况!F5="已注销","3.抵押担保权已注销时的房地产抵押价值","——"))</f>
        <v>——</v>
      </c>
      <c r="G113" s="2840"/>
      <c r="H113" s="2196" t="str">
        <f>C117</f>
        <v>总价（元）</v>
      </c>
      <c r="I113" s="2208" t="str">
        <f>IF(F113="——","——",I103-I108-I109)</f>
        <v>——</v>
      </c>
    </row>
    <row r="114" spans="1:26" ht="15">
      <c r="A114" s="2902" t="s">
        <v>800</v>
      </c>
      <c r="B114" s="2903"/>
      <c r="C114" s="2190" t="str">
        <f>C111</f>
        <v>总额（元）</v>
      </c>
      <c r="D114" s="783">
        <f>C39</f>
        <v>0</v>
      </c>
      <c r="E114" s="1965"/>
      <c r="F114" s="2841"/>
      <c r="G114" s="2842"/>
      <c r="H114" s="2181" t="s">
        <v>791</v>
      </c>
      <c r="I114" s="2209" t="str">
        <f>D118</f>
        <v>——</v>
      </c>
    </row>
    <row r="115" spans="1:26" ht="15.75">
      <c r="A115" s="2843" t="str">
        <f>IF(项目基本情况!F5="已注销","——","3.房地产抵押价值")</f>
        <v>3.房地产抵押价值</v>
      </c>
      <c r="B115" s="2844"/>
      <c r="C115" s="2181" t="str">
        <f>B102</f>
        <v>总价（元）</v>
      </c>
      <c r="D115" s="2194">
        <f>IF(A115="——","——",D109-D111)</f>
        <v>0</v>
      </c>
      <c r="E115" s="1965"/>
      <c r="F115" s="2839" t="str">
        <f>IF(项目基本情况!G5="抵押净值",IF(OR(项目基本情况!F5="已注销",项目基本情况!F5="房地产抵押价值"),"4.抵押净值","5.抵押净值"),"——")</f>
        <v>——</v>
      </c>
      <c r="G115" s="2840"/>
      <c r="H115" s="2181" t="str">
        <f>C119</f>
        <v>总价（元）</v>
      </c>
      <c r="I115" s="2208" t="str">
        <f>IF(F115="——","——",N60)</f>
        <v>——</v>
      </c>
    </row>
    <row r="116" spans="1:26" ht="15">
      <c r="A116" s="2843"/>
      <c r="B116" s="2844"/>
      <c r="C116" s="2181" t="s">
        <v>791</v>
      </c>
      <c r="D116" s="2195" t="e">
        <f>ROUND(IF(D115=D109,D110,IF(H19="元",D115/B124,D115*10000/B124)),0)</f>
        <v>#DIV/0!</v>
      </c>
      <c r="E116" s="1965"/>
      <c r="F116" s="2845"/>
      <c r="G116" s="2846"/>
      <c r="H116" s="2197" t="s">
        <v>791</v>
      </c>
      <c r="I116" s="2212" t="str">
        <f>D120</f>
        <v>——</v>
      </c>
    </row>
    <row r="117" spans="1:26" ht="15.75">
      <c r="A117" s="2843" t="str">
        <f>IF(项目基本情况!F5="已注销及未注销","4.抵押担保权已注销时的房地产抵押价值",IF(项目基本情况!F5="已注销","3.抵押担保权已注销时的房地产抵押价值","——"))</f>
        <v>——</v>
      </c>
      <c r="B117" s="2844"/>
      <c r="C117" s="2181" t="str">
        <f>B102</f>
        <v>总价（元）</v>
      </c>
      <c r="D117" s="2194" t="str">
        <f>IF(A117="——","——",D109-D113-D114)</f>
        <v>——</v>
      </c>
      <c r="E117" s="1965"/>
      <c r="F117" s="2891"/>
      <c r="G117" s="2891"/>
      <c r="H117" s="2892"/>
      <c r="I117" s="2892"/>
      <c r="N117" s="1369"/>
      <c r="O117" s="1369"/>
    </row>
    <row r="118" spans="1:26" s="1962" customFormat="1" ht="15">
      <c r="A118" s="2843"/>
      <c r="B118" s="2844"/>
      <c r="C118" s="2181" t="s">
        <v>791</v>
      </c>
      <c r="D118" s="2195" t="str">
        <f>IF(A117="——","——",IF(H19="元",ROUND(D117/B124,0),ROUND(D117*10000/B124,0)))</f>
        <v>——</v>
      </c>
      <c r="E118" s="1965"/>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843" t="str">
        <f>IF(项目基本情况!G5="抵押净值",IF(OR(项目基本情况!F5="已注销",项目基本情况!F5="房地产抵押价值"),"4.抵押净值","5.抵押净值"),"——")</f>
        <v>——</v>
      </c>
      <c r="B119" s="2844"/>
      <c r="C119" s="2181" t="str">
        <f>B102</f>
        <v>总价（元）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847"/>
      <c r="B120" s="2848"/>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894" t="s">
        <v>801</v>
      </c>
      <c r="B121" s="2895"/>
      <c r="C121" s="2895"/>
      <c r="D121" s="2895"/>
      <c r="E121" s="2895"/>
      <c r="F121" s="2895"/>
      <c r="G121" s="2895"/>
      <c r="H121" s="2895"/>
      <c r="I121" s="2895"/>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851" t="s">
        <v>802</v>
      </c>
      <c r="B122" s="2873" t="s">
        <v>803</v>
      </c>
      <c r="C122" s="2873" t="s">
        <v>804</v>
      </c>
      <c r="D122" s="2896" t="s">
        <v>805</v>
      </c>
      <c r="E122" s="2897"/>
      <c r="F122" s="2852" t="s">
        <v>649</v>
      </c>
      <c r="G122" s="2852"/>
      <c r="H122" s="2852" t="s">
        <v>806</v>
      </c>
      <c r="I122" s="2898"/>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851"/>
      <c r="B123" s="2874"/>
      <c r="C123" s="2874"/>
      <c r="D123" s="905" t="s">
        <v>807</v>
      </c>
      <c r="E123" s="905" t="s">
        <v>634</v>
      </c>
      <c r="F123" s="905" t="s">
        <v>807</v>
      </c>
      <c r="G123" s="905" t="s">
        <v>634</v>
      </c>
      <c r="H123" s="905" t="s">
        <v>807</v>
      </c>
      <c r="I123" s="783" t="s">
        <v>634</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28.5">
      <c r="A124" s="2200" t="str">
        <f>项目基本情况!I1</f>
        <v>浙江省杭州市房地产</v>
      </c>
      <c r="B124" s="905">
        <f>典型户型修正!B25</f>
        <v>0</v>
      </c>
      <c r="C124" s="2201"/>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851" t="s">
        <v>808</v>
      </c>
      <c r="B125" s="2852"/>
      <c r="C125" s="2852"/>
      <c r="D125" s="2899" t="str">
        <f>IF(H19="元",NUMBERSTRING(INT(D124),2)&amp;"元整",NUMBERSTRING(INT(D124*10000),2)&amp;"元整")</f>
        <v>零元整</v>
      </c>
      <c r="E125" s="2900"/>
      <c r="F125" s="2899" t="str">
        <f>IF(H19="元",NUMBERSTRING(INT(F124),2)&amp;"元整",NUMBERSTRING(INT(F124*10000),2)&amp;"元整")</f>
        <v>零元整</v>
      </c>
      <c r="G125" s="2900"/>
      <c r="H125" s="2899" t="str">
        <f>IF(H19="元",NUMBERSTRING(INT(H124),2)&amp;"元整",NUMBERSTRING(INT(H124*10000),2)&amp;"元整")</f>
        <v>零元整</v>
      </c>
      <c r="I125" s="2901"/>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878" t="str">
        <f>IF(项目基本情况!D5="房地产市场价值","——",MID(A111,3,LEN(A111)-2))</f>
        <v>——</v>
      </c>
      <c r="B126" s="2879"/>
      <c r="C126" s="2880"/>
      <c r="D126" s="2857">
        <f>I106</f>
        <v>0</v>
      </c>
      <c r="E126" s="2879"/>
      <c r="F126" s="2879"/>
      <c r="G126" s="2879"/>
      <c r="H126" s="2879"/>
      <c r="I126" s="2881"/>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882" t="s">
        <v>808</v>
      </c>
      <c r="B127" s="2883"/>
      <c r="C127" s="2884"/>
      <c r="D127" s="2885">
        <f>H110</f>
        <v>0</v>
      </c>
      <c r="E127" s="2886"/>
      <c r="F127" s="2886"/>
      <c r="G127" s="2886"/>
      <c r="H127" s="2886"/>
      <c r="I127" s="2887"/>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855" t="str">
        <f>IF(项目基本情况!D5="房地产市场价值","——",MID(A115,3,LEN(A115)-2))</f>
        <v>——</v>
      </c>
      <c r="B128" s="2856"/>
      <c r="C128" s="2856"/>
      <c r="D128" s="2857">
        <f>I111</f>
        <v>0</v>
      </c>
      <c r="E128" s="2879"/>
      <c r="F128" s="2879"/>
      <c r="G128" s="2879"/>
      <c r="H128" s="2879"/>
      <c r="I128" s="2881"/>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851" t="s">
        <v>808</v>
      </c>
      <c r="B129" s="2852"/>
      <c r="C129" s="2852"/>
      <c r="D129" s="2885" t="e">
        <f>I112</f>
        <v>#DIV/0!</v>
      </c>
      <c r="E129" s="2886"/>
      <c r="F129" s="2886"/>
      <c r="G129" s="2886"/>
      <c r="H129" s="2886"/>
      <c r="I129" s="2887"/>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855" t="str">
        <f>IF(项目基本情况!D5="房地产市场价值","——",MID(A117,3,LEN(A117)-2))</f>
        <v>——</v>
      </c>
      <c r="B130" s="2856"/>
      <c r="C130" s="2856"/>
      <c r="D130" s="2888" t="str">
        <f>I113</f>
        <v>——</v>
      </c>
      <c r="E130" s="2889"/>
      <c r="F130" s="2889"/>
      <c r="G130" s="2889"/>
      <c r="H130" s="2889"/>
      <c r="I130" s="2890"/>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851" t="s">
        <v>808</v>
      </c>
      <c r="B131" s="2852"/>
      <c r="C131" s="2853"/>
      <c r="D131" s="2854" t="str">
        <f>I114</f>
        <v>——</v>
      </c>
      <c r="E131" s="2854"/>
      <c r="F131" s="2854"/>
      <c r="G131" s="2854"/>
      <c r="H131" s="2854"/>
      <c r="I131" s="2854"/>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855" t="str">
        <f>IF(项目基本情况!D5="房地产市场价值","——",MID(F115,3,LEN(F115)-2))</f>
        <v>——</v>
      </c>
      <c r="B132" s="2856"/>
      <c r="C132" s="2857"/>
      <c r="D132" s="2858" t="str">
        <f>I115</f>
        <v>——</v>
      </c>
      <c r="E132" s="2858"/>
      <c r="F132" s="2858"/>
      <c r="G132" s="2858"/>
      <c r="H132" s="2858"/>
      <c r="I132" s="2858"/>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859" t="s">
        <v>808</v>
      </c>
      <c r="B133" s="2860"/>
      <c r="C133" s="2860"/>
      <c r="D133" s="2861">
        <f>H117</f>
        <v>0</v>
      </c>
      <c r="E133" s="2862"/>
      <c r="F133" s="2862"/>
      <c r="G133" s="2862"/>
      <c r="H133" s="2862"/>
      <c r="I133" s="2863"/>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864" t="str">
        <f>IF(B32="总价","（以上估价结果中楼面单价为总价除以建筑面积得出）","（以上估价结果中总价为楼面单价乘以建筑面积得出）")</f>
        <v>（以上估价结果中总价为楼面单价乘以建筑面积得出）</v>
      </c>
      <c r="B135" s="2864"/>
      <c r="C135" s="2864"/>
      <c r="D135" s="2864"/>
      <c r="E135" s="2864"/>
      <c r="F135" s="2864"/>
      <c r="G135" s="2864"/>
      <c r="H135" s="2864"/>
      <c r="I135" s="2864"/>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6" t="s">
        <v>809</v>
      </c>
      <c r="B136" s="2217"/>
      <c r="C136" s="2218" t="s">
        <v>810</v>
      </c>
      <c r="D136" s="2219"/>
      <c r="E136" s="2219"/>
      <c r="F136" s="2219"/>
      <c r="G136" s="2219"/>
      <c r="H136" s="2220"/>
      <c r="I136" s="2233"/>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1">
        <v>1</v>
      </c>
      <c r="B137" s="2222"/>
      <c r="C137" s="2222"/>
      <c r="D137" s="2219"/>
      <c r="E137" s="2219"/>
      <c r="F137" s="2219"/>
      <c r="G137" s="2219"/>
      <c r="H137" s="2220"/>
      <c r="I137" s="2233"/>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1">
        <v>2</v>
      </c>
      <c r="B138" s="2222"/>
      <c r="C138" s="2222"/>
      <c r="D138" s="2219"/>
      <c r="E138" s="2219"/>
      <c r="F138" s="2219"/>
      <c r="G138" s="2219"/>
      <c r="H138" s="2220"/>
      <c r="I138" s="2233"/>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1">
        <v>3</v>
      </c>
      <c r="B139" s="2222"/>
      <c r="C139" s="2222"/>
      <c r="D139" s="2219"/>
      <c r="E139" s="2219"/>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3"/>
      <c r="B140" s="2224"/>
      <c r="C140" s="2224"/>
      <c r="D140" s="2225"/>
      <c r="E140" s="2225"/>
      <c r="F140" s="2225"/>
      <c r="G140" s="2225"/>
      <c r="H140" s="2226"/>
      <c r="I140" s="2234"/>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2"/>
      <c r="B141" s="2222"/>
      <c r="C141" s="2222"/>
      <c r="D141" s="2219"/>
      <c r="E141" s="2219"/>
      <c r="F141" s="2219"/>
      <c r="G141" s="2219"/>
      <c r="H141" s="2220"/>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7" t="s">
        <v>811</v>
      </c>
      <c r="G142" s="2228"/>
      <c r="H142" s="2228"/>
      <c r="I142" s="2235"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29"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8"/>
      <c r="C145" s="2228"/>
      <c r="D145" s="2228"/>
      <c r="E145" s="2228"/>
      <c r="F145" s="2228"/>
      <c r="G145" s="2228"/>
      <c r="H145" s="2228"/>
      <c r="I145" s="2235"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29"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29"/>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8"/>
      <c r="C148" s="2228"/>
      <c r="D148" s="2228"/>
      <c r="E148" s="2228"/>
      <c r="F148" s="2228"/>
      <c r="G148" s="2228"/>
      <c r="H148" s="2228"/>
      <c r="I148" s="2235"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29"/>
      <c r="C149" s="2230"/>
      <c r="D149" s="2231"/>
      <c r="E149" s="2231"/>
      <c r="F149" s="223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9"/>
      <c r="C150" s="2230"/>
      <c r="D150" s="2231"/>
      <c r="E150" s="2231"/>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8" t="s">
        <v>829</v>
      </c>
      <c r="B1" s="1805"/>
      <c r="C1" s="400"/>
      <c r="D1" s="400"/>
      <c r="E1" s="400"/>
      <c r="F1" s="400"/>
      <c r="G1" s="1085"/>
    </row>
    <row r="2" spans="1:7" s="1889" customFormat="1" ht="18" customHeight="1">
      <c r="A2" s="402" t="s">
        <v>830</v>
      </c>
      <c r="B2" s="1897">
        <f ca="1">IF(D2="——",IF(C2="元",C52,ROUND(C52/10000,0)),IF(C2="元",C52,ROUND(C52/10000,0))-E2)</f>
        <v>1504272</v>
      </c>
      <c r="C2" s="1085" t="str">
        <f>'数据-取费表'!B3</f>
        <v>元</v>
      </c>
      <c r="D2" s="1898" t="s">
        <v>121</v>
      </c>
      <c r="E2" s="1899" t="e">
        <f ca="1">SUMIF(INDIRECT("'"&amp;G2&amp;"'"&amp;"!A:A"),"承租人权益价值",INDIRECT("'"&amp;G2&amp;"'"&amp;"!c:c"))</f>
        <v>#REF!</v>
      </c>
      <c r="F2" s="1900" t="str">
        <f>C2</f>
        <v>元</v>
      </c>
      <c r="G2" s="1901"/>
    </row>
    <row r="3" spans="1:7" s="1889" customFormat="1" ht="18" customHeight="1">
      <c r="A3" s="409" t="s">
        <v>831</v>
      </c>
      <c r="B3" s="403">
        <f ca="1">ROUND(C52/IF(B1="仅计算典型户型",'数据-取费表'!E5,'数据-取费表'!B5),0)</f>
        <v>27390</v>
      </c>
      <c r="C3" s="1085" t="s">
        <v>832</v>
      </c>
      <c r="D3" s="1085"/>
      <c r="E3" s="1085"/>
      <c r="F3" s="1085"/>
      <c r="G3" s="1085"/>
    </row>
    <row r="4" spans="1:7" s="1890" customFormat="1" ht="15.75">
      <c r="A4" s="1902" t="s">
        <v>833</v>
      </c>
      <c r="B4" s="1903"/>
      <c r="C4" s="1903"/>
      <c r="D4" s="1903"/>
      <c r="E4" s="1903"/>
      <c r="F4" s="1903"/>
      <c r="G4" s="1904"/>
    </row>
    <row r="5" spans="1:7" s="1891" customFormat="1" ht="13.5" customHeight="1">
      <c r="A5" s="1905" t="s">
        <v>834</v>
      </c>
      <c r="B5" s="1906" t="s">
        <v>835</v>
      </c>
      <c r="C5" s="1907">
        <f>C6+C7+C8</f>
        <v>1030500.49</v>
      </c>
      <c r="D5" s="1907" t="s">
        <v>836</v>
      </c>
      <c r="E5" s="1908" t="s">
        <v>837</v>
      </c>
      <c r="F5" s="1908" t="s">
        <v>718</v>
      </c>
      <c r="G5" s="1909"/>
    </row>
    <row r="6" spans="1:7" s="1891" customFormat="1" ht="13.5" customHeight="1">
      <c r="A6" s="1910" t="s">
        <v>838</v>
      </c>
      <c r="B6" s="1911" t="s">
        <v>839</v>
      </c>
      <c r="C6" s="1912">
        <v>1000000</v>
      </c>
      <c r="D6" s="1913"/>
      <c r="E6" s="1914"/>
      <c r="F6" s="1914"/>
      <c r="G6" s="1915"/>
    </row>
    <row r="7" spans="1:7" s="1891" customFormat="1" ht="13.5" customHeight="1">
      <c r="A7" s="1910" t="s">
        <v>840</v>
      </c>
      <c r="B7" s="1911" t="s">
        <v>841</v>
      </c>
      <c r="C7" s="1916">
        <f>ROUND(C6*F7,0)</f>
        <v>30500</v>
      </c>
      <c r="D7" s="1916"/>
      <c r="E7" s="1914"/>
      <c r="F7" s="1917">
        <f>'数据-取费表'!E36+'数据-取费表'!E37</f>
        <v>3.0499999999999999E-2</v>
      </c>
      <c r="G7" s="1915"/>
    </row>
    <row r="8" spans="1:7" s="1892" customFormat="1">
      <c r="A8" s="1910" t="s">
        <v>842</v>
      </c>
      <c r="B8" s="1911" t="s">
        <v>843</v>
      </c>
      <c r="C8" s="1916">
        <f>IF(G8="已包含在土地购买价格中","0",'数据-取费表'!E13)</f>
        <v>0.49</v>
      </c>
      <c r="D8" s="1918"/>
      <c r="E8" s="1916"/>
      <c r="F8" s="1917"/>
      <c r="G8" s="1919"/>
    </row>
    <row r="9" spans="1:7" s="1891" customFormat="1" ht="13.5" customHeight="1">
      <c r="A9" s="1920" t="s">
        <v>844</v>
      </c>
      <c r="B9" s="1921" t="s">
        <v>845</v>
      </c>
      <c r="C9" s="1922">
        <f>ROUND(D9*E9,0)</f>
        <v>4943</v>
      </c>
      <c r="D9" s="1923">
        <f>IF('数据-取费表'!B10="住宅",IF(B1="仅计算典型户型",'数据-取费表'!E5,'数据-取费表'!B5),0)</f>
        <v>54.92</v>
      </c>
      <c r="E9" s="1922">
        <f>'数据-取费表'!E11</f>
        <v>90</v>
      </c>
      <c r="F9" s="1917"/>
      <c r="G9" s="1924"/>
    </row>
    <row r="10" spans="1:7" s="1891" customFormat="1" ht="13.5" customHeight="1">
      <c r="A10" s="1920" t="s">
        <v>846</v>
      </c>
      <c r="B10" s="1921" t="s">
        <v>847</v>
      </c>
      <c r="C10" s="1922">
        <f>ROUND(D10*E10,0)</f>
        <v>0</v>
      </c>
      <c r="D10" s="1923">
        <f>IF('数据-取费表'!B10&lt;&gt;"住宅",IF(B1="仅计算典型户型",'数据-取费表'!E5,'数据-取费表'!B5),0)</f>
        <v>0</v>
      </c>
      <c r="E10" s="1922">
        <f>'数据-取费表'!E12</f>
        <v>0</v>
      </c>
      <c r="F10" s="1917"/>
      <c r="G10" s="1924"/>
    </row>
    <row r="11" spans="1:7" s="1891" customFormat="1" ht="13.5" hidden="1" customHeight="1">
      <c r="A11" s="1910" t="s">
        <v>848</v>
      </c>
      <c r="B11" s="1911" t="s">
        <v>849</v>
      </c>
      <c r="C11" s="1907"/>
      <c r="D11" s="1916"/>
      <c r="E11" s="1914"/>
      <c r="F11" s="1914"/>
      <c r="G11" s="1915"/>
    </row>
    <row r="12" spans="1:7" s="1891" customFormat="1" ht="13.5" hidden="1" customHeight="1">
      <c r="A12" s="1910" t="s">
        <v>850</v>
      </c>
      <c r="B12" s="1911" t="s">
        <v>756</v>
      </c>
      <c r="C12" s="1907">
        <v>0</v>
      </c>
      <c r="D12" s="1916"/>
      <c r="E12" s="1925"/>
      <c r="F12" s="1917">
        <v>3.0499999999999999E-2</v>
      </c>
      <c r="G12" s="1915"/>
    </row>
    <row r="13" spans="1:7" s="1891" customFormat="1" ht="13.5" hidden="1" customHeight="1">
      <c r="A13" s="1910" t="s">
        <v>851</v>
      </c>
      <c r="B13" s="1911" t="s">
        <v>852</v>
      </c>
      <c r="C13" s="1907"/>
      <c r="D13" s="1916"/>
      <c r="E13" s="1914"/>
      <c r="F13" s="1914"/>
      <c r="G13" s="1915"/>
    </row>
    <row r="14" spans="1:7" s="1891" customFormat="1" ht="13.5" hidden="1" customHeight="1">
      <c r="A14" s="1910" t="s">
        <v>853</v>
      </c>
      <c r="B14" s="1911" t="s">
        <v>843</v>
      </c>
      <c r="C14" s="1907"/>
      <c r="D14" s="1916"/>
      <c r="E14" s="1914"/>
      <c r="F14" s="1914"/>
      <c r="G14" s="1915" t="s">
        <v>854</v>
      </c>
    </row>
    <row r="15" spans="1:7" s="1891" customFormat="1" ht="13.5" hidden="1" customHeight="1">
      <c r="A15" s="1910" t="s">
        <v>855</v>
      </c>
      <c r="B15" s="1911" t="s">
        <v>856</v>
      </c>
      <c r="C15" s="1916"/>
      <c r="D15" s="1916"/>
      <c r="E15" s="1914"/>
      <c r="F15" s="1914"/>
      <c r="G15" s="1915" t="s">
        <v>857</v>
      </c>
    </row>
    <row r="16" spans="1:7" s="1891" customFormat="1" ht="13.5" hidden="1" customHeight="1">
      <c r="A16" s="1910" t="s">
        <v>858</v>
      </c>
      <c r="B16" s="1911" t="s">
        <v>843</v>
      </c>
      <c r="C16" s="1916"/>
      <c r="D16" s="1916"/>
      <c r="E16" s="1914"/>
      <c r="F16" s="1914"/>
      <c r="G16" s="1915"/>
    </row>
    <row r="17" spans="1:7" s="1891" customFormat="1" ht="13.5" hidden="1" customHeight="1">
      <c r="A17" s="1910" t="s">
        <v>859</v>
      </c>
      <c r="B17" s="1911" t="s">
        <v>860</v>
      </c>
      <c r="C17" s="1926"/>
      <c r="D17" s="1926"/>
      <c r="E17" s="1926"/>
      <c r="F17" s="1926"/>
      <c r="G17" s="1915" t="s">
        <v>857</v>
      </c>
    </row>
    <row r="18" spans="1:7" s="1891" customFormat="1" ht="13.5" hidden="1" customHeight="1">
      <c r="A18" s="1910" t="s">
        <v>861</v>
      </c>
      <c r="B18" s="1911" t="s">
        <v>862</v>
      </c>
      <c r="C18" s="1916">
        <v>0</v>
      </c>
      <c r="D18" s="1916"/>
      <c r="E18" s="1914"/>
      <c r="F18" s="1917">
        <v>3.0499999999999999E-2</v>
      </c>
      <c r="G18" s="1915" t="s">
        <v>863</v>
      </c>
    </row>
    <row r="19" spans="1:7" s="1892" customFormat="1" ht="13.5" customHeight="1">
      <c r="A19" s="1905" t="s">
        <v>864</v>
      </c>
      <c r="B19" s="1906" t="s">
        <v>865</v>
      </c>
      <c r="C19" s="1907">
        <f>IF(G19="已包含在土地取得成本中","0",ROUND(D19*E19,0))</f>
        <v>10984</v>
      </c>
      <c r="D19" s="1927">
        <f>IF(B1="仅计算典型户型",'数据-取费表'!E5,'数据-取费表'!B5)</f>
        <v>54.92</v>
      </c>
      <c r="E19" s="1907">
        <f>'数据-取费表'!E15</f>
        <v>200</v>
      </c>
      <c r="F19" s="1928"/>
      <c r="G19" s="1919"/>
    </row>
    <row r="20" spans="1:7" s="1891" customFormat="1" ht="13.5" customHeight="1">
      <c r="A20" s="1905" t="s">
        <v>866</v>
      </c>
      <c r="B20" s="1906" t="s">
        <v>867</v>
      </c>
      <c r="C20" s="1929">
        <f>ROUND((C5+C19)*F20,0)</f>
        <v>20830</v>
      </c>
      <c r="D20" s="1929"/>
      <c r="E20" s="1929"/>
      <c r="F20" s="1930">
        <f>'数据-取费表'!E25</f>
        <v>0.02</v>
      </c>
      <c r="G20" s="1931" t="s">
        <v>868</v>
      </c>
    </row>
    <row r="21" spans="1:7" s="1891" customFormat="1" ht="13.5" customHeight="1">
      <c r="A21" s="1905" t="s">
        <v>869</v>
      </c>
      <c r="B21" s="1906" t="s">
        <v>870</v>
      </c>
      <c r="C21" s="1932">
        <f>F21</f>
        <v>0.02</v>
      </c>
      <c r="D21" s="1933" t="s">
        <v>871</v>
      </c>
      <c r="E21" s="1929"/>
      <c r="F21" s="1930">
        <f>'数据-取费表'!E26</f>
        <v>0.02</v>
      </c>
      <c r="G21" s="1931" t="s">
        <v>872</v>
      </c>
    </row>
    <row r="22" spans="1:7" s="1891" customFormat="1" ht="13.5" customHeight="1">
      <c r="A22" s="1905" t="s">
        <v>873</v>
      </c>
      <c r="B22" s="1906" t="s">
        <v>874</v>
      </c>
      <c r="C22" s="1934">
        <f ca="1">ROUND(SUM(C23:C25),0)</f>
        <v>45758</v>
      </c>
      <c r="D22" s="1932">
        <f ca="1">C26</f>
        <v>4.0000000000000002E-4</v>
      </c>
      <c r="E22" s="1933" t="s">
        <v>871</v>
      </c>
      <c r="F22" s="1930">
        <f ca="1">'数据-取费表'!E27</f>
        <v>4.3499999999999997E-2</v>
      </c>
      <c r="G22" s="1931" t="str">
        <f>IF('数据-取费表'!B23&lt;=1,"单利计息。","复利计息。")</f>
        <v>单利计息。</v>
      </c>
    </row>
    <row r="23" spans="1:7" s="1891" customFormat="1" ht="13.5" customHeight="1">
      <c r="A23" s="1910" t="s">
        <v>838</v>
      </c>
      <c r="B23" s="1911" t="s">
        <v>875</v>
      </c>
      <c r="C23" s="1935">
        <f ca="1">ROUND(IF('数据-取费表'!B23&lt;=1,C5*F22*'数据-取费表'!B24,C5*(POWER((1+F22),'数据-取费表'!B24)-1)),0)</f>
        <v>44827</v>
      </c>
      <c r="D23" s="1681"/>
      <c r="E23" s="1681"/>
      <c r="F23" s="1936"/>
      <c r="G23" s="1937" t="s">
        <v>876</v>
      </c>
    </row>
    <row r="24" spans="1:7" s="1891" customFormat="1" ht="13.5" customHeight="1">
      <c r="A24" s="1910" t="s">
        <v>840</v>
      </c>
      <c r="B24" s="1911" t="s">
        <v>877</v>
      </c>
      <c r="C24" s="1935">
        <f ca="1">ROUND(IF('数据-取费表'!B23&lt;=1,C19*F22*('数据-取费表'!B20/2+'数据-取费表'!B22),C19*(POWER((1+F22),('数据-取费表'!B20/2+'数据-取费表'!B22))-1)),0)</f>
        <v>478</v>
      </c>
      <c r="D24" s="1681"/>
      <c r="E24" s="1681"/>
      <c r="F24" s="1936"/>
      <c r="G24" s="1937" t="s">
        <v>878</v>
      </c>
    </row>
    <row r="25" spans="1:7" s="1891" customFormat="1" ht="24">
      <c r="A25" s="1910" t="s">
        <v>842</v>
      </c>
      <c r="B25" s="1911" t="s">
        <v>879</v>
      </c>
      <c r="C25" s="1935">
        <f ca="1">ROUND(IF('数据-取费表'!B23&lt;=1,C20*F22*'数据-取费表'!B24/2,C20*(POWER((1+F22),'数据-取费表'!B24/2)-1)),0)</f>
        <v>453</v>
      </c>
      <c r="D25" s="1681"/>
      <c r="E25" s="1938"/>
      <c r="F25" s="1936"/>
      <c r="G25" s="1939" t="s">
        <v>880</v>
      </c>
    </row>
    <row r="26" spans="1:7" s="1891" customFormat="1">
      <c r="A26" s="1910" t="s">
        <v>881</v>
      </c>
      <c r="B26" s="1911" t="s">
        <v>882</v>
      </c>
      <c r="C26" s="1681">
        <f ca="1">ROUND(IF('数据-取费表'!B23&lt;=1,F21*F22*'数据-取费表'!B24/2,F21*(POWER((1+F22),'数据-取费表'!B24/2)-1)),4)</f>
        <v>4.0000000000000002E-4</v>
      </c>
      <c r="D26" s="1681"/>
      <c r="E26" s="1938"/>
      <c r="F26" s="1936"/>
      <c r="G26" s="635"/>
    </row>
    <row r="27" spans="1:7" s="1891" customFormat="1" ht="25.5">
      <c r="A27" s="1940" t="s">
        <v>883</v>
      </c>
      <c r="B27" s="1941" t="s">
        <v>884</v>
      </c>
      <c r="C27" s="1907">
        <f>C28</f>
        <v>159347</v>
      </c>
      <c r="D27" s="1932">
        <f>C29</f>
        <v>3.0000000000000001E-3</v>
      </c>
      <c r="E27" s="1933" t="s">
        <v>871</v>
      </c>
      <c r="F27" s="1928">
        <f>'数据-取费表'!E28</f>
        <v>0.15</v>
      </c>
      <c r="G27" s="1942" t="s">
        <v>885</v>
      </c>
    </row>
    <row r="28" spans="1:7" s="1891" customFormat="1" ht="13.5" customHeight="1">
      <c r="A28" s="1910" t="s">
        <v>838</v>
      </c>
      <c r="B28" s="1943" t="s">
        <v>886</v>
      </c>
      <c r="C28" s="1916">
        <f>ROUND((C5+C19+C20)*F27*'数据-取费表'!B22/'数据-取费表'!B21,0)</f>
        <v>159347</v>
      </c>
      <c r="D28" s="1932"/>
      <c r="E28" s="1933"/>
      <c r="F28" s="1928"/>
      <c r="G28" s="1942"/>
    </row>
    <row r="29" spans="1:7" s="1891" customFormat="1" ht="13.5" customHeight="1">
      <c r="A29" s="1910" t="s">
        <v>840</v>
      </c>
      <c r="B29" s="1943" t="s">
        <v>887</v>
      </c>
      <c r="C29" s="1681">
        <f>ROUND(C21*F27*'数据-取费表'!B22/'数据-取费表'!B21,4)</f>
        <v>3.0000000000000001E-3</v>
      </c>
      <c r="D29" s="1932"/>
      <c r="E29" s="1933"/>
      <c r="F29" s="1928"/>
      <c r="G29" s="1942"/>
    </row>
    <row r="30" spans="1:7" s="1891" customFormat="1" ht="13.5" customHeight="1">
      <c r="A30" s="1940" t="s">
        <v>888</v>
      </c>
      <c r="B30" s="1906" t="s">
        <v>889</v>
      </c>
      <c r="C30" s="1932">
        <f>ROUND(F30/(1+'数据-取费表'!F30),4)</f>
        <v>5.33E-2</v>
      </c>
      <c r="D30" s="1933" t="s">
        <v>871</v>
      </c>
      <c r="E30" s="1938"/>
      <c r="F30" s="1930">
        <f>'数据-取费表'!E29</f>
        <v>5.6000000000000001E-2</v>
      </c>
      <c r="G30" s="1931" t="s">
        <v>890</v>
      </c>
    </row>
    <row r="31" spans="1:7" ht="16.5" customHeight="1">
      <c r="A31" s="1905">
        <v>1</v>
      </c>
      <c r="B31" s="1906" t="s">
        <v>891</v>
      </c>
      <c r="C31" s="1907">
        <f ca="1">ROUND((C5+C19+C20+C22+C27)/(1-C21-D22-D27-C30),0)</f>
        <v>1372706</v>
      </c>
      <c r="D31" s="1927"/>
      <c r="E31" s="1907"/>
      <c r="F31" s="1944"/>
      <c r="G31" s="1931" t="s">
        <v>892</v>
      </c>
    </row>
    <row r="32" spans="1:7" s="1890" customFormat="1" ht="15.75">
      <c r="A32" s="1945" t="s">
        <v>893</v>
      </c>
      <c r="B32" s="1946"/>
      <c r="C32" s="1947"/>
      <c r="D32" s="1947"/>
      <c r="E32" s="1947"/>
      <c r="F32" s="1947"/>
      <c r="G32" s="1948"/>
    </row>
    <row r="33" spans="1:7" s="1891" customFormat="1" ht="13.5" customHeight="1">
      <c r="A33" s="1905" t="s">
        <v>834</v>
      </c>
      <c r="B33" s="1906" t="s">
        <v>894</v>
      </c>
      <c r="C33" s="1934">
        <f>SUM(C34:C38)</f>
        <v>161328</v>
      </c>
      <c r="D33" s="1929"/>
      <c r="E33" s="1908"/>
      <c r="F33" s="1938"/>
      <c r="G33" s="1931"/>
    </row>
    <row r="34" spans="1:7" s="1893" customFormat="1" ht="13.5" customHeight="1">
      <c r="A34" s="1910" t="s">
        <v>838</v>
      </c>
      <c r="B34" s="1911" t="s">
        <v>895</v>
      </c>
      <c r="C34" s="1916">
        <f>IF(B1="仅计算典型户型",'数据-取费表'!F18,'数据-取费表'!E18)</f>
        <v>137300</v>
      </c>
      <c r="D34" s="1913"/>
      <c r="E34" s="1916"/>
      <c r="F34" s="1949" t="str">
        <f>IF('数据-取费表'!B25=0,"",'数据-取费表'!E20)</f>
        <v/>
      </c>
      <c r="G34" s="1915"/>
    </row>
    <row r="35" spans="1:7" ht="13.5" customHeight="1">
      <c r="A35" s="1910" t="s">
        <v>840</v>
      </c>
      <c r="B35" s="1911" t="s">
        <v>896</v>
      </c>
      <c r="C35" s="1916">
        <f>ROUND(C34*F35,0)</f>
        <v>4119</v>
      </c>
      <c r="D35" s="1916"/>
      <c r="E35" s="1916"/>
      <c r="F35" s="1950">
        <f>'数据-取费表'!E21</f>
        <v>0.03</v>
      </c>
      <c r="G35" s="1915" t="s">
        <v>897</v>
      </c>
    </row>
    <row r="36" spans="1:7" ht="24">
      <c r="A36" s="1910" t="s">
        <v>842</v>
      </c>
      <c r="B36" s="1911" t="s">
        <v>898</v>
      </c>
      <c r="C36" s="1916">
        <f>ROUND(IF('数据-取费表'!B10="住宅",C34*F36,0),0)</f>
        <v>6865</v>
      </c>
      <c r="D36" s="1916"/>
      <c r="E36" s="1916"/>
      <c r="F36" s="1950">
        <f>'数据-取费表'!E22</f>
        <v>0.05</v>
      </c>
      <c r="G36" s="1951" t="s">
        <v>899</v>
      </c>
    </row>
    <row r="37" spans="1:7" s="1893" customFormat="1" ht="13.5" customHeight="1">
      <c r="A37" s="1910" t="s">
        <v>881</v>
      </c>
      <c r="B37" s="1911" t="s">
        <v>900</v>
      </c>
      <c r="C37" s="1916">
        <f>ROUND(E37*D37,0)</f>
        <v>10984</v>
      </c>
      <c r="D37" s="1913">
        <f>IF(B1="仅计算典型户型",'数据-取费表'!E5,'数据-取费表'!B5)</f>
        <v>54.92</v>
      </c>
      <c r="E37" s="1916">
        <f>'数据-取费表'!E23</f>
        <v>200</v>
      </c>
      <c r="F37" s="1950"/>
      <c r="G37" s="1952" t="s">
        <v>901</v>
      </c>
    </row>
    <row r="38" spans="1:7" ht="13.5" customHeight="1">
      <c r="A38" s="1910" t="s">
        <v>902</v>
      </c>
      <c r="B38" s="1911" t="s">
        <v>756</v>
      </c>
      <c r="C38" s="1916">
        <f>ROUND(C34*F38,0)</f>
        <v>2060</v>
      </c>
      <c r="D38" s="1916"/>
      <c r="E38" s="1916"/>
      <c r="F38" s="1950">
        <f>'数据-取费表'!E24</f>
        <v>1.4999999999999999E-2</v>
      </c>
      <c r="G38" s="1915" t="s">
        <v>897</v>
      </c>
    </row>
    <row r="39" spans="1:7" s="1891" customFormat="1" ht="13.5" customHeight="1">
      <c r="A39" s="1905" t="s">
        <v>864</v>
      </c>
      <c r="B39" s="1906" t="s">
        <v>867</v>
      </c>
      <c r="C39" s="1929">
        <f>ROUND(C33*F20,0)</f>
        <v>3227</v>
      </c>
      <c r="D39" s="1929"/>
      <c r="E39" s="1929"/>
      <c r="F39" s="1930"/>
      <c r="G39" s="1931" t="s">
        <v>903</v>
      </c>
    </row>
    <row r="40" spans="1:7" s="1891" customFormat="1" ht="13.5" customHeight="1">
      <c r="A40" s="1905" t="s">
        <v>866</v>
      </c>
      <c r="B40" s="1906" t="s">
        <v>870</v>
      </c>
      <c r="C40" s="1953">
        <f>F21</f>
        <v>0.02</v>
      </c>
      <c r="D40" s="1933" t="s">
        <v>904</v>
      </c>
      <c r="E40" s="1929"/>
      <c r="F40" s="1930"/>
      <c r="G40" s="1931" t="s">
        <v>905</v>
      </c>
    </row>
    <row r="41" spans="1:7" s="1891" customFormat="1" ht="13.5" customHeight="1">
      <c r="A41" s="1905" t="s">
        <v>869</v>
      </c>
      <c r="B41" s="1906" t="s">
        <v>874</v>
      </c>
      <c r="C41" s="1929">
        <f ca="1">ROUND(SUM(C42:C43),0)</f>
        <v>3579</v>
      </c>
      <c r="D41" s="1932">
        <f ca="1">C44</f>
        <v>4.0000000000000002E-4</v>
      </c>
      <c r="E41" s="1933" t="s">
        <v>904</v>
      </c>
      <c r="F41" s="1930"/>
      <c r="G41" s="1931" t="str">
        <f>IF('数据-取费表'!B23&lt;=1,"单利计息。","复利计息。")</f>
        <v>单利计息。</v>
      </c>
    </row>
    <row r="42" spans="1:7" ht="13.5" customHeight="1">
      <c r="A42" s="1910" t="s">
        <v>838</v>
      </c>
      <c r="B42" s="1911" t="s">
        <v>875</v>
      </c>
      <c r="C42" s="1681">
        <f ca="1">ROUND(IF('数据-取费表'!B23&lt;=1,C33*F22*'数据-取费表'!B22/2,C33*(POWER((1+F22),'数据-取费表'!B22/2)-1)),0)</f>
        <v>3509</v>
      </c>
      <c r="D42" s="1681"/>
      <c r="E42" s="1681"/>
      <c r="F42" s="1936"/>
      <c r="G42" s="2978" t="s">
        <v>906</v>
      </c>
    </row>
    <row r="43" spans="1:7" ht="13.5" customHeight="1">
      <c r="A43" s="1910" t="s">
        <v>840</v>
      </c>
      <c r="B43" s="1911" t="s">
        <v>877</v>
      </c>
      <c r="C43" s="1681">
        <f ca="1">ROUND(IF('数据-取费表'!B23&lt;=1,C39*F22*'数据-取费表'!B22/2,C39*(POWER((1+F22),'数据-取费表'!B22/2)-1)),0)</f>
        <v>70</v>
      </c>
      <c r="D43" s="1681"/>
      <c r="E43" s="1681"/>
      <c r="F43" s="1936"/>
      <c r="G43" s="2979"/>
    </row>
    <row r="44" spans="1:7" ht="13.5" customHeight="1">
      <c r="A44" s="1910" t="s">
        <v>842</v>
      </c>
      <c r="B44" s="1911" t="s">
        <v>879</v>
      </c>
      <c r="C44" s="1681">
        <f ca="1">ROUND(IF('数据-取费表'!B23&lt;=1,C40*F22*'数据-取费表'!B22/2,C40*(POWER((1+F22),'数据-取费表'!B22/2)-1)),4)</f>
        <v>4.0000000000000002E-4</v>
      </c>
      <c r="D44" s="1681"/>
      <c r="E44" s="1681"/>
      <c r="F44" s="1936"/>
      <c r="G44" s="2980"/>
    </row>
    <row r="45" spans="1:7" s="1891" customFormat="1" ht="13.5" customHeight="1">
      <c r="A45" s="1905" t="s">
        <v>873</v>
      </c>
      <c r="B45" s="1941" t="s">
        <v>884</v>
      </c>
      <c r="C45" s="1907">
        <f>C46</f>
        <v>24683</v>
      </c>
      <c r="D45" s="1932">
        <f>C47</f>
        <v>3.0000000000000001E-3</v>
      </c>
      <c r="E45" s="1933" t="s">
        <v>904</v>
      </c>
      <c r="F45" s="1928"/>
      <c r="G45" s="1942" t="s">
        <v>907</v>
      </c>
    </row>
    <row r="46" spans="1:7" s="1891" customFormat="1" ht="13.5" customHeight="1">
      <c r="A46" s="1910" t="s">
        <v>838</v>
      </c>
      <c r="B46" s="1943" t="s">
        <v>908</v>
      </c>
      <c r="C46" s="1916">
        <f>ROUND((C33+C39)*F27,0)</f>
        <v>24683</v>
      </c>
      <c r="D46" s="1954"/>
      <c r="E46" s="1933"/>
      <c r="F46" s="1928"/>
      <c r="G46" s="1942"/>
    </row>
    <row r="47" spans="1:7" s="1891" customFormat="1" ht="13.5" customHeight="1">
      <c r="A47" s="1910" t="s">
        <v>840</v>
      </c>
      <c r="B47" s="1943" t="s">
        <v>909</v>
      </c>
      <c r="C47" s="1681">
        <f>ROUND(C40*F27,4)</f>
        <v>3.0000000000000001E-3</v>
      </c>
      <c r="D47" s="1954"/>
      <c r="E47" s="1933"/>
      <c r="F47" s="1928"/>
      <c r="G47" s="1942"/>
    </row>
    <row r="48" spans="1:7" s="1891" customFormat="1" ht="13.5" customHeight="1">
      <c r="A48" s="1940" t="s">
        <v>883</v>
      </c>
      <c r="B48" s="1906" t="s">
        <v>889</v>
      </c>
      <c r="C48" s="1953">
        <f>ROUND(F30/(1+'数据-取费表'!F30),4)</f>
        <v>5.33E-2</v>
      </c>
      <c r="D48" s="1933" t="s">
        <v>904</v>
      </c>
      <c r="E48" s="1929"/>
      <c r="F48" s="1930"/>
      <c r="G48" s="1931" t="s">
        <v>910</v>
      </c>
    </row>
    <row r="49" spans="1:7" ht="16.5" customHeight="1">
      <c r="A49" s="1940" t="s">
        <v>888</v>
      </c>
      <c r="B49" s="1906" t="s">
        <v>911</v>
      </c>
      <c r="C49" s="1929">
        <f ca="1">ROUND((C33+C39+C41+C45)/(1-C40-D41-D45-C48),0)</f>
        <v>208835</v>
      </c>
      <c r="D49" s="1929"/>
      <c r="E49" s="1929"/>
      <c r="F49" s="1955"/>
      <c r="G49" s="1931" t="s">
        <v>912</v>
      </c>
    </row>
    <row r="50" spans="1:7" s="1893" customFormat="1" ht="24">
      <c r="A50" s="1940" t="s">
        <v>913</v>
      </c>
      <c r="B50" s="1906" t="s">
        <v>914</v>
      </c>
      <c r="C50" s="1929"/>
      <c r="D50" s="1929"/>
      <c r="E50" s="1929"/>
      <c r="F50" s="1955">
        <f>IF('数据-取费表'!B25=0,'数据-取费表'!E20,1)</f>
        <v>0.63</v>
      </c>
      <c r="G50" s="1942" t="s">
        <v>915</v>
      </c>
    </row>
    <row r="51" spans="1:7" ht="16.5" customHeight="1">
      <c r="A51" s="1940" t="s">
        <v>916</v>
      </c>
      <c r="B51" s="1906" t="s">
        <v>917</v>
      </c>
      <c r="C51" s="1929">
        <f ca="1">ROUND(C49*F50,0)</f>
        <v>131566</v>
      </c>
      <c r="D51" s="1929"/>
      <c r="E51" s="1929"/>
      <c r="F51" s="1955"/>
      <c r="G51" s="1931" t="s">
        <v>918</v>
      </c>
    </row>
    <row r="52" spans="1:7" s="1890" customFormat="1" ht="15.75">
      <c r="A52" s="1956" t="s">
        <v>919</v>
      </c>
      <c r="B52" s="1957"/>
      <c r="C52" s="1958">
        <f ca="1">C31+C51</f>
        <v>1504272</v>
      </c>
      <c r="D52" s="1957"/>
      <c r="E52" s="1957"/>
      <c r="F52" s="1957"/>
      <c r="G52" s="1959"/>
    </row>
    <row r="55" spans="1:7" ht="15">
      <c r="B55" s="1724" t="s">
        <v>920</v>
      </c>
      <c r="C55" s="1357"/>
    </row>
    <row r="56" spans="1:7">
      <c r="B56" s="1728" t="s">
        <v>921</v>
      </c>
      <c r="C56" s="1726">
        <f ca="1">ROUND(C51/C52,3)</f>
        <v>8.6999999999999994E-2</v>
      </c>
    </row>
    <row r="57" spans="1:7">
      <c r="B57" s="1728" t="s">
        <v>922</v>
      </c>
      <c r="C57" s="1729">
        <f ca="1">1-C56</f>
        <v>0.91300000000000003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8" t="s">
        <v>923</v>
      </c>
      <c r="B1" s="1804"/>
      <c r="C1" s="1805" t="s">
        <v>924</v>
      </c>
      <c r="D1" s="1806"/>
      <c r="E1" s="1807"/>
      <c r="F1" s="1807"/>
      <c r="G1" s="1807"/>
      <c r="H1" s="1807"/>
      <c r="I1" s="1807"/>
      <c r="J1" s="1807"/>
      <c r="K1" s="1807"/>
    </row>
    <row r="2" spans="1:33" s="1790" customFormat="1" ht="18" customHeight="1">
      <c r="A2" s="402" t="s">
        <v>830</v>
      </c>
      <c r="B2" s="403">
        <f ca="1">IF(C2="元",C32,ROUND(C32/10000,0))</f>
        <v>0</v>
      </c>
      <c r="C2" s="1808" t="str">
        <f>'数据-取费表'!B3</f>
        <v>元</v>
      </c>
      <c r="D2" s="1807"/>
      <c r="E2" s="1807"/>
      <c r="F2" s="1807"/>
      <c r="G2" s="1807"/>
      <c r="H2" s="1807"/>
      <c r="I2" s="1807"/>
      <c r="J2" s="1807"/>
      <c r="K2" s="1807"/>
    </row>
    <row r="3" spans="1:33" s="1790" customFormat="1" ht="18" customHeight="1">
      <c r="A3" s="409" t="s">
        <v>831</v>
      </c>
      <c r="B3" s="403" t="e">
        <f ca="1">ROUND(C32/IF(C1="仅计算典型户型",'数据-取费表'!E5,'数据-取费表'!B5),0)</f>
        <v>#DIV/0!</v>
      </c>
      <c r="C3" s="1808" t="s">
        <v>925</v>
      </c>
      <c r="D3" s="1807"/>
      <c r="E3" s="1807"/>
      <c r="F3" s="1807"/>
      <c r="G3" s="1807"/>
      <c r="H3" s="1807"/>
      <c r="I3" s="1807"/>
      <c r="J3" s="1807"/>
      <c r="K3" s="1807"/>
    </row>
    <row r="4" spans="1:33" s="1791" customFormat="1" ht="16.5" customHeight="1">
      <c r="A4" s="1809" t="s">
        <v>926</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927</v>
      </c>
      <c r="B5" s="1813" t="s">
        <v>928</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929</v>
      </c>
      <c r="B6" s="1816" t="s">
        <v>930</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931</v>
      </c>
      <c r="B7" s="1816" t="s">
        <v>362</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932</v>
      </c>
      <c r="B8" s="1816" t="s">
        <v>933</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934</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927</v>
      </c>
      <c r="B10" s="1824" t="s">
        <v>928</v>
      </c>
      <c r="C10" s="1825" t="s">
        <v>935</v>
      </c>
      <c r="D10" s="1826" t="s">
        <v>936</v>
      </c>
      <c r="E10" s="1826" t="s">
        <v>937</v>
      </c>
      <c r="F10" s="1826" t="s">
        <v>938</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939</v>
      </c>
      <c r="B11" s="1829" t="s">
        <v>940</v>
      </c>
      <c r="C11" s="1830">
        <f>IF(C1="仅计算典型户型",'数据-取费表'!F18,'数据-取费表'!E18)</f>
        <v>0</v>
      </c>
      <c r="D11" s="1831"/>
      <c r="E11" s="1378"/>
      <c r="F11" s="1832">
        <f>1-'数据-取费表'!E20</f>
        <v>0.37</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941</v>
      </c>
      <c r="B12" s="1829" t="s">
        <v>942</v>
      </c>
      <c r="C12" s="1421">
        <f>ROUND(C11*F12,0)</f>
        <v>0</v>
      </c>
      <c r="D12" s="1831"/>
      <c r="E12" s="1378"/>
      <c r="F12" s="1833">
        <f>'数据-取费表'!E21</f>
        <v>0.03</v>
      </c>
      <c r="G12" s="1824" t="s">
        <v>943</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944</v>
      </c>
      <c r="B13" s="1829" t="s">
        <v>945</v>
      </c>
      <c r="C13" s="1421">
        <f>ROUND(IF('数据-取费表'!B10="住宅",C11*F13,0),0)</f>
        <v>0</v>
      </c>
      <c r="D13" s="1831"/>
      <c r="E13" s="1378"/>
      <c r="F13" s="1833">
        <f>'数据-取费表'!E22</f>
        <v>0.05</v>
      </c>
      <c r="G13" s="1824" t="s">
        <v>946</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947</v>
      </c>
      <c r="B14" s="1829" t="s">
        <v>948</v>
      </c>
      <c r="C14" s="1421">
        <f>ROUND(D14*E14*F11,0)</f>
        <v>0</v>
      </c>
      <c r="D14" s="1831">
        <f>IF(C1="仅计算典型户型",'数据-取费表'!E5,'数据-取费表'!B5)</f>
        <v>0</v>
      </c>
      <c r="E14" s="1421">
        <f>'数据-取费表'!E23</f>
        <v>200</v>
      </c>
      <c r="F14" s="1833"/>
      <c r="G14" s="1824" t="s">
        <v>949</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950</v>
      </c>
      <c r="B15" s="1829" t="s">
        <v>951</v>
      </c>
      <c r="C15" s="1834">
        <f>ROUND(C11*F15,0)</f>
        <v>0</v>
      </c>
      <c r="D15" s="1835"/>
      <c r="E15" s="1834"/>
      <c r="F15" s="1836">
        <f>'数据-取费表'!E24</f>
        <v>1.4999999999999999E-2</v>
      </c>
      <c r="G15" s="1816" t="s">
        <v>952</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953</v>
      </c>
      <c r="B16" s="1829" t="s">
        <v>954</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955</v>
      </c>
      <c r="B17" s="1829" t="s">
        <v>956</v>
      </c>
      <c r="C17" s="1421">
        <f>ROUND(D17*E17,0)</f>
        <v>0</v>
      </c>
      <c r="D17" s="1831">
        <f>IF(C1="仅计算典型户型",'数据-取费表'!E5,'数据-取费表'!B5)</f>
        <v>0</v>
      </c>
      <c r="E17" s="1421">
        <f>'数据-取费表'!E16</f>
        <v>0</v>
      </c>
      <c r="F17" s="1835"/>
      <c r="G17" s="1816" t="s">
        <v>957</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958</v>
      </c>
      <c r="B18" s="1829" t="s">
        <v>959</v>
      </c>
      <c r="C18" s="1421">
        <f>C19+C20-'数据-取费表'!E13</f>
        <v>-0.49</v>
      </c>
      <c r="D18" s="1831"/>
      <c r="E18" s="1421"/>
      <c r="F18" s="1833"/>
      <c r="G18" s="1816" t="s">
        <v>960</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939</v>
      </c>
      <c r="B19" s="1829" t="s">
        <v>961</v>
      </c>
      <c r="C19" s="1421">
        <f>ROUND(D19*E19,0)</f>
        <v>0</v>
      </c>
      <c r="D19" s="1831">
        <f>IF('数据-取费表'!B10="住宅",IF(C1="仅计算典型户型",'数据-取费表'!E5,'数据-取费表'!B5),0)</f>
        <v>0</v>
      </c>
      <c r="E19" s="1421">
        <f>'数据-取费表'!E11</f>
        <v>90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941</v>
      </c>
      <c r="B20" s="1829" t="s">
        <v>962</v>
      </c>
      <c r="C20" s="1421">
        <f>ROUND(D20*E20,0)</f>
        <v>0</v>
      </c>
      <c r="D20" s="1831">
        <f>IF('数据-取费表'!B10&lt;&gt;"住宅",IF(C1="仅计算典型户型",'数据-取费表'!E5,'数据-取费表'!B5),0)</f>
        <v>0</v>
      </c>
      <c r="E20" s="1421">
        <f>'数据-取费表'!E12</f>
        <v>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929</v>
      </c>
      <c r="B21" s="1840" t="s">
        <v>963</v>
      </c>
      <c r="C21" s="1841">
        <f>C16+C17+C18</f>
        <v>-0.49</v>
      </c>
      <c r="D21" s="1842"/>
      <c r="E21" s="1843"/>
      <c r="F21" s="1843"/>
      <c r="G21" s="1816" t="s">
        <v>964</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931</v>
      </c>
      <c r="B22" s="1840" t="s">
        <v>965</v>
      </c>
      <c r="C22" s="1841">
        <f>ROUND(C21*F22,0)</f>
        <v>0</v>
      </c>
      <c r="D22" s="1843"/>
      <c r="E22" s="1843"/>
      <c r="F22" s="1844">
        <f>'数据-取费表'!E25</f>
        <v>0.02</v>
      </c>
      <c r="G22" s="1824" t="s">
        <v>966</v>
      </c>
      <c r="H22" s="1827"/>
      <c r="I22" s="1827"/>
      <c r="J22" s="1827"/>
      <c r="K22" s="1882"/>
      <c r="L22" s="1797"/>
      <c r="M22" s="1797"/>
      <c r="N22" s="1797"/>
    </row>
    <row r="23" spans="1:33" s="1795" customFormat="1" ht="13.5" customHeight="1">
      <c r="A23" s="1815" t="s">
        <v>932</v>
      </c>
      <c r="B23" s="1840" t="s">
        <v>967</v>
      </c>
      <c r="C23" s="1841">
        <f>ROUND(C4*F23*F11,0)</f>
        <v>0</v>
      </c>
      <c r="D23" s="1843"/>
      <c r="E23" s="1843"/>
      <c r="F23" s="1844">
        <f>'数据-取费表'!E26</f>
        <v>0.02</v>
      </c>
      <c r="G23" s="1824" t="s">
        <v>968</v>
      </c>
      <c r="H23" s="1827"/>
      <c r="I23" s="1827"/>
      <c r="J23" s="1827"/>
      <c r="K23" s="1882"/>
    </row>
    <row r="24" spans="1:33" s="1795" customFormat="1" ht="13.5" customHeight="1">
      <c r="A24" s="1815" t="s">
        <v>969</v>
      </c>
      <c r="B24" s="1840" t="s">
        <v>970</v>
      </c>
      <c r="C24" s="1845">
        <f>ROUND(F24/(1+'数据-取费表'!F30),4)</f>
        <v>2.9000000000000001E-2</v>
      </c>
      <c r="D24" s="1846" t="s">
        <v>971</v>
      </c>
      <c r="E24" s="1846"/>
      <c r="F24" s="1844">
        <f>'数据-取费表'!E36+'数据-取费表'!E37</f>
        <v>3.0499999999999999E-2</v>
      </c>
      <c r="G24" s="1824" t="s">
        <v>972</v>
      </c>
      <c r="H24" s="1847"/>
      <c r="I24" s="1847"/>
      <c r="J24" s="1847"/>
      <c r="K24" s="1886"/>
    </row>
    <row r="25" spans="1:33" s="1797" customFormat="1" ht="13.5" customHeight="1">
      <c r="A25" s="1815" t="s">
        <v>973</v>
      </c>
      <c r="B25" s="1842" t="s">
        <v>974</v>
      </c>
      <c r="C25" s="1848">
        <f ca="1">C27</f>
        <v>0</v>
      </c>
      <c r="D25" s="1845">
        <f ca="1">C26</f>
        <v>0</v>
      </c>
      <c r="E25" s="1849" t="s">
        <v>971</v>
      </c>
      <c r="F25" s="1850">
        <f ca="1">'数据-取费表'!E27</f>
        <v>4.3499999999999997E-2</v>
      </c>
      <c r="G25" s="1816" t="s">
        <v>975</v>
      </c>
      <c r="H25" s="1847"/>
      <c r="I25" s="1847"/>
      <c r="J25" s="1847"/>
      <c r="K25" s="1886"/>
    </row>
    <row r="26" spans="1:33" s="1798" customFormat="1" ht="13.5" customHeight="1">
      <c r="A26" s="1828" t="s">
        <v>953</v>
      </c>
      <c r="B26" s="1851" t="s">
        <v>976</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955</v>
      </c>
      <c r="B27" s="1851" t="s">
        <v>977</v>
      </c>
      <c r="C27" s="1856">
        <f ca="1">ROUND(IF('数据-取费表'!B23&lt;=1,(C21+C22+C23)*F25*'数据-取费表'!B25/2,(C21+C22+C23)*(POWER((1+F25),'数据-取费表'!B25/2)-1)),0)</f>
        <v>0</v>
      </c>
      <c r="D27" s="1853"/>
      <c r="E27" s="1854"/>
      <c r="F27" s="1855"/>
      <c r="G27" s="1816" t="s">
        <v>978</v>
      </c>
      <c r="H27" s="1837"/>
      <c r="I27" s="1837"/>
      <c r="J27" s="1837"/>
      <c r="K27" s="1884"/>
    </row>
    <row r="28" spans="1:33" s="1799" customFormat="1" ht="13.5" customHeight="1">
      <c r="A28" s="1815" t="s">
        <v>979</v>
      </c>
      <c r="B28" s="1857" t="s">
        <v>980</v>
      </c>
      <c r="C28" s="1858">
        <f>C30</f>
        <v>0</v>
      </c>
      <c r="D28" s="1845">
        <f>C29</f>
        <v>0.15440000000000001</v>
      </c>
      <c r="E28" s="1849" t="s">
        <v>971</v>
      </c>
      <c r="F28" s="924">
        <f>'数据-取费表'!E28</f>
        <v>0.15</v>
      </c>
      <c r="G28" s="1859"/>
      <c r="H28" s="1847"/>
      <c r="I28" s="1847"/>
      <c r="J28" s="1847"/>
      <c r="K28" s="1886"/>
    </row>
    <row r="29" spans="1:33" s="1800" customFormat="1" ht="13.5" customHeight="1">
      <c r="A29" s="1828" t="s">
        <v>953</v>
      </c>
      <c r="B29" s="1860" t="s">
        <v>981</v>
      </c>
      <c r="C29" s="1853">
        <f>ROUND((1+C24)*F28,4)</f>
        <v>0.15440000000000001</v>
      </c>
      <c r="D29" s="1853"/>
      <c r="E29" s="1854"/>
      <c r="F29" s="1861"/>
      <c r="G29" s="1816" t="s">
        <v>982</v>
      </c>
      <c r="H29" s="1837"/>
      <c r="I29" s="1837"/>
      <c r="J29" s="1837"/>
      <c r="K29" s="1884"/>
    </row>
    <row r="30" spans="1:33" s="1800" customFormat="1" ht="13.5" customHeight="1">
      <c r="A30" s="1828" t="s">
        <v>955</v>
      </c>
      <c r="B30" s="1860" t="s">
        <v>983</v>
      </c>
      <c r="C30" s="1862">
        <f>ROUND((C21+C22+C23)*F28,0)</f>
        <v>0</v>
      </c>
      <c r="D30" s="1853"/>
      <c r="E30" s="1863"/>
      <c r="F30" s="1861"/>
      <c r="G30" s="1816"/>
      <c r="H30" s="1837"/>
      <c r="I30" s="1837"/>
      <c r="J30" s="1837"/>
      <c r="K30" s="1884"/>
    </row>
    <row r="31" spans="1:33" s="1797" customFormat="1" ht="13.5" customHeight="1">
      <c r="A31" s="1864" t="s">
        <v>984</v>
      </c>
      <c r="B31" s="1840" t="s">
        <v>985</v>
      </c>
      <c r="C31" s="1865">
        <f>ROUND(C4*F31/(1+'数据-取费表'!F30),0)</f>
        <v>0</v>
      </c>
      <c r="D31" s="1866"/>
      <c r="E31" s="1867"/>
      <c r="F31" s="1868">
        <f>'数据-取费表'!E29</f>
        <v>5.6000000000000001E-2</v>
      </c>
      <c r="G31" s="1869" t="s">
        <v>986</v>
      </c>
      <c r="H31" s="1870"/>
      <c r="I31" s="1870"/>
      <c r="J31" s="1870"/>
      <c r="K31" s="1887"/>
    </row>
    <row r="32" spans="1:33" s="1794" customFormat="1" ht="13.5" customHeight="1">
      <c r="A32" s="1871" t="s">
        <v>987</v>
      </c>
      <c r="B32" s="1872"/>
      <c r="C32" s="1873">
        <f ca="1">ROUND((C4-C21-C22-C23-C25-C28-C31)/(1+C24+D25+D28),0)</f>
        <v>0</v>
      </c>
      <c r="D32" s="1872"/>
      <c r="E32" s="1872"/>
      <c r="F32" s="1872"/>
      <c r="G32" s="1874" t="s">
        <v>988</v>
      </c>
      <c r="H32" s="1872"/>
      <c r="I32" s="1872"/>
      <c r="J32" s="1872"/>
      <c r="K32" s="1888"/>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4" zoomScale="85" zoomScaleNormal="85" workbookViewId="0">
      <selection activeCell="K36" sqref="K36"/>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989</v>
      </c>
      <c r="B1" s="1542"/>
      <c r="C1" s="1543"/>
      <c r="D1" s="1544" t="s">
        <v>97</v>
      </c>
      <c r="E1" s="1545" t="s">
        <v>121</v>
      </c>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2" t="s">
        <v>830</v>
      </c>
      <c r="B2" s="1549">
        <f ca="1">IF(C2="元",IF('数据-取费表'!B28="租赁期内按合同租金",C40+L47+J29,C40+L47),ROUND(IF('数据-取费表'!B28="租赁期内按合同租金",(C40+L47+J29)/10000,(C40+L47)/10000),0))</f>
        <v>1052996</v>
      </c>
      <c r="C2" s="1550" t="str">
        <f>'数据-取费表'!B3</f>
        <v>元</v>
      </c>
      <c r="D2" s="1161"/>
      <c r="E2" s="1551"/>
      <c r="F2" s="1551"/>
      <c r="G2" s="1552"/>
      <c r="H2" s="1553"/>
      <c r="I2" s="1688"/>
      <c r="J2" s="1688"/>
      <c r="K2" s="1689"/>
      <c r="L2" s="1688"/>
      <c r="M2" s="1688"/>
    </row>
    <row r="3" spans="1:37" ht="18" customHeight="1">
      <c r="A3" s="1554" t="s">
        <v>831</v>
      </c>
      <c r="B3" s="1555">
        <f ca="1">ROUND(IF('数据-取费表'!B28="租赁期内按合同租金",(C40+L47+J29)/F43,(C40+L47)/F43),0)</f>
        <v>19173</v>
      </c>
      <c r="C3" s="1550" t="s">
        <v>990</v>
      </c>
      <c r="D3" s="1161"/>
      <c r="E3" s="1551"/>
      <c r="F3" s="1551"/>
      <c r="G3" s="1552"/>
      <c r="H3" s="1556" t="s">
        <v>991</v>
      </c>
      <c r="I3" s="1688"/>
      <c r="J3" s="1688"/>
      <c r="K3" s="1689"/>
      <c r="L3" s="1688"/>
      <c r="M3" s="1688"/>
    </row>
    <row r="4" spans="1:37" ht="18" customHeight="1">
      <c r="A4" s="1557" t="s">
        <v>992</v>
      </c>
      <c r="B4" s="1558" t="s">
        <v>993</v>
      </c>
      <c r="C4" s="1558" t="s">
        <v>994</v>
      </c>
      <c r="D4" s="1558" t="s">
        <v>995</v>
      </c>
      <c r="E4" s="1559" t="s">
        <v>996</v>
      </c>
      <c r="F4" s="1560"/>
      <c r="G4" s="1561"/>
      <c r="H4" s="1557" t="s">
        <v>992</v>
      </c>
      <c r="I4" s="1558" t="s">
        <v>993</v>
      </c>
      <c r="J4" s="1558" t="s">
        <v>994</v>
      </c>
      <c r="K4" s="1558" t="s">
        <v>995</v>
      </c>
      <c r="L4" s="1559" t="s">
        <v>996</v>
      </c>
      <c r="M4" s="1560"/>
    </row>
    <row r="5" spans="1:37" ht="18" customHeight="1">
      <c r="A5" s="1562">
        <v>1</v>
      </c>
      <c r="B5" s="1563" t="s">
        <v>997</v>
      </c>
      <c r="C5" s="1564">
        <f ca="1">C6+C10+C12</f>
        <v>57071</v>
      </c>
      <c r="D5" s="1565" t="s">
        <v>998</v>
      </c>
      <c r="E5" s="1161"/>
      <c r="F5" s="1566"/>
      <c r="G5" s="1561"/>
      <c r="H5" s="1562">
        <v>1</v>
      </c>
      <c r="I5" s="1563" t="s">
        <v>997</v>
      </c>
      <c r="J5" s="1564">
        <f ca="1">J6+J10+J12</f>
        <v>0</v>
      </c>
      <c r="K5" s="1690" t="s">
        <v>999</v>
      </c>
      <c r="L5" s="1161"/>
      <c r="M5" s="1566"/>
    </row>
    <row r="6" spans="1:37" ht="18" customHeight="1">
      <c r="A6" s="1567" t="s">
        <v>929</v>
      </c>
      <c r="B6" s="1568" t="s">
        <v>1000</v>
      </c>
      <c r="C6" s="1564">
        <f>ROUND(F6*F8*F7*(1-F9),0)</f>
        <v>57000</v>
      </c>
      <c r="D6" s="1569" t="s">
        <v>1001</v>
      </c>
      <c r="E6" s="1570" t="s">
        <v>1002</v>
      </c>
      <c r="F6" s="1571">
        <f>'数据-取费表'!B29</f>
        <v>5000</v>
      </c>
      <c r="G6" s="1561"/>
      <c r="H6" s="1567" t="s">
        <v>929</v>
      </c>
      <c r="I6" s="1568" t="s">
        <v>1000</v>
      </c>
      <c r="J6" s="1564">
        <f>ROUND(M6*M8*M7*(1-M9),0)</f>
        <v>0</v>
      </c>
      <c r="K6" s="1569" t="s">
        <v>1001</v>
      </c>
      <c r="L6" s="1570" t="s">
        <v>1002</v>
      </c>
      <c r="M6" s="1571">
        <f>'数据-取费表'!B36</f>
        <v>0</v>
      </c>
    </row>
    <row r="7" spans="1:37" ht="18" customHeight="1">
      <c r="A7" s="1572"/>
      <c r="B7" s="1573"/>
      <c r="C7" s="1574"/>
      <c r="D7" s="1575"/>
      <c r="E7" s="1570" t="s">
        <v>1003</v>
      </c>
      <c r="F7" s="1571">
        <f>IF('数据-取费表'!B41="",IF(D1="仅计算典型户型",'数据-取费表'!E5,'数据-取费表'!B5),'数据-取费表'!B41)</f>
        <v>1</v>
      </c>
      <c r="G7" s="1561"/>
      <c r="H7" s="1576"/>
      <c r="I7" s="1573"/>
      <c r="J7" s="1574"/>
      <c r="K7" s="1575"/>
      <c r="L7" s="1570" t="s">
        <v>1003</v>
      </c>
      <c r="M7" s="1571">
        <f>IF('数据-取费表'!B41="",IF(D1="仅计算典型户型",'数据-取费表'!E5,'数据-取费表'!B5),'数据-取费表'!B41)</f>
        <v>1</v>
      </c>
    </row>
    <row r="8" spans="1:37" ht="18" customHeight="1">
      <c r="A8" s="1572"/>
      <c r="B8" s="1573"/>
      <c r="C8" s="1574"/>
      <c r="D8" s="1575"/>
      <c r="E8" s="1570" t="s">
        <v>1004</v>
      </c>
      <c r="F8" s="1571">
        <f>'数据-取费表'!B42</f>
        <v>12</v>
      </c>
      <c r="G8" s="1561"/>
      <c r="H8" s="1576"/>
      <c r="I8" s="1573"/>
      <c r="J8" s="1574"/>
      <c r="K8" s="1575"/>
      <c r="L8" s="1570" t="s">
        <v>1005</v>
      </c>
      <c r="M8" s="1571">
        <f>'数据-取费表'!B42</f>
        <v>12</v>
      </c>
    </row>
    <row r="9" spans="1:37" ht="18" customHeight="1">
      <c r="A9" s="1572"/>
      <c r="B9" s="1573"/>
      <c r="C9" s="1574"/>
      <c r="D9" s="1577"/>
      <c r="E9" s="1570" t="s">
        <v>1006</v>
      </c>
      <c r="F9" s="1578">
        <f>'数据-取费表'!B32</f>
        <v>0.05</v>
      </c>
      <c r="G9" s="1561"/>
      <c r="H9" s="1576"/>
      <c r="I9" s="1573"/>
      <c r="J9" s="1691"/>
      <c r="K9" s="1692"/>
      <c r="L9" s="1582" t="s">
        <v>1006</v>
      </c>
      <c r="M9" s="1578">
        <f>'数据-取费表'!B38</f>
        <v>0</v>
      </c>
    </row>
    <row r="10" spans="1:37" ht="18" customHeight="1">
      <c r="A10" s="1567" t="s">
        <v>931</v>
      </c>
      <c r="B10" s="1579" t="s">
        <v>1007</v>
      </c>
      <c r="C10" s="1580">
        <f ca="1">ROUND(IF(F10="押一",C6/12*F11,IF(F10="押二",C6/12*2*F11,IF(F10="押三",C6/12*3*F11,C11*F11))),0)</f>
        <v>71</v>
      </c>
      <c r="D10" s="1581" t="s">
        <v>1008</v>
      </c>
      <c r="E10" s="1582" t="s">
        <v>1009</v>
      </c>
      <c r="F10" s="1583" t="s">
        <v>1010</v>
      </c>
      <c r="G10" s="1561"/>
      <c r="H10" s="1567" t="s">
        <v>931</v>
      </c>
      <c r="I10" s="1579" t="s">
        <v>1007</v>
      </c>
      <c r="J10" s="1580">
        <f ca="1">ROUND(IF(M10="押一",J6/12*M11,IF(M10="押二",J6/12*2*M11,IF(M10="押三",J6/12*3*M11,J11*M11))),0)</f>
        <v>0</v>
      </c>
      <c r="K10" s="1569" t="s">
        <v>1008</v>
      </c>
      <c r="L10" s="1582" t="s">
        <v>1009</v>
      </c>
      <c r="M10" s="1583"/>
    </row>
    <row r="11" spans="1:37" s="1536" customFormat="1" ht="18" customHeight="1">
      <c r="A11" s="1584"/>
      <c r="B11" s="1585" t="s">
        <v>1011</v>
      </c>
      <c r="C11" s="1586"/>
      <c r="D11" s="1575"/>
      <c r="E11" s="1582" t="s">
        <v>1012</v>
      </c>
      <c r="F11" s="1587">
        <f ca="1">'数据-取费表'!B30</f>
        <v>1.4999999999999999E-2</v>
      </c>
      <c r="G11" s="1588"/>
      <c r="H11" s="1589"/>
      <c r="I11" s="1585" t="s">
        <v>1013</v>
      </c>
      <c r="J11" s="1586"/>
      <c r="K11" s="1575"/>
      <c r="L11" s="1582" t="s">
        <v>1012</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932</v>
      </c>
      <c r="B12" s="1591" t="s">
        <v>1014</v>
      </c>
      <c r="C12" s="1592"/>
      <c r="D12" s="1593"/>
      <c r="E12" s="1594"/>
      <c r="F12" s="1595"/>
      <c r="G12" s="1561"/>
      <c r="H12" s="1590" t="s">
        <v>932</v>
      </c>
      <c r="I12" s="1591" t="s">
        <v>1014</v>
      </c>
      <c r="J12" s="1592"/>
      <c r="K12" s="1673"/>
      <c r="L12" s="1594"/>
      <c r="M12" s="1694"/>
    </row>
    <row r="13" spans="1:37" s="1536" customFormat="1" ht="18" customHeight="1">
      <c r="A13" s="1596">
        <v>2</v>
      </c>
      <c r="B13" s="1597" t="s">
        <v>1015</v>
      </c>
      <c r="C13" s="1598">
        <f ca="1">ROUND(C29*F13,0)</f>
        <v>131566</v>
      </c>
      <c r="D13" s="1599" t="s">
        <v>1016</v>
      </c>
      <c r="E13" s="1599" t="s">
        <v>1017</v>
      </c>
      <c r="F13" s="1600">
        <f>'数据-取费表'!E20</f>
        <v>0.63</v>
      </c>
      <c r="G13" s="1588"/>
      <c r="H13" s="1596">
        <v>2</v>
      </c>
      <c r="I13" s="1597" t="s">
        <v>1015</v>
      </c>
      <c r="J13" s="1691">
        <f ca="1">ROUND(J14*J15,0)</f>
        <v>0</v>
      </c>
      <c r="K13" s="1620" t="s">
        <v>1016</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953</v>
      </c>
      <c r="B14" s="1570" t="s">
        <v>1018</v>
      </c>
      <c r="C14" s="1602">
        <f>IF(D1="仅计算典型户型",'数据-取费表'!F18,'数据-取费表'!E18)</f>
        <v>137300</v>
      </c>
      <c r="D14" s="1603" t="s">
        <v>1019</v>
      </c>
      <c r="E14" s="1604"/>
      <c r="F14" s="1605"/>
      <c r="G14" s="1588"/>
      <c r="H14" s="1601" t="s">
        <v>929</v>
      </c>
      <c r="I14" s="1570" t="s">
        <v>1020</v>
      </c>
      <c r="J14" s="1421">
        <f ca="1">C29</f>
        <v>208835</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955</v>
      </c>
      <c r="B15" s="1570" t="s">
        <v>942</v>
      </c>
      <c r="C15" s="1421">
        <f>ROUND(C14*F15,0)</f>
        <v>4119</v>
      </c>
      <c r="D15" s="1606" t="s">
        <v>1021</v>
      </c>
      <c r="E15" s="1606" t="s">
        <v>1022</v>
      </c>
      <c r="F15" s="1607">
        <f>'数据-取费表'!E21</f>
        <v>0.03</v>
      </c>
      <c r="G15" s="1561"/>
      <c r="H15" s="1608" t="s">
        <v>931</v>
      </c>
      <c r="I15" s="1594" t="s">
        <v>1017</v>
      </c>
      <c r="J15" s="1699">
        <f>'数据-取费表'!B39</f>
        <v>0</v>
      </c>
      <c r="K15" s="1700"/>
      <c r="L15" s="1701"/>
      <c r="M15" s="1702"/>
    </row>
    <row r="16" spans="1:37" s="1536" customFormat="1" ht="18" customHeight="1">
      <c r="A16" s="1601" t="s">
        <v>958</v>
      </c>
      <c r="B16" s="1570" t="s">
        <v>945</v>
      </c>
      <c r="C16" s="1421">
        <f>ROUND(C14*F16,0)</f>
        <v>6865</v>
      </c>
      <c r="D16" s="1570" t="s">
        <v>1021</v>
      </c>
      <c r="E16" s="1570" t="s">
        <v>1022</v>
      </c>
      <c r="F16" s="1609">
        <f>IF('数据-取费表'!B10="住宅",'数据-取费表'!E22,0)</f>
        <v>0.05</v>
      </c>
      <c r="G16" s="1588"/>
      <c r="H16" s="1596" t="s">
        <v>734</v>
      </c>
      <c r="I16" s="1597" t="s">
        <v>1023</v>
      </c>
      <c r="J16" s="1598">
        <f ca="1">ROUND(J17+J22+J23+J24,0)</f>
        <v>4887</v>
      </c>
      <c r="K16" s="1620" t="s">
        <v>1024</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1025</v>
      </c>
      <c r="B17" s="1570" t="s">
        <v>1026</v>
      </c>
      <c r="C17" s="1421">
        <f>ROUND(F17*IF(D1="仅计算典型户型",'数据-取费表'!E5,'数据-取费表'!B5),0)</f>
        <v>10984</v>
      </c>
      <c r="D17" s="1570" t="s">
        <v>1027</v>
      </c>
      <c r="E17" s="1570" t="s">
        <v>1028</v>
      </c>
      <c r="F17" s="1610">
        <f>'数据-取费表'!E23</f>
        <v>200</v>
      </c>
      <c r="G17" s="1588"/>
      <c r="H17" s="1601" t="s">
        <v>929</v>
      </c>
      <c r="I17" s="1570" t="s">
        <v>1029</v>
      </c>
      <c r="J17" s="1421">
        <f ca="1">ROUND(IF(项目基本情况!B7="自然人",J6*M17/(1+'数据-取费表'!F30),J18+J19+J20),0)</f>
        <v>1754</v>
      </c>
      <c r="K17" s="1603" t="s">
        <v>1030</v>
      </c>
      <c r="L17" s="1624" t="s">
        <v>1031</v>
      </c>
      <c r="M17" s="1625" t="str">
        <f>IF(项目基本情况!B7="企业","",IF('数据-取费表'!B10="住宅",5%,IF(M6*M7*M8/12/(1+'数据-取费表'!F30)&gt;20000,12%,7%)))</f>
        <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1032</v>
      </c>
      <c r="B18" s="1570" t="s">
        <v>951</v>
      </c>
      <c r="C18" s="1421">
        <f>ROUND(C14*F18,0)</f>
        <v>2060</v>
      </c>
      <c r="D18" s="1570" t="s">
        <v>1021</v>
      </c>
      <c r="E18" s="1570" t="s">
        <v>1022</v>
      </c>
      <c r="F18" s="1609">
        <f>'数据-取费表'!E24</f>
        <v>1.4999999999999999E-2</v>
      </c>
      <c r="G18" s="1561"/>
      <c r="H18" s="1601" t="s">
        <v>953</v>
      </c>
      <c r="I18" s="1570" t="s">
        <v>1033</v>
      </c>
      <c r="J18" s="1421">
        <f>IF(项目基本情况!B7="自然人","——",ROUND(J6*M18/(1+'数据-取费表'!F30),0))</f>
        <v>0</v>
      </c>
      <c r="K18" s="1624" t="s">
        <v>1034</v>
      </c>
      <c r="L18" s="1570" t="s">
        <v>1022</v>
      </c>
      <c r="M18" s="1609">
        <f>'数据-取费表'!E29</f>
        <v>5.6000000000000001E-2</v>
      </c>
    </row>
    <row r="19" spans="1:37" s="1536" customFormat="1" ht="18" customHeight="1">
      <c r="A19" s="1601" t="s">
        <v>929</v>
      </c>
      <c r="B19" s="1570" t="s">
        <v>1035</v>
      </c>
      <c r="C19" s="1421">
        <f>SUM(C14:C18)</f>
        <v>161328</v>
      </c>
      <c r="D19" s="1611" t="s">
        <v>1036</v>
      </c>
      <c r="E19" s="1423"/>
      <c r="F19" s="1610"/>
      <c r="G19" s="1588"/>
      <c r="H19" s="1601" t="s">
        <v>955</v>
      </c>
      <c r="I19" s="1570" t="s">
        <v>1037</v>
      </c>
      <c r="J19" s="1421">
        <f ca="1">IF(项目基本情况!B7="自然人","——",IF(K19="按租金收入计税",ROUND(J6*M19/(1+'数据-取费表'!F30),0),ROUND(C29*M19*0.7,0)))</f>
        <v>1754</v>
      </c>
      <c r="K19" s="1627" t="s">
        <v>1038</v>
      </c>
      <c r="L19" s="1570" t="s">
        <v>1022</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931</v>
      </c>
      <c r="B20" s="1570" t="s">
        <v>1039</v>
      </c>
      <c r="C20" s="1421">
        <f>ROUND(C19*F20,0)</f>
        <v>3227</v>
      </c>
      <c r="D20" s="1612" t="s">
        <v>1040</v>
      </c>
      <c r="E20" s="1570" t="s">
        <v>1022</v>
      </c>
      <c r="F20" s="1609">
        <f>'数据-取费表'!E25</f>
        <v>0.02</v>
      </c>
      <c r="G20" s="1588"/>
      <c r="H20" s="1601" t="s">
        <v>958</v>
      </c>
      <c r="I20" s="1569" t="s">
        <v>1041</v>
      </c>
      <c r="J20" s="1629">
        <f>IF(项目基本情况!B7="自然人","——",ROUND(M20*M21,0))</f>
        <v>0</v>
      </c>
      <c r="K20" s="1630" t="s">
        <v>1042</v>
      </c>
      <c r="L20" s="1570" t="s">
        <v>1043</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932</v>
      </c>
      <c r="B21" s="1570" t="s">
        <v>1044</v>
      </c>
      <c r="C21" s="1490">
        <f>F21</f>
        <v>0.02</v>
      </c>
      <c r="D21" s="1612" t="s">
        <v>1045</v>
      </c>
      <c r="E21" s="1570" t="s">
        <v>1046</v>
      </c>
      <c r="F21" s="1609">
        <f>'数据-取费表'!E26</f>
        <v>0.02</v>
      </c>
      <c r="G21" s="1561"/>
      <c r="H21" s="1584"/>
      <c r="I21" s="1577"/>
      <c r="J21" s="1491"/>
      <c r="K21" s="1632"/>
      <c r="L21" s="1570" t="s">
        <v>1047</v>
      </c>
      <c r="M21" s="1571">
        <f>IF(D1="仅计算典型户型",'数据-取费表'!E6,'数据-取费表'!B6)</f>
        <v>0</v>
      </c>
    </row>
    <row r="22" spans="1:37" ht="18" customHeight="1">
      <c r="A22" s="1601" t="s">
        <v>969</v>
      </c>
      <c r="B22" s="1570" t="s">
        <v>1048</v>
      </c>
      <c r="C22" s="1421"/>
      <c r="D22" s="1611" t="str">
        <f>IF(F23&lt;=1,"单利计息。","复利计息。")&amp;"建造成本、管理费用、销售费用产生的利息。"</f>
        <v>单利计息。建造成本、管理费用、销售费用产生的利息。</v>
      </c>
      <c r="E22" s="1423"/>
      <c r="F22" s="1610"/>
      <c r="G22" s="1561"/>
      <c r="H22" s="1601" t="s">
        <v>931</v>
      </c>
      <c r="I22" s="1570" t="s">
        <v>1049</v>
      </c>
      <c r="J22" s="1421">
        <f ca="1">ROUND(J14*M22,0)</f>
        <v>3133</v>
      </c>
      <c r="K22" s="1624" t="s">
        <v>1050</v>
      </c>
      <c r="L22" s="1570" t="s">
        <v>1022</v>
      </c>
      <c r="M22" s="1634">
        <f>'数据-取费表'!B44</f>
        <v>1.4999999999999999E-2</v>
      </c>
    </row>
    <row r="23" spans="1:37" ht="18" customHeight="1">
      <c r="A23" s="1601" t="s">
        <v>953</v>
      </c>
      <c r="B23" s="1570" t="s">
        <v>1051</v>
      </c>
      <c r="C23" s="1421">
        <f ca="1">IF('数据-取费表'!B23&lt;=1,ROUND(C19*F24*F23/2,0)+ROUND(C20*F24*F23/2,0),ROUND(C19*(POWER((1+F24),F23/2)-1),0)+ROUND(C20*(POWER((1+F24),F23/2)-1),0))</f>
        <v>3579</v>
      </c>
      <c r="D23" s="1613" t="str">
        <f>IF(F23&lt;=1,"(建造成本+管理费用)×利率×(建设周期÷2)","(建造成本+管理费用)×((1+利率)^(建设周期÷2)-1)")</f>
        <v>(建造成本+管理费用)×利率×(建设周期÷2)</v>
      </c>
      <c r="E23" s="1570" t="s">
        <v>1052</v>
      </c>
      <c r="F23" s="1614">
        <f>'数据-取费表'!B21</f>
        <v>1</v>
      </c>
      <c r="G23" s="1561"/>
      <c r="H23" s="1601" t="s">
        <v>932</v>
      </c>
      <c r="I23" s="1570" t="s">
        <v>1053</v>
      </c>
      <c r="J23" s="1421">
        <f ca="1">ROUND(J13*M23,0)</f>
        <v>0</v>
      </c>
      <c r="K23" s="1624" t="s">
        <v>1054</v>
      </c>
      <c r="L23" s="1570" t="s">
        <v>1022</v>
      </c>
      <c r="M23" s="1635">
        <f>'数据-取费表'!B45</f>
        <v>1.5E-3</v>
      </c>
    </row>
    <row r="24" spans="1:37" s="1536" customFormat="1" ht="18" customHeight="1">
      <c r="A24" s="1601" t="s">
        <v>955</v>
      </c>
      <c r="B24" s="1570" t="s">
        <v>1055</v>
      </c>
      <c r="C24" s="1421">
        <f ca="1">ROUND(IF('数据-取费表'!B23&lt;=1,F21*F24*F23/2,F21*(POWER((1+F24),F23/2)-1)),4)</f>
        <v>4.0000000000000002E-4</v>
      </c>
      <c r="D24" s="1613" t="str">
        <f>IF(F23&lt;=1,"销售费用×利率×(建设周期÷2)","销售费用×((1+利率)^(建设周期÷2)-1)")</f>
        <v>销售费用×利率×(建设周期÷2)</v>
      </c>
      <c r="E24" s="1570" t="s">
        <v>1056</v>
      </c>
      <c r="F24" s="1615">
        <f ca="1">'数据-取费表'!E27</f>
        <v>4.3499999999999997E-2</v>
      </c>
      <c r="G24" s="1588"/>
      <c r="H24" s="1608" t="s">
        <v>969</v>
      </c>
      <c r="I24" s="1594" t="s">
        <v>1039</v>
      </c>
      <c r="J24" s="1616">
        <f ca="1">ROUND(J5*M24,0)</f>
        <v>0</v>
      </c>
      <c r="K24" s="1617" t="s">
        <v>1057</v>
      </c>
      <c r="L24" s="1594" t="s">
        <v>1022</v>
      </c>
      <c r="M24" s="1595">
        <f>'数据-取费表'!B46</f>
        <v>1.4999999999999999E-2</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973</v>
      </c>
      <c r="B25" s="1570" t="s">
        <v>1058</v>
      </c>
      <c r="C25" s="1421"/>
      <c r="D25" s="1611" t="s">
        <v>1059</v>
      </c>
      <c r="E25" s="1423"/>
      <c r="F25" s="1610"/>
      <c r="G25" s="1588"/>
      <c r="H25" s="1596" t="s">
        <v>737</v>
      </c>
      <c r="I25" s="1636" t="s">
        <v>1060</v>
      </c>
      <c r="J25" s="1598">
        <f ca="1">J5-J16</f>
        <v>-4887</v>
      </c>
      <c r="K25" s="1637" t="s">
        <v>1061</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953</v>
      </c>
      <c r="B26" s="1570" t="s">
        <v>1062</v>
      </c>
      <c r="C26" s="1421">
        <f>ROUND((C19+C20)*F26,0)</f>
        <v>24683</v>
      </c>
      <c r="D26" s="1612" t="s">
        <v>1063</v>
      </c>
      <c r="E26" s="1582" t="s">
        <v>1064</v>
      </c>
      <c r="F26" s="1578">
        <f>'数据-取费表'!E28</f>
        <v>0.15</v>
      </c>
      <c r="G26" s="1537"/>
      <c r="H26" s="1562" t="s">
        <v>764</v>
      </c>
      <c r="I26" s="1563" t="s">
        <v>1065</v>
      </c>
      <c r="J26" s="1564">
        <f ca="1">IF(J5&lt;&gt;0,ROUND(J25*(1-((1+M28)/(1+M26))^M27)/(M26-M28),0),0)</f>
        <v>0</v>
      </c>
      <c r="K26" s="1630" t="s">
        <v>1066</v>
      </c>
      <c r="L26" s="1570" t="s">
        <v>1067</v>
      </c>
      <c r="M26" s="1578">
        <f>'数据-取费表'!B16</f>
        <v>5.5E-2</v>
      </c>
    </row>
    <row r="27" spans="1:37" ht="18" customHeight="1">
      <c r="A27" s="1601" t="s">
        <v>955</v>
      </c>
      <c r="B27" s="1570" t="s">
        <v>1068</v>
      </c>
      <c r="C27" s="1421">
        <f>ROUND(F21*F26,4)</f>
        <v>3.0000000000000001E-3</v>
      </c>
      <c r="D27" s="1612" t="s">
        <v>1069</v>
      </c>
      <c r="E27" s="1606"/>
      <c r="F27" s="1607"/>
      <c r="G27" s="1537"/>
      <c r="H27" s="1576"/>
      <c r="I27" s="1573"/>
      <c r="J27" s="1574"/>
      <c r="K27" s="1641" t="s">
        <v>1070</v>
      </c>
      <c r="L27" s="1570" t="s">
        <v>1071</v>
      </c>
      <c r="M27" s="1643" t="str">
        <f>'数据-取费表'!B40</f>
        <v>——</v>
      </c>
    </row>
    <row r="28" spans="1:37" ht="18" customHeight="1">
      <c r="A28" s="1601" t="s">
        <v>979</v>
      </c>
      <c r="B28" s="1570" t="s">
        <v>1072</v>
      </c>
      <c r="C28" s="1421">
        <f>ROUND(F28/(1+'数据-取费表'!F30),4)</f>
        <v>5.33E-2</v>
      </c>
      <c r="D28" s="1612" t="s">
        <v>1073</v>
      </c>
      <c r="E28" s="1570" t="s">
        <v>1022</v>
      </c>
      <c r="F28" s="1609">
        <f>'数据-取费表'!E29</f>
        <v>5.6000000000000001E-2</v>
      </c>
      <c r="G28" s="1537"/>
      <c r="H28" s="1589"/>
      <c r="I28" s="1645"/>
      <c r="J28" s="1598"/>
      <c r="K28" s="1632"/>
      <c r="L28" s="1570" t="s">
        <v>1074</v>
      </c>
      <c r="M28" s="1578">
        <f>'数据-取费表'!B37</f>
        <v>0</v>
      </c>
    </row>
    <row r="29" spans="1:37" ht="18" customHeight="1">
      <c r="A29" s="1608" t="s">
        <v>984</v>
      </c>
      <c r="B29" s="1594" t="s">
        <v>1075</v>
      </c>
      <c r="C29" s="1616">
        <f ca="1">ROUND((C19+C20+C23+C26)/(1-F21-C24-C27-C28),0)</f>
        <v>208835</v>
      </c>
      <c r="D29" s="1617"/>
      <c r="E29" s="1594"/>
      <c r="F29" s="1618"/>
      <c r="G29" s="1537"/>
      <c r="H29" s="1619" t="s">
        <v>1076</v>
      </c>
      <c r="I29" s="1646" t="s">
        <v>1077</v>
      </c>
      <c r="J29" s="1647">
        <f ca="1">ROUND(J26/(1+F40)^F41,0)</f>
        <v>0</v>
      </c>
      <c r="K29" s="1648" t="s">
        <v>1078</v>
      </c>
      <c r="L29" s="1649"/>
      <c r="M29" s="1650">
        <f>IF(D1="仅计算典型户型",'数据-取费表'!E5,'数据-取费表'!B5)</f>
        <v>54.92</v>
      </c>
    </row>
    <row r="30" spans="1:37" ht="18" customHeight="1">
      <c r="A30" s="1596" t="s">
        <v>734</v>
      </c>
      <c r="B30" s="1597" t="s">
        <v>1023</v>
      </c>
      <c r="C30" s="1598">
        <f ca="1">ROUND(C31+C36+C37+C38,0)</f>
        <v>13740</v>
      </c>
      <c r="D30" s="1620" t="s">
        <v>1024</v>
      </c>
      <c r="E30" s="1621"/>
      <c r="F30" s="1622"/>
      <c r="G30" s="1537"/>
      <c r="H30" s="1623"/>
      <c r="I30" s="1703"/>
      <c r="J30" s="1704"/>
      <c r="K30" s="1705"/>
      <c r="L30" s="1706"/>
      <c r="M30" s="1707"/>
    </row>
    <row r="31" spans="1:37" ht="18" customHeight="1">
      <c r="A31" s="1601" t="s">
        <v>929</v>
      </c>
      <c r="B31" s="1570" t="s">
        <v>1029</v>
      </c>
      <c r="C31" s="1421">
        <f>ROUND(IF(项目基本情况!B7="自然人",C6*F31/(1+'数据-取费表'!F30),C32+C33+C34),0)</f>
        <v>9554</v>
      </c>
      <c r="D31" s="1603" t="s">
        <v>1030</v>
      </c>
      <c r="E31" s="1624" t="s">
        <v>1031</v>
      </c>
      <c r="F31" s="1625" t="str">
        <f>IF(项目基本情况!B7="企业","",IF('数据-取费表'!B10="住宅",5%,IF(F6*F7*F8/12/(1+'数据-取费表'!F30)&gt;20000,12%,7%)))</f>
        <v/>
      </c>
      <c r="G31" s="1537"/>
      <c r="H31" s="1623"/>
      <c r="I31" s="1703"/>
      <c r="J31" s="1704"/>
      <c r="K31" s="1705"/>
      <c r="L31" s="1706"/>
      <c r="M31" s="1707"/>
    </row>
    <row r="32" spans="1:37" ht="18" customHeight="1">
      <c r="A32" s="1601" t="s">
        <v>953</v>
      </c>
      <c r="B32" s="1570" t="s">
        <v>1033</v>
      </c>
      <c r="C32" s="1421">
        <f>IF(项目基本情况!B7="自然人","——",ROUND(C6*F32/(1+'数据-取费表'!F30),0))</f>
        <v>3040</v>
      </c>
      <c r="D32" s="1624" t="s">
        <v>1034</v>
      </c>
      <c r="E32" s="1570" t="s">
        <v>1022</v>
      </c>
      <c r="F32" s="1615">
        <f>'数据-取费表'!E29</f>
        <v>5.6000000000000001E-2</v>
      </c>
      <c r="G32" s="1537"/>
      <c r="H32" s="1626"/>
      <c r="I32" s="1708"/>
      <c r="J32" s="1709"/>
      <c r="K32" s="1710"/>
      <c r="L32" s="1711"/>
      <c r="M32" s="1712"/>
    </row>
    <row r="33" spans="1:18" ht="18" customHeight="1">
      <c r="A33" s="1601" t="s">
        <v>955</v>
      </c>
      <c r="B33" s="1570" t="s">
        <v>1037</v>
      </c>
      <c r="C33" s="1421">
        <f>IF(项目基本情况!B7="自然人","——",IF(D33="按租金收入计税",ROUND(C6*F33/(1+'数据-取费表'!F30),0),IF(D33="按房产原值计税",ROUND(C29*F33*0.7,0),'数据-取费表'!B43)))</f>
        <v>6514</v>
      </c>
      <c r="D33" s="1627" t="s">
        <v>1079</v>
      </c>
      <c r="E33" s="1570" t="s">
        <v>1022</v>
      </c>
      <c r="F33" s="1609">
        <f>IF(D33="按票据","——",IF(D33="按租金收入计税",'数据-取费表'!E39,'数据-取费表'!E38))</f>
        <v>0.12</v>
      </c>
      <c r="G33" s="1537"/>
      <c r="H33" s="1628"/>
      <c r="I33" s="1713" t="s">
        <v>1080</v>
      </c>
      <c r="J33" s="1714"/>
      <c r="K33" s="1715"/>
      <c r="L33" s="1628"/>
      <c r="M33" s="1628"/>
    </row>
    <row r="34" spans="1:18" ht="18" customHeight="1">
      <c r="A34" s="1567" t="s">
        <v>958</v>
      </c>
      <c r="B34" s="1569" t="s">
        <v>1041</v>
      </c>
      <c r="C34" s="1629">
        <f>IF(项目基本情况!B7="自然人","——",ROUND(F34*F35,0))</f>
        <v>0</v>
      </c>
      <c r="D34" s="1630" t="s">
        <v>1042</v>
      </c>
      <c r="E34" s="1570" t="s">
        <v>1043</v>
      </c>
      <c r="F34" s="1614">
        <f>'数据-取费表'!E40</f>
        <v>0</v>
      </c>
      <c r="G34" s="1537"/>
      <c r="H34" s="1623"/>
      <c r="I34" s="1716" t="s">
        <v>1081</v>
      </c>
      <c r="J34" s="1717">
        <f ca="1">ROUND(C13*J35,0)</f>
        <v>11183</v>
      </c>
      <c r="K34" s="1718"/>
      <c r="L34" s="1719"/>
      <c r="M34" s="1719"/>
    </row>
    <row r="35" spans="1:18" ht="24.6" customHeight="1">
      <c r="A35" s="1631"/>
      <c r="B35" s="1577"/>
      <c r="C35" s="1491"/>
      <c r="D35" s="1632"/>
      <c r="E35" s="1570" t="s">
        <v>1047</v>
      </c>
      <c r="F35" s="1571">
        <f>IF(D1="仅计算典型户型",'数据-取费表'!E6,'数据-取费表'!B6)</f>
        <v>0</v>
      </c>
      <c r="G35" s="1537"/>
      <c r="H35" s="1623"/>
      <c r="I35" s="536" t="s">
        <v>1082</v>
      </c>
      <c r="J35" s="1720">
        <f>'数据-取费表'!B17</f>
        <v>8.5000000000000006E-2</v>
      </c>
      <c r="K35" s="1715"/>
      <c r="L35" s="1628"/>
      <c r="M35" s="1628"/>
    </row>
    <row r="36" spans="1:18" ht="18" customHeight="1">
      <c r="A36" s="1633" t="s">
        <v>931</v>
      </c>
      <c r="B36" s="1570" t="s">
        <v>1049</v>
      </c>
      <c r="C36" s="1421">
        <f ca="1">ROUND(C29*F36,0)</f>
        <v>3133</v>
      </c>
      <c r="D36" s="1624" t="s">
        <v>1083</v>
      </c>
      <c r="E36" s="1570" t="s">
        <v>1022</v>
      </c>
      <c r="F36" s="1634">
        <f>'数据-取费表'!B44</f>
        <v>1.4999999999999999E-2</v>
      </c>
      <c r="G36" s="1537"/>
      <c r="H36" s="1628"/>
      <c r="I36" s="1721" t="s">
        <v>1084</v>
      </c>
      <c r="J36" s="1722"/>
      <c r="K36" s="1723"/>
      <c r="L36" s="1628"/>
      <c r="M36" s="1628"/>
    </row>
    <row r="37" spans="1:18" ht="18" customHeight="1">
      <c r="A37" s="1601" t="s">
        <v>932</v>
      </c>
      <c r="B37" s="1570" t="s">
        <v>1053</v>
      </c>
      <c r="C37" s="1421">
        <f ca="1">ROUND(C13*F37,0)</f>
        <v>197</v>
      </c>
      <c r="D37" s="1624" t="s">
        <v>1054</v>
      </c>
      <c r="E37" s="1570" t="s">
        <v>1022</v>
      </c>
      <c r="F37" s="1635">
        <f>'数据-取费表'!B45</f>
        <v>1.5E-3</v>
      </c>
      <c r="G37" s="1537"/>
      <c r="H37" s="1628"/>
      <c r="I37" s="1724" t="s">
        <v>1085</v>
      </c>
      <c r="J37" s="1725"/>
      <c r="K37" s="1723"/>
      <c r="L37" s="1628"/>
      <c r="M37" s="1628"/>
    </row>
    <row r="38" spans="1:18" ht="18" customHeight="1">
      <c r="A38" s="1608" t="s">
        <v>969</v>
      </c>
      <c r="B38" s="1594" t="s">
        <v>1039</v>
      </c>
      <c r="C38" s="1616">
        <f ca="1">ROUND(C5*F38,0)</f>
        <v>856</v>
      </c>
      <c r="D38" s="1617" t="s">
        <v>1057</v>
      </c>
      <c r="E38" s="1594" t="s">
        <v>1022</v>
      </c>
      <c r="F38" s="1595">
        <f>'数据-取费表'!B46</f>
        <v>1.4999999999999999E-2</v>
      </c>
      <c r="G38" s="1537"/>
      <c r="H38" s="1628"/>
      <c r="I38" s="1716" t="s">
        <v>1086</v>
      </c>
      <c r="J38" s="1726">
        <f ca="1">ROUND(J34/C39,3)</f>
        <v>0.25800000000000001</v>
      </c>
      <c r="K38" s="1727"/>
      <c r="L38" s="1628"/>
      <c r="M38" s="1628"/>
    </row>
    <row r="39" spans="1:18" ht="18" customHeight="1">
      <c r="A39" s="1596" t="s">
        <v>737</v>
      </c>
      <c r="B39" s="1636" t="s">
        <v>1060</v>
      </c>
      <c r="C39" s="1598">
        <f ca="1">C5-C30</f>
        <v>43331</v>
      </c>
      <c r="D39" s="1637" t="s">
        <v>1061</v>
      </c>
      <c r="E39" s="1638"/>
      <c r="F39" s="1639"/>
      <c r="G39" s="1537"/>
      <c r="H39" s="1628"/>
      <c r="I39" s="1716" t="s">
        <v>1087</v>
      </c>
      <c r="J39" s="1726">
        <f ca="1">1-J38</f>
        <v>0.74199999999999999</v>
      </c>
      <c r="K39" s="1727"/>
      <c r="L39" s="1628"/>
      <c r="M39" s="1628"/>
    </row>
    <row r="40" spans="1:18" s="1537" customFormat="1" ht="18" customHeight="1">
      <c r="A40" s="1562" t="s">
        <v>764</v>
      </c>
      <c r="B40" s="1563" t="s">
        <v>1088</v>
      </c>
      <c r="C40" s="1564">
        <f ca="1">ROUND(C39*(1-((1+F42)/(1+F40))^F41)/(F40-F42),0)</f>
        <v>1052996</v>
      </c>
      <c r="D40" s="1630" t="s">
        <v>1066</v>
      </c>
      <c r="E40" s="1570" t="s">
        <v>1067</v>
      </c>
      <c r="F40" s="1578">
        <f>'数据-取费表'!B16</f>
        <v>5.5E-2</v>
      </c>
      <c r="H40" s="1640"/>
      <c r="I40" s="1724" t="s">
        <v>1089</v>
      </c>
      <c r="J40" s="1357"/>
      <c r="K40" s="1727"/>
      <c r="L40" s="1640"/>
      <c r="M40" s="1640"/>
      <c r="Q40" s="1540"/>
    </row>
    <row r="41" spans="1:18" s="1537" customFormat="1" ht="18" customHeight="1">
      <c r="A41" s="1576"/>
      <c r="B41" s="1573"/>
      <c r="C41" s="1574"/>
      <c r="D41" s="1641" t="s">
        <v>1070</v>
      </c>
      <c r="E41" s="1642" t="s">
        <v>1090</v>
      </c>
      <c r="F41" s="1643">
        <f>IF('数据-取费表'!B28="租赁期内按合同租金",'数据-取费表'!B34,IF(E41="收益年期(n)",'数据-取费表'!B33,'数据-取费表'!B13))</f>
        <v>39</v>
      </c>
      <c r="H41" s="1644"/>
      <c r="I41" s="1728" t="s">
        <v>921</v>
      </c>
      <c r="J41" s="1726">
        <f ca="1">ROUND(C13/C40,3)</f>
        <v>0.125</v>
      </c>
      <c r="K41" s="1723"/>
      <c r="L41" s="1644"/>
      <c r="M41" s="1644"/>
      <c r="Q41" s="1540"/>
    </row>
    <row r="42" spans="1:18" s="1537" customFormat="1" ht="18" customHeight="1">
      <c r="A42" s="1589"/>
      <c r="B42" s="1645"/>
      <c r="C42" s="1598"/>
      <c r="D42" s="1632"/>
      <c r="E42" s="1570" t="s">
        <v>1074</v>
      </c>
      <c r="F42" s="1578">
        <f>'数据-取费表'!B31</f>
        <v>0.03</v>
      </c>
      <c r="H42" s="1644"/>
      <c r="I42" s="1728" t="s">
        <v>922</v>
      </c>
      <c r="J42" s="1729">
        <f ca="1">1-J41</f>
        <v>0.875</v>
      </c>
      <c r="K42" s="1723"/>
      <c r="L42" s="1644"/>
      <c r="M42" s="1644"/>
      <c r="Q42" s="1540"/>
    </row>
    <row r="43" spans="1:18" s="1537" customFormat="1" ht="18" customHeight="1">
      <c r="A43" s="1619" t="s">
        <v>1076</v>
      </c>
      <c r="B43" s="1646" t="s">
        <v>1091</v>
      </c>
      <c r="C43" s="1647">
        <f ca="1">ROUND(C40/F43,0)</f>
        <v>19173</v>
      </c>
      <c r="D43" s="1648" t="s">
        <v>1092</v>
      </c>
      <c r="E43" s="1649" t="s">
        <v>1093</v>
      </c>
      <c r="F43" s="1650">
        <f>IF(D1="仅计算典型户型",'数据-取费表'!E5,'数据-取费表'!B5)</f>
        <v>54.92</v>
      </c>
      <c r="G43" s="1651"/>
      <c r="H43" s="1644"/>
      <c r="I43" s="1644"/>
      <c r="J43" s="1644"/>
      <c r="K43" s="1723"/>
      <c r="L43" s="1644"/>
      <c r="M43" s="1644"/>
      <c r="O43" s="1730" t="s">
        <v>1094</v>
      </c>
      <c r="P43" s="1731"/>
      <c r="Q43" s="1316"/>
      <c r="R43" s="1731"/>
    </row>
    <row r="44" spans="1:18" s="1537" customFormat="1" ht="18" customHeight="1">
      <c r="A44" s="1652"/>
      <c r="B44" s="1652"/>
      <c r="C44" s="1653"/>
      <c r="D44" s="1652"/>
      <c r="E44" s="1652"/>
      <c r="F44" s="1652"/>
      <c r="G44" s="1651"/>
      <c r="K44" s="1732"/>
      <c r="O44" s="1733" t="s">
        <v>1095</v>
      </c>
      <c r="P44" s="1734" t="s">
        <v>1096</v>
      </c>
      <c r="Q44" s="1779" t="s">
        <v>1097</v>
      </c>
      <c r="R44" s="1780" t="s">
        <v>1098</v>
      </c>
    </row>
    <row r="45" spans="1:18" s="1537" customFormat="1" ht="18" customHeight="1">
      <c r="A45" s="1652"/>
      <c r="B45" s="1652"/>
      <c r="C45" s="1653"/>
      <c r="D45" s="1652"/>
      <c r="E45" s="1652"/>
      <c r="F45" s="1652"/>
      <c r="G45" s="1654"/>
      <c r="K45" s="1732"/>
      <c r="O45" s="1735" t="s">
        <v>939</v>
      </c>
      <c r="P45" s="1736" t="s">
        <v>1099</v>
      </c>
      <c r="Q45" s="1781">
        <f ca="1">C40+J29</f>
        <v>1052996</v>
      </c>
      <c r="R45" s="1782" t="s">
        <v>1100</v>
      </c>
    </row>
    <row r="46" spans="1:18" s="1537" customFormat="1" ht="18" customHeight="1">
      <c r="A46" s="1652"/>
      <c r="D46" s="1652"/>
      <c r="E46" s="1652"/>
      <c r="F46" s="1652"/>
      <c r="K46" s="1732"/>
      <c r="O46" s="1735" t="s">
        <v>941</v>
      </c>
      <c r="P46" s="1736" t="s">
        <v>1101</v>
      </c>
      <c r="Q46" s="1781" t="str">
        <f>J61</f>
        <v>0</v>
      </c>
      <c r="R46" s="1782" t="s">
        <v>1102</v>
      </c>
    </row>
    <row r="47" spans="1:18" s="1537" customFormat="1" ht="21">
      <c r="A47" s="1655" t="s">
        <v>1103</v>
      </c>
      <c r="C47" s="1656">
        <f ca="1">IF(C2="元",C69-C40,ROUND((C69-C40)/10000,0))</f>
        <v>-1385459</v>
      </c>
      <c r="D47" s="1657" t="str">
        <f>C2</f>
        <v>元</v>
      </c>
      <c r="E47" s="1652"/>
      <c r="F47" s="1652"/>
      <c r="I47" s="1737" t="s">
        <v>1104</v>
      </c>
      <c r="J47" s="1738"/>
      <c r="K47" s="1739"/>
      <c r="L47" s="1740">
        <f>IF(M48="住宅",0,IF(L49&gt;J52,L61,J61))</f>
        <v>0</v>
      </c>
      <c r="O47" s="1741" t="s">
        <v>1105</v>
      </c>
      <c r="P47" s="1736" t="s">
        <v>1106</v>
      </c>
      <c r="Q47" s="1781">
        <f ca="1">C29</f>
        <v>208835</v>
      </c>
      <c r="R47" s="1782" t="s">
        <v>1100</v>
      </c>
    </row>
    <row r="48" spans="1:18" s="1537" customFormat="1">
      <c r="A48" s="1557" t="s">
        <v>992</v>
      </c>
      <c r="B48" s="1558" t="s">
        <v>993</v>
      </c>
      <c r="C48" s="1558" t="s">
        <v>994</v>
      </c>
      <c r="D48" s="1558" t="s">
        <v>995</v>
      </c>
      <c r="E48" s="1658" t="s">
        <v>996</v>
      </c>
      <c r="F48" s="1659"/>
      <c r="I48" s="1742" t="s">
        <v>1107</v>
      </c>
      <c r="J48" s="1743" t="s">
        <v>1108</v>
      </c>
      <c r="K48" s="1744" t="s">
        <v>1109</v>
      </c>
      <c r="L48" s="1745">
        <f>'数据-取费表'!B11</f>
        <v>70</v>
      </c>
      <c r="M48" s="1316" t="str">
        <f>IF('数据-取费表'!B10="住宅","住宅","非住宅")</f>
        <v>住宅</v>
      </c>
      <c r="O48" s="1741" t="s">
        <v>1110</v>
      </c>
      <c r="P48" s="1736" t="s">
        <v>1111</v>
      </c>
      <c r="Q48" s="1783" t="e">
        <f>J59</f>
        <v>#VALUE!</v>
      </c>
      <c r="R48" s="1782"/>
    </row>
    <row r="49" spans="1:18" s="1537" customFormat="1">
      <c r="A49" s="1660" t="s">
        <v>1112</v>
      </c>
      <c r="B49" s="1563" t="s">
        <v>997</v>
      </c>
      <c r="C49" s="1661">
        <f ca="1">C50+C54+C56</f>
        <v>0</v>
      </c>
      <c r="D49" s="1662"/>
      <c r="E49" s="1663"/>
      <c r="F49" s="1610"/>
      <c r="I49" s="1746" t="s">
        <v>1113</v>
      </c>
      <c r="J49" s="1747" t="s">
        <v>1114</v>
      </c>
      <c r="K49" s="1748" t="s">
        <v>1115</v>
      </c>
      <c r="L49" s="1358">
        <f>'数据-取费表'!B13</f>
        <v>39</v>
      </c>
      <c r="O49" s="1741" t="s">
        <v>1116</v>
      </c>
      <c r="P49" s="1736" t="s">
        <v>1117</v>
      </c>
      <c r="Q49" s="1783">
        <f>J53</f>
        <v>0.09</v>
      </c>
      <c r="R49" s="1782"/>
    </row>
    <row r="50" spans="1:18" s="1537" customFormat="1">
      <c r="A50" s="1664" t="s">
        <v>929</v>
      </c>
      <c r="B50" s="1568" t="s">
        <v>1118</v>
      </c>
      <c r="C50" s="1564">
        <f>ROUND(F50*F52*F51*(1-F53),0)</f>
        <v>0</v>
      </c>
      <c r="D50" s="1665" t="s">
        <v>1119</v>
      </c>
      <c r="E50" s="1666" t="s">
        <v>1120</v>
      </c>
      <c r="F50" s="1667"/>
      <c r="I50" s="1746" t="s">
        <v>1121</v>
      </c>
      <c r="J50" s="1358">
        <f>'数据-取费表'!B26</f>
        <v>1989</v>
      </c>
      <c r="K50" s="1749" t="s">
        <v>1122</v>
      </c>
      <c r="L50" s="1750"/>
      <c r="O50" s="1741" t="s">
        <v>1123</v>
      </c>
      <c r="P50" s="1736" t="s">
        <v>1124</v>
      </c>
      <c r="Q50" s="1781">
        <f>J54</f>
        <v>39</v>
      </c>
      <c r="R50" s="1782" t="s">
        <v>1125</v>
      </c>
    </row>
    <row r="51" spans="1:18" s="1537" customFormat="1">
      <c r="A51" s="1576"/>
      <c r="B51" s="1573"/>
      <c r="C51" s="1574"/>
      <c r="D51" s="1575"/>
      <c r="E51" s="1606" t="s">
        <v>1003</v>
      </c>
      <c r="F51" s="1668">
        <f>F7</f>
        <v>1</v>
      </c>
      <c r="I51" s="1746" t="s">
        <v>1126</v>
      </c>
      <c r="J51" s="1751">
        <f>SUMPRODUCT((I64:I66=J48)*(J63:L63=J49)*(J64:L66))</f>
        <v>50</v>
      </c>
      <c r="K51" s="1749" t="s">
        <v>1127</v>
      </c>
      <c r="L51" s="1750"/>
      <c r="O51" s="1735" t="s">
        <v>944</v>
      </c>
      <c r="P51" s="1736" t="str">
        <f>IF(C2="元","收益价值(元)","收益价值(万元)")</f>
        <v>收益价值(元)</v>
      </c>
      <c r="Q51" s="1781">
        <f ca="1">ROUND(IF(C2="元",Q45+Q46,(Q45+Q46)/10000),0)</f>
        <v>1052996</v>
      </c>
      <c r="R51" s="1782" t="s">
        <v>1128</v>
      </c>
    </row>
    <row r="52" spans="1:18" s="1537" customFormat="1" ht="15.75">
      <c r="A52" s="1576"/>
      <c r="B52" s="1573"/>
      <c r="C52" s="1574"/>
      <c r="D52" s="1575"/>
      <c r="E52" s="1570" t="s">
        <v>1005</v>
      </c>
      <c r="F52" s="1571">
        <f>F8</f>
        <v>12</v>
      </c>
      <c r="I52" s="1752" t="s">
        <v>1129</v>
      </c>
      <c r="J52" s="1753">
        <f>IF(J50="",J51,J50+J51-YEAR('数据-取费表'!B2))</f>
        <v>20</v>
      </c>
      <c r="K52" s="1754" t="s">
        <v>1130</v>
      </c>
      <c r="L52" s="1755">
        <f ca="1">ROUND(-PV('数据-取费表'!B15,L49,(C40-C13*J35)),0)</f>
        <v>17728572</v>
      </c>
      <c r="O52" s="1730" t="s">
        <v>1131</v>
      </c>
      <c r="P52" s="1731"/>
      <c r="Q52" s="1316"/>
      <c r="R52" s="1731"/>
    </row>
    <row r="53" spans="1:18" s="1537" customFormat="1">
      <c r="A53" s="1589"/>
      <c r="B53" s="1645"/>
      <c r="C53" s="1598"/>
      <c r="D53" s="1577"/>
      <c r="E53" s="1570" t="s">
        <v>1006</v>
      </c>
      <c r="F53" s="1669"/>
      <c r="I53" s="1756" t="s">
        <v>1132</v>
      </c>
      <c r="J53" s="1757">
        <v>0.09</v>
      </c>
      <c r="K53" s="1756" t="s">
        <v>1133</v>
      </c>
      <c r="L53" s="1757"/>
      <c r="O53" s="1733" t="s">
        <v>1095</v>
      </c>
      <c r="P53" s="1734" t="s">
        <v>1096</v>
      </c>
      <c r="Q53" s="1779" t="s">
        <v>1097</v>
      </c>
      <c r="R53" s="1780" t="s">
        <v>1098</v>
      </c>
    </row>
    <row r="54" spans="1:18" s="1537" customFormat="1" ht="29.25" customHeight="1">
      <c r="A54" s="1567" t="s">
        <v>931</v>
      </c>
      <c r="B54" s="1579" t="s">
        <v>1007</v>
      </c>
      <c r="C54" s="1580">
        <f ca="1">ROUND(IF(F54="押一",C50/12*F11,IF(F54="押二",C50/12*2*F11,IF(F54="押三",C50/12*3*F11,C55*F11))),0)</f>
        <v>0</v>
      </c>
      <c r="D54" s="1581" t="s">
        <v>1008</v>
      </c>
      <c r="E54" s="1582" t="s">
        <v>1009</v>
      </c>
      <c r="F54" s="1583"/>
      <c r="I54" s="1758" t="s">
        <v>1134</v>
      </c>
      <c r="J54" s="1759">
        <f>IF(M48="住宅",IF(E1="——",MAX(J52,L49),MAX(J52,L49-'数据-取费表'!B25)),IF(E1="——",MIN(J52,L49),MIN(J52,L49-'数据-取费表'!B25)))</f>
        <v>39</v>
      </c>
      <c r="K54" s="2981" t="s">
        <v>1135</v>
      </c>
      <c r="L54" s="2982"/>
      <c r="O54" s="1735" t="s">
        <v>939</v>
      </c>
      <c r="P54" s="1736" t="s">
        <v>1099</v>
      </c>
      <c r="Q54" s="1781">
        <f ca="1">C40+J29</f>
        <v>1052996</v>
      </c>
      <c r="R54" s="1782" t="s">
        <v>1100</v>
      </c>
    </row>
    <row r="55" spans="1:18" s="1537" customFormat="1" ht="19.5">
      <c r="A55" s="1567"/>
      <c r="B55" s="1670" t="s">
        <v>1013</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941</v>
      </c>
      <c r="P55" s="1736" t="s">
        <v>1136</v>
      </c>
      <c r="Q55" s="1781">
        <f>L61</f>
        <v>0</v>
      </c>
      <c r="R55" s="1782" t="s">
        <v>1137</v>
      </c>
    </row>
    <row r="56" spans="1:18" s="1537" customFormat="1" ht="19.5">
      <c r="A56" s="1590" t="s">
        <v>932</v>
      </c>
      <c r="B56" s="1591" t="s">
        <v>1014</v>
      </c>
      <c r="C56" s="1592"/>
      <c r="D56" s="1673"/>
      <c r="E56" s="1674"/>
      <c r="F56" s="1675"/>
      <c r="I56" s="1761" t="s">
        <v>1138</v>
      </c>
      <c r="J56" s="1762" t="e">
        <f>ROUND(IF(J48="钢混",J58/J51,1-(1-2%)*(J51-J58)/J51),3)</f>
        <v>#VALUE!</v>
      </c>
      <c r="K56" s="1763" t="s">
        <v>1139</v>
      </c>
      <c r="L56" s="1764" t="s">
        <v>1140</v>
      </c>
      <c r="O56" s="1741" t="s">
        <v>1105</v>
      </c>
      <c r="P56" s="1736" t="s">
        <v>1141</v>
      </c>
      <c r="Q56" s="1781">
        <f>IF(L56="比较法",L50,IF(L56="基准地价",L51,0))</f>
        <v>0</v>
      </c>
      <c r="R56" s="1782" t="s">
        <v>1100</v>
      </c>
    </row>
    <row r="57" spans="1:18" s="1537" customFormat="1" ht="42.75">
      <c r="A57" s="1596">
        <v>2</v>
      </c>
      <c r="B57" s="1597" t="s">
        <v>1015</v>
      </c>
      <c r="C57" s="1676">
        <f ca="1">C13</f>
        <v>131566</v>
      </c>
      <c r="D57" s="1677"/>
      <c r="E57" s="1678"/>
      <c r="F57" s="1679"/>
      <c r="I57" s="1765" t="s">
        <v>1142</v>
      </c>
      <c r="J57" s="1766" t="s">
        <v>373</v>
      </c>
      <c r="K57" s="1746" t="s">
        <v>1143</v>
      </c>
      <c r="L57" s="1358">
        <f>IF(L49&lt;J52,"——",L49-J52)</f>
        <v>19</v>
      </c>
      <c r="O57" s="1741" t="s">
        <v>1110</v>
      </c>
      <c r="P57" s="1736" t="s">
        <v>1144</v>
      </c>
      <c r="Q57" s="1783">
        <f>L53</f>
        <v>0</v>
      </c>
      <c r="R57" s="1782"/>
    </row>
    <row r="58" spans="1:18" s="1537" customFormat="1" ht="28.5">
      <c r="A58" s="1680"/>
      <c r="B58" s="1570" t="s">
        <v>1075</v>
      </c>
      <c r="C58" s="1681">
        <f ca="1">C29</f>
        <v>208835</v>
      </c>
      <c r="D58" s="1677"/>
      <c r="E58" s="1678"/>
      <c r="F58" s="1679"/>
      <c r="I58" s="1767" t="s">
        <v>1145</v>
      </c>
      <c r="J58" s="1768" t="str">
        <f>IF(OR(M48="住宅",J52&lt;L49,J57="是"),"——",J52-L49)</f>
        <v>——</v>
      </c>
      <c r="K58" s="1746" t="s">
        <v>1146</v>
      </c>
      <c r="L58" s="1358">
        <f ca="1">IF(L49&lt;J52,"——",IF(L56="比较法",L50,IF(L56="基准地价",L51,L52)))</f>
        <v>17728572</v>
      </c>
      <c r="O58" s="1741" t="s">
        <v>1116</v>
      </c>
      <c r="P58" s="1736" t="s">
        <v>1147</v>
      </c>
      <c r="Q58" s="1781" t="e">
        <f>L59</f>
        <v>#DIV/0!</v>
      </c>
      <c r="R58" s="1782" t="s">
        <v>1148</v>
      </c>
    </row>
    <row r="59" spans="1:18" s="1537" customFormat="1" ht="28.5">
      <c r="A59" s="1682" t="s">
        <v>734</v>
      </c>
      <c r="B59" s="1683" t="s">
        <v>1023</v>
      </c>
      <c r="C59" s="1376">
        <f ca="1">ROUND(C60+C65+C66+C67,0)</f>
        <v>20872</v>
      </c>
      <c r="D59" s="1684" t="s">
        <v>1024</v>
      </c>
      <c r="E59" s="1423"/>
      <c r="F59" s="1610"/>
      <c r="I59" s="1767" t="s">
        <v>1149</v>
      </c>
      <c r="J59" s="1769" t="e">
        <f>IF(J56&lt;0.4,0.4,J56)</f>
        <v>#VALUE!</v>
      </c>
      <c r="K59" s="1754" t="s">
        <v>1150</v>
      </c>
      <c r="L59" s="1358" t="e">
        <f>ROUND(POWER(1+L53,L48-L49)*(POWER(1+L53,L49)-1)/(POWER(1+L53,L48)-1),4)</f>
        <v>#DIV/0!</v>
      </c>
      <c r="O59" s="1741" t="s">
        <v>1123</v>
      </c>
      <c r="P59" s="1736" t="str">
        <f>K60</f>
        <v>建筑物剩余耐用年限下的土地年期修正系数Kn</v>
      </c>
      <c r="Q59" s="1781" t="e">
        <f>L60</f>
        <v>#DIV/0!</v>
      </c>
      <c r="R59" s="1782" t="s">
        <v>1151</v>
      </c>
    </row>
    <row r="60" spans="1:18" s="1537" customFormat="1" ht="28.5">
      <c r="A60" s="1601" t="s">
        <v>1152</v>
      </c>
      <c r="B60" s="1570" t="s">
        <v>1029</v>
      </c>
      <c r="C60" s="1421">
        <f ca="1">ROUND(IF(项目基本情况!B7="自然人",C49*F60,C61+C62+C63),0)</f>
        <v>17542</v>
      </c>
      <c r="D60" s="1603" t="s">
        <v>1030</v>
      </c>
      <c r="E60" s="1624" t="s">
        <v>1031</v>
      </c>
      <c r="F60" s="1625" t="str">
        <f>IF(项目基本情况!B7="企业","",IF('数据-取费表'!B10="住宅",5%,IF(F50*F51*F52/12/(1+'数据-取费表'!F30)&gt;20000,12%,7%)))</f>
        <v/>
      </c>
      <c r="I60" s="1767" t="s">
        <v>1153</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944</v>
      </c>
      <c r="P60" s="1736" t="str">
        <f>IF(C2="元","收益价值(元)","收益价值(万元)")</f>
        <v>收益价值(元)</v>
      </c>
      <c r="Q60" s="1781">
        <f ca="1">ROUND(IF(C2="元",Q54+Q55,(Q54+Q55)/10000),0)</f>
        <v>1052996</v>
      </c>
      <c r="R60" s="1782" t="s">
        <v>1128</v>
      </c>
    </row>
    <row r="61" spans="1:18" s="1537" customFormat="1" ht="15.75">
      <c r="A61" s="1601" t="s">
        <v>1154</v>
      </c>
      <c r="B61" s="1570" t="s">
        <v>1033</v>
      </c>
      <c r="C61" s="1421">
        <f ca="1">IF(项目基本情况!B7="自然人","——",ROUND(C49*F61/(1+'数据-取费表'!F30),0))</f>
        <v>0</v>
      </c>
      <c r="D61" s="1624" t="s">
        <v>1155</v>
      </c>
      <c r="E61" s="1570" t="s">
        <v>1022</v>
      </c>
      <c r="F61" s="1615">
        <f t="shared" ref="F61:F67" si="0">F32</f>
        <v>5.6000000000000001E-2</v>
      </c>
      <c r="I61" s="1770" t="s">
        <v>1156</v>
      </c>
      <c r="J61" s="1771" t="str">
        <f>IF(OR(M48="住宅",J52&lt;L49,J57="是"),"0",ROUND(J60/(1+J53)^J54,0))</f>
        <v>0</v>
      </c>
      <c r="K61" s="1772" t="s">
        <v>1157</v>
      </c>
      <c r="L61" s="1771">
        <f>IF(OR(M48="住宅",L49&lt;J52),0,ROUND(L58*(L59/L60-1),0))</f>
        <v>0</v>
      </c>
      <c r="O61" s="1730" t="s">
        <v>1158</v>
      </c>
      <c r="P61" s="1731"/>
      <c r="Q61" s="1316"/>
      <c r="R61" s="1731"/>
    </row>
    <row r="62" spans="1:18" s="1537" customFormat="1">
      <c r="A62" s="1601" t="s">
        <v>1159</v>
      </c>
      <c r="B62" s="1570" t="s">
        <v>1037</v>
      </c>
      <c r="C62" s="1421">
        <f ca="1">IF(项目基本情况!B7="自然人","——",IF(D62="按租金收入计税",ROUND(C49*F62,0),IF(D62="按房产原值计税",ROUND(C58*F62*0.7,0),'数据-取费表'!B43)))</f>
        <v>17542</v>
      </c>
      <c r="D62" s="1627" t="s">
        <v>1038</v>
      </c>
      <c r="E62" s="1570" t="s">
        <v>1022</v>
      </c>
      <c r="F62" s="1609">
        <f t="shared" si="0"/>
        <v>0.12</v>
      </c>
      <c r="O62" s="1733" t="s">
        <v>1095</v>
      </c>
      <c r="P62" s="1734" t="s">
        <v>1096</v>
      </c>
      <c r="Q62" s="1779" t="s">
        <v>1097</v>
      </c>
      <c r="R62" s="1780" t="s">
        <v>1098</v>
      </c>
    </row>
    <row r="63" spans="1:18" s="1537" customFormat="1">
      <c r="A63" s="1664" t="s">
        <v>1160</v>
      </c>
      <c r="B63" s="1569" t="s">
        <v>1041</v>
      </c>
      <c r="C63" s="1629">
        <f>IF(项目基本情况!B7="自然人","——",ROUND(F63*F64,0))</f>
        <v>0</v>
      </c>
      <c r="D63" s="1630" t="s">
        <v>1042</v>
      </c>
      <c r="E63" s="1570" t="s">
        <v>1043</v>
      </c>
      <c r="F63" s="1614">
        <f t="shared" si="0"/>
        <v>0</v>
      </c>
      <c r="I63" s="1773" t="s">
        <v>1161</v>
      </c>
      <c r="J63" s="1774" t="s">
        <v>1162</v>
      </c>
      <c r="K63" s="1774" t="s">
        <v>1163</v>
      </c>
      <c r="L63" s="1774" t="s">
        <v>1164</v>
      </c>
      <c r="M63" s="1775" t="s">
        <v>1165</v>
      </c>
      <c r="O63" s="1735" t="s">
        <v>939</v>
      </c>
      <c r="P63" s="1736" t="s">
        <v>1099</v>
      </c>
      <c r="Q63" s="1781">
        <f ca="1">C40+J29</f>
        <v>1052996</v>
      </c>
      <c r="R63" s="1782" t="s">
        <v>1100</v>
      </c>
    </row>
    <row r="64" spans="1:18" s="1537" customFormat="1" ht="19.5">
      <c r="A64" s="1584"/>
      <c r="B64" s="1577"/>
      <c r="C64" s="1491"/>
      <c r="D64" s="1632"/>
      <c r="E64" s="1570" t="s">
        <v>1047</v>
      </c>
      <c r="F64" s="1571">
        <f t="shared" si="0"/>
        <v>0</v>
      </c>
      <c r="I64" s="1773" t="s">
        <v>1166</v>
      </c>
      <c r="J64" s="1774">
        <v>70</v>
      </c>
      <c r="K64" s="1774">
        <v>50</v>
      </c>
      <c r="L64" s="1774">
        <v>80</v>
      </c>
      <c r="M64" s="1776">
        <v>0.02</v>
      </c>
      <c r="O64" s="1735" t="s">
        <v>941</v>
      </c>
      <c r="P64" s="1736" t="s">
        <v>1136</v>
      </c>
      <c r="Q64" s="1781">
        <f>L61</f>
        <v>0</v>
      </c>
      <c r="R64" s="1782" t="s">
        <v>1137</v>
      </c>
    </row>
    <row r="65" spans="1:18" s="1537" customFormat="1" ht="22.5">
      <c r="A65" s="1601" t="s">
        <v>1167</v>
      </c>
      <c r="B65" s="1570" t="s">
        <v>1049</v>
      </c>
      <c r="C65" s="1421">
        <f ca="1">ROUND(C58*F65,0)</f>
        <v>3133</v>
      </c>
      <c r="D65" s="1624" t="s">
        <v>1083</v>
      </c>
      <c r="E65" s="1570" t="s">
        <v>1022</v>
      </c>
      <c r="F65" s="1634">
        <f t="shared" si="0"/>
        <v>1.4999999999999999E-2</v>
      </c>
      <c r="I65" s="1773" t="s">
        <v>1168</v>
      </c>
      <c r="J65" s="1774">
        <v>50</v>
      </c>
      <c r="K65" s="1774">
        <v>35</v>
      </c>
      <c r="L65" s="1774">
        <v>60</v>
      </c>
      <c r="M65" s="1775">
        <v>0</v>
      </c>
      <c r="O65" s="1741" t="s">
        <v>1105</v>
      </c>
      <c r="P65" s="1736" t="s">
        <v>1141</v>
      </c>
      <c r="Q65" s="1788">
        <f ca="1">L52</f>
        <v>17728572</v>
      </c>
      <c r="R65" s="1789" t="s">
        <v>1169</v>
      </c>
    </row>
    <row r="66" spans="1:18" s="1537" customFormat="1" ht="19.5">
      <c r="A66" s="1601" t="s">
        <v>1170</v>
      </c>
      <c r="B66" s="1570" t="s">
        <v>1053</v>
      </c>
      <c r="C66" s="1421">
        <f ca="1">ROUND(C57*F66,0)</f>
        <v>197</v>
      </c>
      <c r="D66" s="1624" t="s">
        <v>1054</v>
      </c>
      <c r="E66" s="1570" t="s">
        <v>1022</v>
      </c>
      <c r="F66" s="1635">
        <f t="shared" si="0"/>
        <v>1.5E-3</v>
      </c>
      <c r="I66" s="1773" t="s">
        <v>1171</v>
      </c>
      <c r="J66" s="1774">
        <v>40</v>
      </c>
      <c r="K66" s="1774">
        <v>30</v>
      </c>
      <c r="L66" s="1774">
        <v>50</v>
      </c>
      <c r="M66" s="1776">
        <v>0.02</v>
      </c>
      <c r="O66" s="1741" t="s">
        <v>1110</v>
      </c>
      <c r="P66" s="1787" t="s">
        <v>1172</v>
      </c>
      <c r="Q66" s="1781">
        <f ca="1">ROUND(Q67-Q68*Q69,0)</f>
        <v>32148</v>
      </c>
      <c r="R66" s="1782"/>
    </row>
    <row r="67" spans="1:18" s="1537" customFormat="1">
      <c r="A67" s="1601" t="s">
        <v>1173</v>
      </c>
      <c r="B67" s="1570" t="s">
        <v>1039</v>
      </c>
      <c r="C67" s="1421">
        <f ca="1">ROUND(C49*F67,0)</f>
        <v>0</v>
      </c>
      <c r="D67" s="1624" t="s">
        <v>1057</v>
      </c>
      <c r="E67" s="1570" t="s">
        <v>1022</v>
      </c>
      <c r="F67" s="1578">
        <f t="shared" si="0"/>
        <v>1.4999999999999999E-2</v>
      </c>
      <c r="O67" s="1741" t="s">
        <v>1174</v>
      </c>
      <c r="P67" s="1787" t="s">
        <v>1175</v>
      </c>
      <c r="Q67" s="1781">
        <f ca="1">C39</f>
        <v>43331</v>
      </c>
      <c r="R67" s="1782" t="s">
        <v>1100</v>
      </c>
    </row>
    <row r="68" spans="1:18">
      <c r="A68" s="1682" t="s">
        <v>737</v>
      </c>
      <c r="B68" s="1784" t="s">
        <v>1060</v>
      </c>
      <c r="C68" s="1376">
        <f ca="1">C49-C59</f>
        <v>-20872</v>
      </c>
      <c r="D68" s="1603" t="s">
        <v>1061</v>
      </c>
      <c r="E68" s="1785"/>
      <c r="F68" s="1786"/>
      <c r="H68" s="1537"/>
      <c r="I68" s="1537"/>
      <c r="J68" s="1537"/>
      <c r="K68" s="1537"/>
      <c r="L68" s="1537"/>
      <c r="M68" s="1537"/>
      <c r="O68" s="1741" t="s">
        <v>1176</v>
      </c>
      <c r="P68" s="1787" t="s">
        <v>1177</v>
      </c>
      <c r="Q68" s="1781">
        <f ca="1">C13</f>
        <v>131566</v>
      </c>
      <c r="R68" s="1782" t="s">
        <v>1100</v>
      </c>
    </row>
    <row r="69" spans="1:18">
      <c r="A69" s="1562" t="s">
        <v>764</v>
      </c>
      <c r="B69" s="1563" t="s">
        <v>1088</v>
      </c>
      <c r="C69" s="1564">
        <f ca="1">ROUND(C68*(1-((1+F71)/(1+F69))^F70)/(F69-F71),0)</f>
        <v>-332463</v>
      </c>
      <c r="D69" s="1630" t="s">
        <v>1066</v>
      </c>
      <c r="E69" s="1570" t="s">
        <v>1067</v>
      </c>
      <c r="F69" s="1578">
        <f>F40</f>
        <v>5.5E-2</v>
      </c>
      <c r="H69" s="1537"/>
      <c r="I69" s="1537"/>
      <c r="J69" s="1537"/>
      <c r="K69" s="1537"/>
      <c r="L69" s="1537"/>
      <c r="M69" s="1537"/>
      <c r="O69" s="1741" t="s">
        <v>1178</v>
      </c>
      <c r="P69" s="1787" t="s">
        <v>1179</v>
      </c>
      <c r="Q69" s="1783">
        <f>J35</f>
        <v>8.5000000000000006E-2</v>
      </c>
      <c r="R69" s="1782"/>
    </row>
    <row r="70" spans="1:18">
      <c r="A70" s="1576"/>
      <c r="B70" s="1573"/>
      <c r="C70" s="1574"/>
      <c r="D70" s="1641" t="s">
        <v>1070</v>
      </c>
      <c r="E70" s="1570" t="s">
        <v>1071</v>
      </c>
      <c r="F70" s="1643">
        <f>F41</f>
        <v>39</v>
      </c>
      <c r="H70" s="1537"/>
      <c r="I70" s="1537"/>
      <c r="J70" s="1537"/>
      <c r="K70" s="1537"/>
      <c r="L70" s="1537"/>
      <c r="M70" s="1537"/>
      <c r="O70" s="1741" t="s">
        <v>1116</v>
      </c>
      <c r="P70" s="1736" t="s">
        <v>1144</v>
      </c>
      <c r="Q70" s="1783">
        <f>L53</f>
        <v>0</v>
      </c>
      <c r="R70" s="1782"/>
    </row>
    <row r="71" spans="1:18" ht="19.5">
      <c r="A71" s="1589"/>
      <c r="B71" s="1645"/>
      <c r="C71" s="1598"/>
      <c r="D71" s="1632"/>
      <c r="E71" s="1570" t="s">
        <v>1074</v>
      </c>
      <c r="F71" s="1669"/>
      <c r="H71" s="1537"/>
      <c r="M71" s="1537"/>
      <c r="O71" s="1741" t="s">
        <v>1123</v>
      </c>
      <c r="P71" s="1736" t="s">
        <v>1147</v>
      </c>
      <c r="Q71" s="1781" t="e">
        <f>L59</f>
        <v>#DIV/0!</v>
      </c>
      <c r="R71" s="1782" t="s">
        <v>1148</v>
      </c>
    </row>
    <row r="72" spans="1:18">
      <c r="A72" s="1619" t="s">
        <v>1076</v>
      </c>
      <c r="B72" s="1646" t="s">
        <v>1091</v>
      </c>
      <c r="C72" s="1647">
        <f ca="1">ROUND(C69/F72,0)</f>
        <v>-6054</v>
      </c>
      <c r="D72" s="1648" t="s">
        <v>1092</v>
      </c>
      <c r="E72" s="1649" t="s">
        <v>1093</v>
      </c>
      <c r="F72" s="1650">
        <f>F43</f>
        <v>54.92</v>
      </c>
      <c r="O72" s="1741" t="s">
        <v>1180</v>
      </c>
      <c r="P72" s="1736" t="str">
        <f>K60</f>
        <v>建筑物剩余耐用年限下的土地年期修正系数Kn</v>
      </c>
      <c r="Q72" s="1781" t="e">
        <f>L60</f>
        <v>#DIV/0!</v>
      </c>
      <c r="R72" s="1782" t="s">
        <v>1151</v>
      </c>
    </row>
    <row r="73" spans="1:18">
      <c r="A73" s="1537"/>
      <c r="B73" s="1540"/>
      <c r="C73" s="1540"/>
      <c r="D73" s="1537"/>
      <c r="E73" s="1537"/>
      <c r="F73" s="1537"/>
      <c r="O73" s="1735" t="s">
        <v>944</v>
      </c>
      <c r="P73" s="1736" t="str">
        <f>IF(C2="元","收益价值(元)","收益价值(万元)")</f>
        <v>收益价值(元)</v>
      </c>
      <c r="Q73" s="1781">
        <f ca="1">ROUND(IF(C2="元",Q63+Q64,(Q63+Q64)/10000),0)</f>
        <v>1052996</v>
      </c>
      <c r="R73" s="1782" t="s">
        <v>1128</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浙江省杭州市房地产市场价值预评估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中粮粮油浙江有限公司</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 ca="1">CONCATENATE(项目基本情况!B3,"（注册号:",项目基本情况!C3,"）、",项目基本情况!D3,"（注册号:",项目基本情况!E3,")")</f>
        <v>吴薇（注册号:1419970001）、崔锴（注册号:1120100036)</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2999" t="s">
        <v>1181</v>
      </c>
      <c r="B1" s="3000"/>
      <c r="C1" s="3001"/>
      <c r="D1" s="3002">
        <f>SUM(I10,I15,I20,I21,I23)</f>
        <v>0</v>
      </c>
      <c r="E1" s="3002"/>
      <c r="F1" s="3002"/>
      <c r="G1" s="3002"/>
      <c r="H1" s="3002"/>
      <c r="I1" s="3003"/>
    </row>
    <row r="2" spans="1:9">
      <c r="A2" s="2988" t="s">
        <v>1182</v>
      </c>
      <c r="B2" s="2998" t="s">
        <v>1183</v>
      </c>
      <c r="C2" s="2998"/>
      <c r="D2" s="1505" t="s">
        <v>1184</v>
      </c>
      <c r="E2" s="1505" t="s">
        <v>1185</v>
      </c>
      <c r="F2" s="1505" t="s">
        <v>1186</v>
      </c>
      <c r="G2" s="1505" t="s">
        <v>1187</v>
      </c>
      <c r="H2" s="1505" t="s">
        <v>1188</v>
      </c>
      <c r="I2" s="1529" t="s">
        <v>1189</v>
      </c>
    </row>
    <row r="3" spans="1:9">
      <c r="A3" s="2988"/>
      <c r="B3" s="2998" t="s">
        <v>1190</v>
      </c>
      <c r="C3" s="2998"/>
      <c r="D3" s="1506"/>
      <c r="E3" s="1505"/>
      <c r="F3" s="1507"/>
      <c r="G3" s="1507"/>
      <c r="H3" s="1508"/>
      <c r="I3" s="1530">
        <f>ROUND(D3*E3*F3*G3*H3/10000,0)</f>
        <v>0</v>
      </c>
    </row>
    <row r="4" spans="1:9">
      <c r="A4" s="2988"/>
      <c r="B4" s="2998" t="s">
        <v>1191</v>
      </c>
      <c r="C4" s="2998"/>
      <c r="D4" s="1506"/>
      <c r="E4" s="1505"/>
      <c r="F4" s="1507"/>
      <c r="G4" s="1507"/>
      <c r="H4" s="1508"/>
      <c r="I4" s="1530">
        <f t="shared" ref="I4:I9" si="0">ROUND(D4*E4*F4*G4*H4/10000,0)</f>
        <v>0</v>
      </c>
    </row>
    <row r="5" spans="1:9">
      <c r="A5" s="2988"/>
      <c r="B5" s="2998" t="s">
        <v>1192</v>
      </c>
      <c r="C5" s="2998"/>
      <c r="D5" s="1506"/>
      <c r="E5" s="1505"/>
      <c r="F5" s="1507"/>
      <c r="G5" s="1507"/>
      <c r="H5" s="1508"/>
      <c r="I5" s="1530">
        <f t="shared" si="0"/>
        <v>0</v>
      </c>
    </row>
    <row r="6" spans="1:9">
      <c r="A6" s="2988"/>
      <c r="B6" s="2998" t="s">
        <v>1193</v>
      </c>
      <c r="C6" s="2998"/>
      <c r="D6" s="1506"/>
      <c r="E6" s="1505"/>
      <c r="F6" s="1507"/>
      <c r="G6" s="1507"/>
      <c r="H6" s="1508"/>
      <c r="I6" s="1530">
        <f t="shared" si="0"/>
        <v>0</v>
      </c>
    </row>
    <row r="7" spans="1:9">
      <c r="A7" s="2988"/>
      <c r="B7" s="2998" t="s">
        <v>1194</v>
      </c>
      <c r="C7" s="2998"/>
      <c r="D7" s="1506"/>
      <c r="E7" s="1505"/>
      <c r="F7" s="1507"/>
      <c r="G7" s="1507"/>
      <c r="H7" s="1508"/>
      <c r="I7" s="1530">
        <f t="shared" si="0"/>
        <v>0</v>
      </c>
    </row>
    <row r="8" spans="1:9">
      <c r="A8" s="2988"/>
      <c r="B8" s="2998" t="s">
        <v>1195</v>
      </c>
      <c r="C8" s="2998"/>
      <c r="D8" s="1506"/>
      <c r="E8" s="1505"/>
      <c r="F8" s="1507"/>
      <c r="G8" s="1507"/>
      <c r="H8" s="1508"/>
      <c r="I8" s="1530">
        <f t="shared" si="0"/>
        <v>0</v>
      </c>
    </row>
    <row r="9" spans="1:9">
      <c r="A9" s="2988"/>
      <c r="B9" s="2998" t="s">
        <v>1196</v>
      </c>
      <c r="C9" s="2998"/>
      <c r="D9" s="1506"/>
      <c r="E9" s="1505"/>
      <c r="F9" s="1507"/>
      <c r="G9" s="1507"/>
      <c r="H9" s="1508"/>
      <c r="I9" s="1530">
        <f t="shared" si="0"/>
        <v>0</v>
      </c>
    </row>
    <row r="10" spans="1:9">
      <c r="A10" s="2988"/>
      <c r="B10" s="2996" t="s">
        <v>445</v>
      </c>
      <c r="C10" s="2996"/>
      <c r="D10" s="1509">
        <v>527</v>
      </c>
      <c r="E10" s="1509" t="e">
        <f>ROUND(D1*10000/D10/H9,0)</f>
        <v>#DIV/0!</v>
      </c>
      <c r="F10" s="1510"/>
      <c r="G10" s="1510"/>
      <c r="H10" s="1511"/>
      <c r="I10" s="1531">
        <f>SUM(I3:I9)</f>
        <v>0</v>
      </c>
    </row>
    <row r="11" spans="1:9" ht="14.25">
      <c r="A11" s="2988" t="s">
        <v>1197</v>
      </c>
      <c r="B11" s="2998" t="s">
        <v>1198</v>
      </c>
      <c r="C11" s="2998"/>
      <c r="D11" s="1506" t="s">
        <v>1199</v>
      </c>
      <c r="E11" s="1506" t="s">
        <v>1200</v>
      </c>
      <c r="F11" s="1507" t="s">
        <v>1201</v>
      </c>
      <c r="G11" s="1507" t="s">
        <v>1188</v>
      </c>
      <c r="H11" s="1512" t="s">
        <v>121</v>
      </c>
      <c r="I11" s="1529" t="s">
        <v>1189</v>
      </c>
    </row>
    <row r="12" spans="1:9">
      <c r="A12" s="2988"/>
      <c r="B12" s="2998" t="s">
        <v>1202</v>
      </c>
      <c r="C12" s="2998"/>
      <c r="D12" s="1506"/>
      <c r="E12" s="1506"/>
      <c r="F12" s="1507"/>
      <c r="G12" s="1508"/>
      <c r="H12" s="1513"/>
      <c r="I12" s="1529">
        <f>ROUND(D12*E12*F12*G12/10000,0)</f>
        <v>0</v>
      </c>
    </row>
    <row r="13" spans="1:9">
      <c r="A13" s="2988"/>
      <c r="B13" s="2998" t="s">
        <v>1203</v>
      </c>
      <c r="C13" s="2998"/>
      <c r="D13" s="1506"/>
      <c r="E13" s="1506"/>
      <c r="F13" s="1507"/>
      <c r="G13" s="1508"/>
      <c r="H13" s="1513"/>
      <c r="I13" s="1529">
        <f>ROUND(D13*E13*F13*G13/10000,0)</f>
        <v>0</v>
      </c>
    </row>
    <row r="14" spans="1:9">
      <c r="A14" s="2988"/>
      <c r="B14" s="2998" t="s">
        <v>1204</v>
      </c>
      <c r="C14" s="2998"/>
      <c r="D14" s="1506"/>
      <c r="E14" s="1506"/>
      <c r="F14" s="1507"/>
      <c r="G14" s="1508"/>
      <c r="H14" s="1513"/>
      <c r="I14" s="1529">
        <f>ROUND(D14*E14*F14*G14/10000,0)</f>
        <v>0</v>
      </c>
    </row>
    <row r="15" spans="1:9">
      <c r="A15" s="2988"/>
      <c r="B15" s="2996" t="s">
        <v>445</v>
      </c>
      <c r="C15" s="2996"/>
      <c r="D15" s="1509"/>
      <c r="E15" s="1509">
        <f>SUM(E12:E14)</f>
        <v>0</v>
      </c>
      <c r="F15" s="1510"/>
      <c r="G15" s="1508"/>
      <c r="H15" s="1513"/>
      <c r="I15" s="1532">
        <f>SUM(I12:I14)</f>
        <v>0</v>
      </c>
    </row>
    <row r="16" spans="1:9" ht="24">
      <c r="A16" s="2988" t="s">
        <v>1205</v>
      </c>
      <c r="B16" s="2998" t="s">
        <v>1206</v>
      </c>
      <c r="C16" s="2998"/>
      <c r="D16" s="1506" t="s">
        <v>1184</v>
      </c>
      <c r="E16" s="1514" t="s">
        <v>1207</v>
      </c>
      <c r="F16" s="1507" t="s">
        <v>1208</v>
      </c>
      <c r="G16" s="1508" t="s">
        <v>1188</v>
      </c>
      <c r="H16" s="1512" t="s">
        <v>121</v>
      </c>
      <c r="I16" s="1529" t="s">
        <v>1189</v>
      </c>
    </row>
    <row r="17" spans="1:9" ht="14.25">
      <c r="A17" s="2988"/>
      <c r="B17" s="2998" t="s">
        <v>1209</v>
      </c>
      <c r="C17" s="2998"/>
      <c r="D17" s="1506"/>
      <c r="E17" s="1506"/>
      <c r="F17" s="1507"/>
      <c r="G17" s="1508"/>
      <c r="H17" s="1515"/>
      <c r="I17" s="1533">
        <f>ROUND(D17*E17*F17*G17/10000,0)</f>
        <v>0</v>
      </c>
    </row>
    <row r="18" spans="1:9" ht="14.25">
      <c r="A18" s="2988"/>
      <c r="B18" s="2998" t="s">
        <v>1210</v>
      </c>
      <c r="C18" s="2998"/>
      <c r="D18" s="1506"/>
      <c r="E18" s="1506"/>
      <c r="F18" s="1507"/>
      <c r="G18" s="1508"/>
      <c r="H18" s="1515"/>
      <c r="I18" s="1533">
        <f>ROUND(D18*E18*F18*G18/10000,0)</f>
        <v>0</v>
      </c>
    </row>
    <row r="19" spans="1:9" ht="14.25">
      <c r="A19" s="2988"/>
      <c r="B19" s="2998" t="s">
        <v>1211</v>
      </c>
      <c r="C19" s="2998"/>
      <c r="D19" s="1506"/>
      <c r="E19" s="1506"/>
      <c r="F19" s="1507"/>
      <c r="G19" s="1508"/>
      <c r="H19" s="1515"/>
      <c r="I19" s="1533">
        <f>ROUND(D19*E19*F19*G19/10000,0)</f>
        <v>0</v>
      </c>
    </row>
    <row r="20" spans="1:9">
      <c r="A20" s="2988"/>
      <c r="B20" s="2996" t="s">
        <v>445</v>
      </c>
      <c r="C20" s="2996"/>
      <c r="D20" s="1509">
        <f>SUM(D17:D19)</f>
        <v>0</v>
      </c>
      <c r="E20" s="1509"/>
      <c r="F20" s="1510"/>
      <c r="G20" s="1508"/>
      <c r="H20" s="1513"/>
      <c r="I20" s="1532">
        <f>SUM(I17:I19)</f>
        <v>0</v>
      </c>
    </row>
    <row r="21" spans="1:9">
      <c r="A21" s="2988" t="s">
        <v>1212</v>
      </c>
      <c r="B21" s="2997"/>
      <c r="C21" s="2997"/>
      <c r="D21" s="2997"/>
      <c r="E21" s="2997"/>
      <c r="F21" s="2997"/>
      <c r="G21" s="2997"/>
      <c r="H21" s="1516">
        <v>0.1</v>
      </c>
      <c r="I21" s="1531">
        <f>ROUND(I10*H21,0)</f>
        <v>0</v>
      </c>
    </row>
    <row r="22" spans="1:9" ht="14.25">
      <c r="A22" s="2989" t="s">
        <v>1213</v>
      </c>
      <c r="B22" s="2990"/>
      <c r="C22" s="2991"/>
      <c r="D22" s="1517" t="s">
        <v>441</v>
      </c>
      <c r="E22" s="1517" t="s">
        <v>1214</v>
      </c>
      <c r="F22" s="1518" t="s">
        <v>1188</v>
      </c>
      <c r="G22" s="1518" t="s">
        <v>1215</v>
      </c>
      <c r="H22" s="1512" t="s">
        <v>121</v>
      </c>
      <c r="I22" s="1529" t="s">
        <v>1189</v>
      </c>
    </row>
    <row r="23" spans="1:9">
      <c r="A23" s="2992"/>
      <c r="B23" s="2993"/>
      <c r="C23" s="2994"/>
      <c r="D23" s="1519"/>
      <c r="E23" s="1519"/>
      <c r="F23" s="1519"/>
      <c r="G23" s="1520"/>
      <c r="H23" s="1521"/>
      <c r="I23" s="1534">
        <f>ROUND(E23*D23*F23*(1-G23)/10000,0)</f>
        <v>0</v>
      </c>
    </row>
    <row r="26" spans="1:9">
      <c r="A26" s="1522" t="s">
        <v>1216</v>
      </c>
      <c r="B26" s="1522"/>
      <c r="C26" s="1522"/>
      <c r="D26" s="1522"/>
      <c r="E26" s="2987">
        <f>C27-C30-C31-C32</f>
        <v>0</v>
      </c>
      <c r="F26" s="2987"/>
      <c r="G26" s="2987"/>
      <c r="H26" s="1523" t="s">
        <v>1217</v>
      </c>
    </row>
    <row r="27" spans="1:9">
      <c r="A27" s="1524">
        <v>1</v>
      </c>
      <c r="B27" s="1525" t="s">
        <v>1218</v>
      </c>
      <c r="C27" s="1525">
        <f>C28+C29</f>
        <v>0</v>
      </c>
      <c r="D27" s="1525"/>
      <c r="E27" s="2983"/>
      <c r="F27" s="2983"/>
      <c r="G27" s="2983"/>
    </row>
    <row r="28" spans="1:9">
      <c r="A28" s="1526" t="s">
        <v>1219</v>
      </c>
      <c r="B28" s="1525" t="s">
        <v>1220</v>
      </c>
      <c r="C28" s="1525"/>
      <c r="D28" s="1525"/>
      <c r="E28" s="2983"/>
      <c r="F28" s="2983"/>
      <c r="G28" s="2983"/>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5"/>
      <c r="F32" s="2995"/>
      <c r="G32" s="2995"/>
    </row>
    <row r="33" spans="1:7" hidden="1">
      <c r="A33" s="2984" t="s">
        <v>1229</v>
      </c>
      <c r="B33" s="2985"/>
      <c r="C33" s="2985"/>
      <c r="D33" s="2986"/>
      <c r="E33" s="2987"/>
      <c r="F33" s="2987"/>
      <c r="G33" s="2987"/>
    </row>
    <row r="34" spans="1:7" hidden="1">
      <c r="A34" s="1528">
        <v>1</v>
      </c>
      <c r="B34" s="1525" t="s">
        <v>1230</v>
      </c>
      <c r="C34" s="1525"/>
      <c r="D34" s="1525"/>
      <c r="E34" s="2983"/>
      <c r="F34" s="2983"/>
      <c r="G34" s="2983"/>
    </row>
    <row r="35" spans="1:7" hidden="1">
      <c r="A35" s="1528">
        <v>2</v>
      </c>
      <c r="B35" s="1525" t="s">
        <v>1231</v>
      </c>
      <c r="C35" s="1525"/>
      <c r="D35" s="1525"/>
      <c r="E35" s="2983"/>
      <c r="F35" s="2983"/>
      <c r="G35" s="2983"/>
    </row>
    <row r="36" spans="1:7" hidden="1">
      <c r="A36" s="1528">
        <v>3</v>
      </c>
      <c r="B36" s="1525" t="s">
        <v>1232</v>
      </c>
      <c r="C36" s="1525"/>
      <c r="D36" s="1525"/>
      <c r="E36" s="2983"/>
      <c r="F36" s="2983"/>
      <c r="G36" s="2983"/>
    </row>
    <row r="37" spans="1:7" hidden="1">
      <c r="A37" s="1528">
        <v>4</v>
      </c>
      <c r="B37" s="1525" t="s">
        <v>1233</v>
      </c>
      <c r="C37" s="1525"/>
      <c r="D37" s="1525"/>
      <c r="E37" s="2983"/>
      <c r="F37" s="2983"/>
      <c r="G37" s="2983"/>
    </row>
    <row r="38" spans="1:7" hidden="1">
      <c r="A38" s="2984" t="s">
        <v>1234</v>
      </c>
      <c r="B38" s="2985"/>
      <c r="C38" s="2985"/>
      <c r="D38" s="2986"/>
      <c r="E38" s="2987"/>
      <c r="F38" s="2987"/>
      <c r="G38" s="298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1235</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830</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831</v>
      </c>
      <c r="B3" s="1376" t="e">
        <f>B24</f>
        <v>#DIV/0!</v>
      </c>
      <c r="C3" s="1377" t="s">
        <v>1236</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1237</v>
      </c>
      <c r="C4" s="3004" t="s">
        <v>1238</v>
      </c>
      <c r="D4" s="3005"/>
      <c r="E4" s="3005"/>
      <c r="F4" s="3005"/>
      <c r="G4" s="3005"/>
      <c r="H4" s="3005"/>
      <c r="I4" s="3005"/>
      <c r="J4" s="3005"/>
      <c r="K4" s="3005"/>
      <c r="L4" s="3005"/>
      <c r="M4" s="3005"/>
      <c r="N4" s="3005"/>
      <c r="O4" s="3005"/>
      <c r="P4" s="3005"/>
      <c r="Q4" s="3005"/>
      <c r="R4" s="3005"/>
      <c r="S4" s="3006"/>
      <c r="T4" s="1379" t="s">
        <v>1239</v>
      </c>
      <c r="U4" s="1458"/>
      <c r="V4" s="1458"/>
      <c r="X4" s="1458"/>
      <c r="Y4" s="1458"/>
    </row>
    <row r="5" spans="1:44" s="1364" customFormat="1">
      <c r="A5" s="1380"/>
      <c r="B5" s="1381" t="s">
        <v>362</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1240</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1241</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1242</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1243</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1244</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1245</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1246</v>
      </c>
      <c r="B20" s="1407" t="s">
        <v>1247</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1248</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1249</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1250</v>
      </c>
      <c r="B24" s="1417" t="e">
        <f>R25</f>
        <v>#DIV/0!</v>
      </c>
      <c r="C24" s="1374"/>
      <c r="D24" s="1375"/>
      <c r="E24" s="1375"/>
      <c r="F24" s="1375"/>
      <c r="G24" s="1375"/>
      <c r="H24" s="1375"/>
      <c r="I24" s="1375"/>
      <c r="J24" s="1375"/>
      <c r="K24" s="1375"/>
      <c r="L24" s="1375"/>
      <c r="M24" s="1375"/>
      <c r="N24" s="1375"/>
      <c r="O24" s="1375"/>
      <c r="P24" s="1375"/>
      <c r="Q24" s="1375"/>
      <c r="R24" s="1457"/>
      <c r="S24" s="1421" t="s">
        <v>1251</v>
      </c>
      <c r="T24" s="1422" t="s">
        <v>1252</v>
      </c>
      <c r="U24" s="1487" t="s">
        <v>1253</v>
      </c>
      <c r="V24" s="1488"/>
      <c r="W24" s="1489" t="s">
        <v>1254</v>
      </c>
      <c r="X24" s="1487" t="s">
        <v>1255</v>
      </c>
      <c r="Y24" s="1488"/>
      <c r="Z24" s="1501" t="s">
        <v>1254</v>
      </c>
    </row>
    <row r="25" spans="1:45">
      <c r="A25" s="1376" t="s">
        <v>1256</v>
      </c>
      <c r="B25" s="1421">
        <f>SUM(B27:B10000)</f>
        <v>0</v>
      </c>
      <c r="C25" s="3007" t="s">
        <v>121</v>
      </c>
      <c r="D25" s="3008"/>
      <c r="E25" s="3008"/>
      <c r="F25" s="3008"/>
      <c r="G25" s="3008"/>
      <c r="H25" s="3008"/>
      <c r="I25" s="3008"/>
      <c r="J25" s="3008"/>
      <c r="K25" s="3008"/>
      <c r="L25" s="3008"/>
      <c r="M25" s="3008"/>
      <c r="N25" s="3008"/>
      <c r="O25" s="3008"/>
      <c r="P25" s="3008"/>
      <c r="Q25" s="3009"/>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1257</v>
      </c>
      <c r="B26" s="1424" t="s">
        <v>362</v>
      </c>
      <c r="C26" s="1424" t="s">
        <v>1239</v>
      </c>
      <c r="D26" s="1424" t="str">
        <f>B8</f>
        <v>修正项2</v>
      </c>
      <c r="E26" s="1424" t="s">
        <v>1239</v>
      </c>
      <c r="F26" s="1424" t="str">
        <f>B10</f>
        <v>修正项3</v>
      </c>
      <c r="G26" s="1424" t="s">
        <v>1239</v>
      </c>
      <c r="H26" s="1424" t="str">
        <f>B12</f>
        <v>修正项4</v>
      </c>
      <c r="I26" s="1424" t="s">
        <v>1239</v>
      </c>
      <c r="J26" s="1424" t="str">
        <f>B14</f>
        <v>修正项5</v>
      </c>
      <c r="K26" s="1424" t="s">
        <v>1239</v>
      </c>
      <c r="L26" s="1424" t="str">
        <f>B16</f>
        <v>修正项6</v>
      </c>
      <c r="M26" s="1424" t="s">
        <v>1239</v>
      </c>
      <c r="N26" s="1424" t="str">
        <f>B18</f>
        <v>修正项7</v>
      </c>
      <c r="O26" s="1424" t="s">
        <v>1239</v>
      </c>
      <c r="P26" s="1424" t="str">
        <f>B20</f>
        <v>楼层</v>
      </c>
      <c r="Q26" s="1424" t="s">
        <v>1239</v>
      </c>
      <c r="R26" s="1492" t="s">
        <v>1258</v>
      </c>
      <c r="S26" s="1424" t="s">
        <v>1259</v>
      </c>
      <c r="T26" s="1424" t="s">
        <v>1259</v>
      </c>
      <c r="U26" s="1493" t="s">
        <v>1260</v>
      </c>
      <c r="V26" s="1494" t="s">
        <v>1261</v>
      </c>
      <c r="W26" s="1495" t="s">
        <v>1262</v>
      </c>
      <c r="X26" s="1493" t="s">
        <v>1260</v>
      </c>
      <c r="Y26" s="1494" t="s">
        <v>1261</v>
      </c>
      <c r="Z26" s="1495" t="s">
        <v>1262</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1263</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74"/>
  <sheetViews>
    <sheetView topLeftCell="A25" zoomScale="90" zoomScaleNormal="90" workbookViewId="0">
      <selection activeCell="M27" sqref="M27"/>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1265</v>
      </c>
      <c r="C1" s="1235" t="s">
        <v>97</v>
      </c>
      <c r="D1" s="1285"/>
      <c r="E1" s="1081" t="s">
        <v>1266</v>
      </c>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830</v>
      </c>
      <c r="B2" s="1084">
        <f>IF(D2="——",IF(C2="元",ROUND(C49*D3,0),ROUND(C49*D3/10000,0)),IF(C2="元",ROUND(C49*D3,0),ROUND(C49*D3/10000,0))-E2)</f>
        <v>3255383</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831</v>
      </c>
      <c r="B3" s="1091">
        <f>ROUND(IF(D2="——",C49,IF(C2="万元",B2*10000/D3,B2/D3)),0)</f>
        <v>59275</v>
      </c>
      <c r="C3" s="1090" t="s">
        <v>1268</v>
      </c>
      <c r="D3" s="1091">
        <f>IF(C1="仅计算典型户型",'数据-取费表'!E5,'数据-取费表'!B5)</f>
        <v>54.92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1269</v>
      </c>
      <c r="B4" s="725"/>
      <c r="C4" s="3050" t="s">
        <v>1270</v>
      </c>
      <c r="D4" s="3051"/>
      <c r="E4" s="3052" t="s">
        <v>1271</v>
      </c>
      <c r="F4" s="3053"/>
      <c r="G4" s="3050" t="s">
        <v>1272</v>
      </c>
      <c r="H4" s="3051"/>
      <c r="I4" s="3050" t="s">
        <v>1273</v>
      </c>
      <c r="J4" s="3051"/>
      <c r="K4" s="130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0" t="s">
        <v>1272</v>
      </c>
      <c r="AC4" s="3010" t="s">
        <v>1273</v>
      </c>
    </row>
    <row r="5" spans="1:29" ht="15">
      <c r="A5" s="726"/>
      <c r="B5" s="727"/>
      <c r="C5" s="3054" t="s">
        <v>1276</v>
      </c>
      <c r="D5" s="3055"/>
      <c r="E5" s="3056" t="s">
        <v>1277</v>
      </c>
      <c r="F5" s="3057"/>
      <c r="G5" s="3054" t="s">
        <v>1278</v>
      </c>
      <c r="H5" s="3055"/>
      <c r="I5" s="3054" t="s">
        <v>1279</v>
      </c>
      <c r="J5" s="3055"/>
      <c r="K5" s="1302"/>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1302"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v>43675</v>
      </c>
      <c r="F7" s="735">
        <f>SUMIF(58:58,YEAR(E7)&amp;"-"&amp;MONTH(E7),59:59)</f>
        <v>100</v>
      </c>
      <c r="G7" s="734">
        <v>43642</v>
      </c>
      <c r="H7" s="733">
        <f>SUMIF(58:58,YEAR(G7)&amp;"-"&amp;MONTH(G7),59:59)</f>
        <v>99</v>
      </c>
      <c r="I7" s="734">
        <v>43640</v>
      </c>
      <c r="J7" s="733">
        <f>SUMIF(58:58,YEAR(I7)&amp;"-"&amp;MONTH(I7),59:59)</f>
        <v>99</v>
      </c>
      <c r="K7" s="1303"/>
      <c r="L7" s="865"/>
      <c r="M7" s="866"/>
      <c r="N7" s="866"/>
      <c r="O7" s="866"/>
      <c r="P7" s="3033" t="s">
        <v>1283</v>
      </c>
      <c r="Q7" s="3049"/>
      <c r="R7" s="902" t="s">
        <v>1284</v>
      </c>
      <c r="S7" s="903">
        <f t="shared" ref="S7:S15" si="0">F7</f>
        <v>100</v>
      </c>
      <c r="T7" s="902" t="s">
        <v>1284</v>
      </c>
      <c r="U7" s="903">
        <f t="shared" ref="U7:U15" si="1">H7</f>
        <v>99</v>
      </c>
      <c r="V7" s="902" t="s">
        <v>1284</v>
      </c>
      <c r="W7" s="903">
        <f t="shared" ref="W7:W15" si="2">J7</f>
        <v>99</v>
      </c>
      <c r="X7" s="904"/>
      <c r="Y7" s="3033" t="s">
        <v>1283</v>
      </c>
      <c r="Z7" s="3034"/>
      <c r="AA7" s="915">
        <f>D7/F7</f>
        <v>1</v>
      </c>
      <c r="AB7" s="915">
        <f>D7/H7</f>
        <v>1.0101010101010102</v>
      </c>
      <c r="AC7" s="915">
        <f>D7/J7</f>
        <v>1.0101010101010102</v>
      </c>
    </row>
    <row r="8" spans="1:29" s="705" customFormat="1" ht="15">
      <c r="A8" s="730" t="s">
        <v>1285</v>
      </c>
      <c r="B8" s="731"/>
      <c r="C8" s="737" t="s">
        <v>1286</v>
      </c>
      <c r="D8" s="733">
        <v>100</v>
      </c>
      <c r="E8" s="1288" t="s">
        <v>1287</v>
      </c>
      <c r="F8" s="735">
        <f>SUMIF(61:61,E8,62:62)-SUMIF(61:61,C8,62:62)+100</f>
        <v>100</v>
      </c>
      <c r="G8" s="737" t="s">
        <v>1287</v>
      </c>
      <c r="H8" s="733">
        <f>SUMIF(61:61,G8,62:62)-SUMIF(61:61,C8,62:62)+100</f>
        <v>100</v>
      </c>
      <c r="I8" s="1288" t="s">
        <v>1287</v>
      </c>
      <c r="J8" s="733">
        <f>SUMIF(61:61,I8,62:62)-SUMIF(61:61,C8,62:62)+100</f>
        <v>100</v>
      </c>
      <c r="K8" s="1303"/>
      <c r="L8" s="865"/>
      <c r="M8" s="866"/>
      <c r="N8" s="866"/>
      <c r="O8" s="866"/>
      <c r="P8" s="3033" t="s">
        <v>1288</v>
      </c>
      <c r="Q8" s="3034"/>
      <c r="R8" s="902" t="s">
        <v>1284</v>
      </c>
      <c r="S8" s="903">
        <f t="shared" si="0"/>
        <v>100</v>
      </c>
      <c r="T8" s="902" t="s">
        <v>1284</v>
      </c>
      <c r="U8" s="903">
        <f t="shared" si="1"/>
        <v>100</v>
      </c>
      <c r="V8" s="902" t="s">
        <v>1284</v>
      </c>
      <c r="W8" s="903">
        <f t="shared" si="2"/>
        <v>100</v>
      </c>
      <c r="X8" s="904"/>
      <c r="Y8" s="3033" t="s">
        <v>1288</v>
      </c>
      <c r="Z8" s="3034"/>
      <c r="AA8" s="915">
        <f t="shared" ref="AA8:AA46" si="3">D8/F8</f>
        <v>1</v>
      </c>
      <c r="AB8" s="915">
        <f t="shared" ref="AB8:AB46" si="4">D8/H8</f>
        <v>1</v>
      </c>
      <c r="AC8" s="915">
        <f t="shared" ref="AC8:AC46" si="5">D8/J8</f>
        <v>1</v>
      </c>
    </row>
    <row r="9" spans="1:29" s="705" customFormat="1">
      <c r="A9" s="738" t="s">
        <v>1289</v>
      </c>
      <c r="B9" s="739" t="s">
        <v>1290</v>
      </c>
      <c r="C9" s="1289" t="s">
        <v>369</v>
      </c>
      <c r="D9" s="741">
        <v>100</v>
      </c>
      <c r="E9" s="1165" t="s">
        <v>369</v>
      </c>
      <c r="F9" s="1261">
        <f>SUMIF(63:63,E9,64:64)-SUMIF(63:63,C9,64:64)+100</f>
        <v>100</v>
      </c>
      <c r="G9" s="1093" t="s">
        <v>369</v>
      </c>
      <c r="H9" s="741">
        <f>SUMIF(63:63,G9,64:64)-SUMIF(63:63,C9,64:64)+100</f>
        <v>100</v>
      </c>
      <c r="I9" s="1093" t="s">
        <v>369</v>
      </c>
      <c r="J9" s="741">
        <f>SUMIF(63:63,I9,64:64)-SUMIF(63:63,C9,64:64)+100</f>
        <v>100</v>
      </c>
      <c r="K9" s="1303"/>
      <c r="L9" s="865"/>
      <c r="M9" s="866"/>
      <c r="N9" s="866"/>
      <c r="O9" s="866"/>
      <c r="P9" s="3035"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t="s">
        <v>1294</v>
      </c>
      <c r="D10" s="745">
        <v>100</v>
      </c>
      <c r="E10" s="1094" t="s">
        <v>1294</v>
      </c>
      <c r="F10" s="1242">
        <f>SUMIF(65:65,E10,66:66)-SUMIF(65:65,C10,66:66)+100</f>
        <v>100</v>
      </c>
      <c r="G10" s="1094" t="s">
        <v>1294</v>
      </c>
      <c r="H10" s="745">
        <f>SUMIF(65:65,G10,66:66)-SUMIF(65:65,C10,66:66)+100</f>
        <v>100</v>
      </c>
      <c r="I10" s="1094" t="s">
        <v>1294</v>
      </c>
      <c r="J10" s="745">
        <f>SUMIF(65:65,I10,66:66)-SUMIF(65:65,C10,66:66)+100</f>
        <v>100</v>
      </c>
      <c r="K10" s="1304">
        <v>1</v>
      </c>
      <c r="L10" s="869"/>
      <c r="M10" s="870"/>
      <c r="N10" s="870"/>
      <c r="O10" s="870"/>
      <c r="P10" s="3035"/>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35"/>
      <c r="Q11" s="905" t="str">
        <f t="shared" si="6"/>
        <v>容积率</v>
      </c>
      <c r="R11" s="902" t="s">
        <v>1284</v>
      </c>
      <c r="S11" s="903">
        <f t="shared" si="0"/>
        <v>100</v>
      </c>
      <c r="T11" s="902" t="s">
        <v>1284</v>
      </c>
      <c r="U11" s="903">
        <f t="shared" si="1"/>
        <v>100</v>
      </c>
      <c r="V11" s="902" t="s">
        <v>1284</v>
      </c>
      <c r="W11" s="903">
        <f t="shared" si="2"/>
        <v>100</v>
      </c>
      <c r="X11" s="904"/>
      <c r="Y11" s="2852"/>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35"/>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35"/>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35"/>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99.75">
      <c r="A15" s="760" t="s">
        <v>1296</v>
      </c>
      <c r="B15" s="1097" t="s">
        <v>207</v>
      </c>
      <c r="C15" s="1262" t="str">
        <f>估价对象房地状况!C3</f>
        <v>估价对象周边居住用地比例、居住小区规模和社区发展完善程度，综合评价居住社区成熟度一般</v>
      </c>
      <c r="D15" s="763">
        <v>100</v>
      </c>
      <c r="E15" s="764"/>
      <c r="F15" s="1098">
        <f>SUMIF(76:76,E16,77:77)-SUMIF(76:76,C16,77:77)+100</f>
        <v>100</v>
      </c>
      <c r="G15" s="876"/>
      <c r="H15" s="763">
        <f>SUMIF(76:76,G16,77:77)-SUMIF(76:76,C16,77:77)+100</f>
        <v>100</v>
      </c>
      <c r="I15" s="764"/>
      <c r="J15" s="763">
        <f>SUMIF(76:76,I16,77:77)-SUMIF(76:76,C16,77:77)+100</f>
        <v>100</v>
      </c>
      <c r="K15" s="1306">
        <v>2</v>
      </c>
      <c r="L15" s="875"/>
      <c r="M15" s="863"/>
      <c r="N15" s="863"/>
      <c r="O15" s="863"/>
      <c r="P15" s="3036" t="s">
        <v>1297</v>
      </c>
      <c r="Q15" s="494" t="str">
        <f t="shared" si="6"/>
        <v>居住社区成熟度</v>
      </c>
      <c r="R15" s="906" t="s">
        <v>1284</v>
      </c>
      <c r="S15" s="907">
        <f t="shared" si="0"/>
        <v>100</v>
      </c>
      <c r="T15" s="906" t="s">
        <v>1284</v>
      </c>
      <c r="U15" s="907">
        <f t="shared" si="1"/>
        <v>100</v>
      </c>
      <c r="V15" s="906" t="s">
        <v>1284</v>
      </c>
      <c r="W15" s="907">
        <f t="shared" si="2"/>
        <v>100</v>
      </c>
      <c r="X15" s="900"/>
      <c r="Y15" s="3041" t="s">
        <v>1297</v>
      </c>
      <c r="Z15" s="835" t="str">
        <f t="shared" si="7"/>
        <v>居住社区成熟度</v>
      </c>
      <c r="AA15" s="917">
        <f t="shared" si="3"/>
        <v>1</v>
      </c>
      <c r="AB15" s="917">
        <f t="shared" si="4"/>
        <v>1</v>
      </c>
      <c r="AC15" s="917">
        <f t="shared" si="5"/>
        <v>1</v>
      </c>
    </row>
    <row r="16" spans="1:29" ht="15">
      <c r="A16" s="746"/>
      <c r="B16" s="1099"/>
      <c r="C16" s="766" t="s">
        <v>1298</v>
      </c>
      <c r="D16" s="767"/>
      <c r="E16" s="766" t="s">
        <v>1298</v>
      </c>
      <c r="F16" s="1100"/>
      <c r="G16" s="766" t="s">
        <v>1298</v>
      </c>
      <c r="H16" s="769"/>
      <c r="I16" s="766" t="s">
        <v>1298</v>
      </c>
      <c r="J16" s="767"/>
      <c r="K16" s="1307"/>
      <c r="L16" s="875"/>
      <c r="M16" s="863"/>
      <c r="N16" s="863"/>
      <c r="O16" s="863"/>
      <c r="P16" s="3037"/>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306">
        <v>2</v>
      </c>
      <c r="L17" s="875"/>
      <c r="M17" s="863"/>
      <c r="N17" s="863"/>
      <c r="O17" s="863"/>
      <c r="P17" s="3037"/>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t="s">
        <v>1298</v>
      </c>
      <c r="D18" s="769"/>
      <c r="E18" s="766" t="s">
        <v>1298</v>
      </c>
      <c r="F18" s="1101"/>
      <c r="G18" s="766" t="s">
        <v>1298</v>
      </c>
      <c r="H18" s="767"/>
      <c r="I18" s="766" t="s">
        <v>1298</v>
      </c>
      <c r="J18" s="767"/>
      <c r="K18" s="1307"/>
      <c r="L18" s="875"/>
      <c r="M18" s="863"/>
      <c r="N18" s="863"/>
      <c r="O18" s="863"/>
      <c r="P18" s="3037"/>
      <c r="Q18" s="494"/>
      <c r="R18" s="906"/>
      <c r="S18" s="907"/>
      <c r="T18" s="906"/>
      <c r="U18" s="907"/>
      <c r="V18" s="906"/>
      <c r="W18" s="907"/>
      <c r="X18" s="900"/>
      <c r="Y18" s="3042"/>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306">
        <v>2</v>
      </c>
      <c r="L19" s="875"/>
      <c r="M19" s="863"/>
      <c r="N19" s="863"/>
      <c r="O19" s="863"/>
      <c r="P19" s="3037"/>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95"/>
      <c r="C20" s="766" t="s">
        <v>1298</v>
      </c>
      <c r="D20" s="767"/>
      <c r="E20" s="766" t="s">
        <v>1298</v>
      </c>
      <c r="F20" s="1100"/>
      <c r="G20" s="766" t="s">
        <v>1298</v>
      </c>
      <c r="H20" s="767"/>
      <c r="I20" s="766" t="s">
        <v>1298</v>
      </c>
      <c r="J20" s="767"/>
      <c r="K20" s="1307"/>
      <c r="L20" s="875"/>
      <c r="M20" s="863"/>
      <c r="N20" s="863"/>
      <c r="O20" s="863"/>
      <c r="P20" s="3037"/>
      <c r="Q20" s="494"/>
      <c r="R20" s="906"/>
      <c r="S20" s="907"/>
      <c r="T20" s="906"/>
      <c r="U20" s="907"/>
      <c r="V20" s="906"/>
      <c r="W20" s="907"/>
      <c r="X20" s="900"/>
      <c r="Y20" s="3042"/>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306">
        <v>2</v>
      </c>
      <c r="L21" s="875"/>
      <c r="M21" s="863"/>
      <c r="N21" s="863"/>
      <c r="O21" s="863"/>
      <c r="P21" s="3037"/>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t="s">
        <v>1299</v>
      </c>
      <c r="D22" s="767"/>
      <c r="E22" s="1102" t="s">
        <v>1299</v>
      </c>
      <c r="F22" s="1100"/>
      <c r="G22" s="1102" t="s">
        <v>1299</v>
      </c>
      <c r="H22" s="767"/>
      <c r="I22" s="1102" t="s">
        <v>1299</v>
      </c>
      <c r="J22" s="767"/>
      <c r="K22" s="1308"/>
      <c r="L22" s="875"/>
      <c r="M22" s="863"/>
      <c r="N22" s="863"/>
      <c r="O22" s="863"/>
      <c r="P22" s="3037"/>
      <c r="Q22" s="494"/>
      <c r="R22" s="906"/>
      <c r="S22" s="907"/>
      <c r="T22" s="906"/>
      <c r="U22" s="907"/>
      <c r="V22" s="906"/>
      <c r="W22" s="907"/>
      <c r="X22" s="900"/>
      <c r="Y22" s="3042"/>
      <c r="Z22" s="835"/>
      <c r="AA22" s="917">
        <v>1</v>
      </c>
      <c r="AB22" s="917">
        <v>1</v>
      </c>
      <c r="AC22" s="917">
        <v>1</v>
      </c>
    </row>
    <row r="23" spans="1:29" ht="57">
      <c r="A23" s="746"/>
      <c r="B23" s="1103" t="s">
        <v>570</v>
      </c>
      <c r="C23" s="771"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306">
        <v>2</v>
      </c>
      <c r="L23" s="875"/>
      <c r="M23" s="863"/>
      <c r="N23" s="863"/>
      <c r="O23" s="863"/>
      <c r="P23" s="3037"/>
      <c r="Q23" s="494" t="str">
        <f>B23</f>
        <v>自然及人文环境</v>
      </c>
      <c r="R23" s="906" t="s">
        <v>1284</v>
      </c>
      <c r="S23" s="907">
        <f>F23</f>
        <v>100</v>
      </c>
      <c r="T23" s="906" t="s">
        <v>1284</v>
      </c>
      <c r="U23" s="907">
        <f>H23</f>
        <v>100</v>
      </c>
      <c r="V23" s="906" t="s">
        <v>1284</v>
      </c>
      <c r="W23" s="907">
        <f>J23</f>
        <v>100</v>
      </c>
      <c r="X23" s="900"/>
      <c r="Y23" s="3042"/>
      <c r="Z23" s="835" t="str">
        <f>Q23</f>
        <v>自然及人文环境</v>
      </c>
      <c r="AA23" s="917">
        <f t="shared" si="3"/>
        <v>1</v>
      </c>
      <c r="AB23" s="917">
        <f t="shared" si="4"/>
        <v>1</v>
      </c>
      <c r="AC23" s="917">
        <f t="shared" si="5"/>
        <v>1</v>
      </c>
    </row>
    <row r="24" spans="1:29" ht="15">
      <c r="A24" s="746"/>
      <c r="B24" s="795"/>
      <c r="C24" s="766" t="s">
        <v>1298</v>
      </c>
      <c r="D24" s="767"/>
      <c r="E24" s="766" t="s">
        <v>1298</v>
      </c>
      <c r="F24" s="1100"/>
      <c r="G24" s="766" t="s">
        <v>1298</v>
      </c>
      <c r="H24" s="767"/>
      <c r="I24" s="766" t="s">
        <v>1298</v>
      </c>
      <c r="J24" s="767"/>
      <c r="K24" s="1307"/>
      <c r="L24" s="875"/>
      <c r="M24" s="863"/>
      <c r="N24" s="863"/>
      <c r="O24" s="863"/>
      <c r="P24" s="3037"/>
      <c r="Q24" s="494"/>
      <c r="R24" s="906"/>
      <c r="S24" s="907"/>
      <c r="T24" s="906"/>
      <c r="U24" s="907"/>
      <c r="V24" s="906"/>
      <c r="W24" s="907"/>
      <c r="X24" s="900"/>
      <c r="Y24" s="3042"/>
      <c r="Z24" s="835"/>
      <c r="AA24" s="917">
        <v>1</v>
      </c>
      <c r="AB24" s="917">
        <v>1</v>
      </c>
      <c r="AC24" s="917">
        <v>1</v>
      </c>
    </row>
    <row r="25" spans="1:29" ht="15">
      <c r="A25" s="746"/>
      <c r="B25" s="743" t="s">
        <v>1300</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37"/>
      <c r="Q25" s="494" t="str">
        <f t="shared" ref="Q25:Q46" si="11">B25</f>
        <v>楼层-1</v>
      </c>
      <c r="R25" s="906" t="s">
        <v>1284</v>
      </c>
      <c r="S25" s="907">
        <f>F25</f>
        <v>100</v>
      </c>
      <c r="T25" s="906" t="s">
        <v>1284</v>
      </c>
      <c r="U25" s="907">
        <f>H25</f>
        <v>100</v>
      </c>
      <c r="V25" s="906" t="s">
        <v>1284</v>
      </c>
      <c r="W25" s="907">
        <f>J25</f>
        <v>100</v>
      </c>
      <c r="X25" s="900"/>
      <c r="Y25" s="3042"/>
      <c r="Z25" s="835" t="str">
        <f>Q25</f>
        <v>楼层-1</v>
      </c>
      <c r="AA25" s="917">
        <f t="shared" si="3"/>
        <v>1</v>
      </c>
      <c r="AB25" s="917">
        <f t="shared" si="4"/>
        <v>1</v>
      </c>
      <c r="AC25" s="917">
        <f t="shared" si="5"/>
        <v>1</v>
      </c>
    </row>
    <row r="26" spans="1:29" ht="15">
      <c r="A26" s="746"/>
      <c r="B26" s="743" t="s">
        <v>1301</v>
      </c>
      <c r="C26" s="1115" t="s">
        <v>2360</v>
      </c>
      <c r="D26" s="755">
        <v>100</v>
      </c>
      <c r="E26" s="1290" t="s">
        <v>2360</v>
      </c>
      <c r="F26" s="1105">
        <f>SUMIF(88:88,E26,89:89)-SUMIF(88:88,C26,89:89)+100</f>
        <v>100</v>
      </c>
      <c r="G26" s="798" t="s">
        <v>2358</v>
      </c>
      <c r="H26" s="755">
        <f>SUMIF(88:88,G26,89:89)-SUMIF(88:88,C26,89:89)+100</f>
        <v>100.5</v>
      </c>
      <c r="I26" s="798" t="s">
        <v>2358</v>
      </c>
      <c r="J26" s="755">
        <f>SUMIF(88:88,I26,89:89)-SUMIF(88:88,C26,89:89)+100</f>
        <v>100.5</v>
      </c>
      <c r="K26" s="1304">
        <v>0.5</v>
      </c>
      <c r="L26" s="875"/>
      <c r="M26" s="863"/>
      <c r="N26" s="863"/>
      <c r="O26" s="863"/>
      <c r="P26" s="3037"/>
      <c r="Q26" s="494" t="str">
        <f t="shared" si="11"/>
        <v>朝向</v>
      </c>
      <c r="R26" s="906" t="s">
        <v>1284</v>
      </c>
      <c r="S26" s="907">
        <f>F26</f>
        <v>100</v>
      </c>
      <c r="T26" s="906" t="s">
        <v>1284</v>
      </c>
      <c r="U26" s="907">
        <f>H26</f>
        <v>100.5</v>
      </c>
      <c r="V26" s="906" t="s">
        <v>1284</v>
      </c>
      <c r="W26" s="907">
        <f>J26</f>
        <v>100.5</v>
      </c>
      <c r="X26" s="900"/>
      <c r="Y26" s="3042"/>
      <c r="Z26" s="835" t="str">
        <f>Q26</f>
        <v>朝向</v>
      </c>
      <c r="AA26" s="917">
        <f t="shared" si="3"/>
        <v>1</v>
      </c>
      <c r="AB26" s="917">
        <f t="shared" si="4"/>
        <v>0.99502487562189057</v>
      </c>
      <c r="AC26" s="917">
        <f t="shared" si="5"/>
        <v>0.99502487562189057</v>
      </c>
    </row>
    <row r="27" spans="1:29" s="705" customFormat="1" ht="15">
      <c r="A27" s="749"/>
      <c r="B27" s="750" t="s">
        <v>1302</v>
      </c>
      <c r="C27" s="1291" t="s">
        <v>1303</v>
      </c>
      <c r="D27" s="1240">
        <v>100</v>
      </c>
      <c r="E27" s="1291" t="s">
        <v>1303</v>
      </c>
      <c r="F27" s="1241">
        <f>SUMIF(90:90,E27,91:91)-SUMIF(90:90,C27,91:91)+100</f>
        <v>100</v>
      </c>
      <c r="G27" s="1291" t="s">
        <v>1303</v>
      </c>
      <c r="H27" s="1240">
        <f>SUMIF(90:90,G27,91:91)-SUMIF(90:90,C27,91:91)+100</f>
        <v>100</v>
      </c>
      <c r="I27" s="1291" t="s">
        <v>1303</v>
      </c>
      <c r="J27" s="1240">
        <f>SUMIF(90:90,I27,91:91)-SUMIF(90:90,C27,91:91)+100</f>
        <v>100</v>
      </c>
      <c r="K27" s="1305"/>
      <c r="L27" s="865"/>
      <c r="M27" s="866"/>
      <c r="N27" s="866"/>
      <c r="O27" s="866"/>
      <c r="P27" s="3037"/>
      <c r="Q27" s="905" t="str">
        <f t="shared" si="11"/>
        <v>道路级别</v>
      </c>
      <c r="R27" s="902" t="s">
        <v>1284</v>
      </c>
      <c r="S27" s="903">
        <f>F27</f>
        <v>100</v>
      </c>
      <c r="T27" s="902" t="s">
        <v>1284</v>
      </c>
      <c r="U27" s="903">
        <f>H27</f>
        <v>100</v>
      </c>
      <c r="V27" s="902" t="s">
        <v>1284</v>
      </c>
      <c r="W27" s="903">
        <f>J27</f>
        <v>100</v>
      </c>
      <c r="X27" s="904"/>
      <c r="Y27" s="3042"/>
      <c r="Z27" s="916" t="str">
        <f>Q27</f>
        <v>道路级别</v>
      </c>
      <c r="AA27" s="917">
        <f t="shared" si="3"/>
        <v>1</v>
      </c>
      <c r="AB27" s="917">
        <f t="shared" si="4"/>
        <v>1</v>
      </c>
      <c r="AC27" s="917">
        <f t="shared" si="5"/>
        <v>1</v>
      </c>
    </row>
    <row r="28" spans="1:29" ht="15">
      <c r="A28" s="746"/>
      <c r="B28" s="1292" t="s">
        <v>1304</v>
      </c>
      <c r="C28" s="1293" t="s">
        <v>1305</v>
      </c>
      <c r="D28" s="755">
        <v>100</v>
      </c>
      <c r="E28" s="1293" t="s">
        <v>1306</v>
      </c>
      <c r="F28" s="1105">
        <f>SUMIF(92:92,E28,93:93)-SUMIF(92:92,C28,93:93)+100</f>
        <v>101</v>
      </c>
      <c r="G28" s="1293" t="s">
        <v>1306</v>
      </c>
      <c r="H28" s="755">
        <f>SUMIF(92:92,G28,93:93)-SUMIF(92:92,C28,93:93)+100</f>
        <v>101</v>
      </c>
      <c r="I28" s="1293" t="s">
        <v>1307</v>
      </c>
      <c r="J28" s="755">
        <f>SUMIF(92:92,I28,93:93)-SUMIF(92:92,C28,93:93)+100</f>
        <v>102</v>
      </c>
      <c r="K28" s="1305"/>
      <c r="L28" s="875"/>
      <c r="M28" s="863"/>
      <c r="N28" s="863"/>
      <c r="O28" s="863"/>
      <c r="P28" s="3037"/>
      <c r="Q28" s="494" t="str">
        <f t="shared" si="11"/>
        <v>楼层</v>
      </c>
      <c r="R28" s="906" t="s">
        <v>1284</v>
      </c>
      <c r="S28" s="907">
        <f t="shared" ref="S28:S46" si="12">F28</f>
        <v>101</v>
      </c>
      <c r="T28" s="906" t="s">
        <v>1284</v>
      </c>
      <c r="U28" s="907">
        <f t="shared" ref="U28:U46" si="13">H28</f>
        <v>101</v>
      </c>
      <c r="V28" s="906" t="s">
        <v>1284</v>
      </c>
      <c r="W28" s="907">
        <f t="shared" ref="W28:W46" si="14">J28</f>
        <v>102</v>
      </c>
      <c r="X28" s="900"/>
      <c r="Y28" s="3042"/>
      <c r="Z28" s="835" t="str">
        <f t="shared" ref="Z28:Z46" si="15">Q28</f>
        <v>楼层</v>
      </c>
      <c r="AA28" s="917">
        <f t="shared" si="3"/>
        <v>0.99009900990098998</v>
      </c>
      <c r="AB28" s="917">
        <f t="shared" si="4"/>
        <v>0.99009900990098998</v>
      </c>
      <c r="AC28" s="917">
        <f t="shared" si="5"/>
        <v>0.98039215686274495</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37"/>
      <c r="Q29" s="494">
        <f t="shared" si="11"/>
        <v>111</v>
      </c>
      <c r="R29" s="906" t="s">
        <v>1284</v>
      </c>
      <c r="S29" s="907">
        <f t="shared" si="12"/>
        <v>100</v>
      </c>
      <c r="T29" s="906" t="s">
        <v>1284</v>
      </c>
      <c r="U29" s="907">
        <f t="shared" si="13"/>
        <v>100</v>
      </c>
      <c r="V29" s="906" t="s">
        <v>1284</v>
      </c>
      <c r="W29" s="907">
        <f t="shared" si="14"/>
        <v>100</v>
      </c>
      <c r="X29" s="900"/>
      <c r="Y29" s="3042"/>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37"/>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37"/>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60" t="s">
        <v>1308</v>
      </c>
      <c r="B32" s="739" t="s">
        <v>1309</v>
      </c>
      <c r="C32" s="1264" t="s">
        <v>1310</v>
      </c>
      <c r="D32" s="797">
        <v>100</v>
      </c>
      <c r="E32" s="1294" t="s">
        <v>1310</v>
      </c>
      <c r="F32" s="1105">
        <f>SUMIF(100:100,E32,101:101)-SUMIF(100:100,C32,101:101)+100</f>
        <v>100</v>
      </c>
      <c r="G32" s="1264" t="s">
        <v>1310</v>
      </c>
      <c r="H32" s="797">
        <f>SUMIF(100:100,G32,101:101)-SUMIF(100:100,C32,101:101)+100</f>
        <v>100</v>
      </c>
      <c r="I32" s="1294" t="s">
        <v>1310</v>
      </c>
      <c r="J32" s="755">
        <f>SUMIF(100:100,I32,101:101)-SUMIF(100:100,C32,101:101)+100</f>
        <v>100</v>
      </c>
      <c r="K32" s="1304">
        <v>1</v>
      </c>
      <c r="L32" s="875"/>
      <c r="M32" s="863"/>
      <c r="N32" s="863"/>
      <c r="O32" s="863"/>
      <c r="P32" s="3038" t="s">
        <v>1311</v>
      </c>
      <c r="Q32" s="494" t="str">
        <f t="shared" si="11"/>
        <v>建筑类型</v>
      </c>
      <c r="R32" s="906" t="s">
        <v>1284</v>
      </c>
      <c r="S32" s="907">
        <f t="shared" si="12"/>
        <v>100</v>
      </c>
      <c r="T32" s="906" t="s">
        <v>1284</v>
      </c>
      <c r="U32" s="907">
        <f t="shared" si="13"/>
        <v>100</v>
      </c>
      <c r="V32" s="906" t="s">
        <v>1284</v>
      </c>
      <c r="W32" s="907">
        <f t="shared" si="14"/>
        <v>100</v>
      </c>
      <c r="X32" s="900"/>
      <c r="Y32" s="3043" t="s">
        <v>1311</v>
      </c>
      <c r="Z32" s="835" t="str">
        <f t="shared" si="15"/>
        <v>建筑类型</v>
      </c>
      <c r="AA32" s="917">
        <f t="shared" si="3"/>
        <v>1</v>
      </c>
      <c r="AB32" s="917">
        <f t="shared" si="4"/>
        <v>1</v>
      </c>
      <c r="AC32" s="917">
        <f t="shared" si="5"/>
        <v>1</v>
      </c>
    </row>
    <row r="33" spans="1:29" s="707" customFormat="1" ht="15">
      <c r="A33" s="802"/>
      <c r="B33" s="743" t="s">
        <v>1312</v>
      </c>
      <c r="C33" s="1096">
        <f>项目基本情况!C12</f>
        <v>54.92</v>
      </c>
      <c r="D33" s="745">
        <v>100</v>
      </c>
      <c r="E33" s="748">
        <v>75.459999999999994</v>
      </c>
      <c r="F33" s="1242">
        <f>LOOKUP(E33,103:103,104:104)-LOOKUP(C33,103:103,104:104)+100</f>
        <v>100</v>
      </c>
      <c r="G33" s="747">
        <v>52.48</v>
      </c>
      <c r="H33" s="745">
        <f>LOOKUP(G33,103:103,104:104)-LOOKUP(C33,103:103,104:104)+100</f>
        <v>100</v>
      </c>
      <c r="I33" s="748">
        <v>41.79</v>
      </c>
      <c r="J33" s="745">
        <f>LOOKUP(I33,103:103,104:104)-LOOKUP(C33,103:103,104:104)+100</f>
        <v>101</v>
      </c>
      <c r="K33" s="1305"/>
      <c r="L33" s="873"/>
      <c r="M33" s="882"/>
      <c r="N33" s="882"/>
      <c r="O33" s="882"/>
      <c r="P33" s="3039"/>
      <c r="Q33" s="1149" t="str">
        <f t="shared" si="11"/>
        <v>项目建筑规模</v>
      </c>
      <c r="R33" s="908" t="s">
        <v>1284</v>
      </c>
      <c r="S33" s="909">
        <f t="shared" si="12"/>
        <v>100</v>
      </c>
      <c r="T33" s="908" t="s">
        <v>1284</v>
      </c>
      <c r="U33" s="909">
        <f t="shared" si="13"/>
        <v>100</v>
      </c>
      <c r="V33" s="908" t="s">
        <v>1284</v>
      </c>
      <c r="W33" s="909">
        <f t="shared" si="14"/>
        <v>101</v>
      </c>
      <c r="X33" s="910"/>
      <c r="Y33" s="3043"/>
      <c r="Z33" s="918" t="str">
        <f t="shared" si="15"/>
        <v>项目建筑规模</v>
      </c>
      <c r="AA33" s="917">
        <f t="shared" si="3"/>
        <v>1</v>
      </c>
      <c r="AB33" s="917">
        <f t="shared" si="4"/>
        <v>1</v>
      </c>
      <c r="AC33" s="917">
        <f t="shared" si="5"/>
        <v>0.99009900990098998</v>
      </c>
    </row>
    <row r="34" spans="1:29" ht="15">
      <c r="A34" s="794"/>
      <c r="B34" s="743" t="s">
        <v>1313</v>
      </c>
      <c r="C34" s="1265" t="s">
        <v>1108</v>
      </c>
      <c r="D34" s="755">
        <v>100</v>
      </c>
      <c r="E34" s="1266" t="s">
        <v>1108</v>
      </c>
      <c r="F34" s="1105">
        <f>SUMIF(105:105,E34,106:106)-SUMIF(105:105,C34,106:106)+100</f>
        <v>100</v>
      </c>
      <c r="G34" s="1265" t="s">
        <v>1108</v>
      </c>
      <c r="H34" s="755">
        <f>SUMIF(105:105,G34,106:106)-SUMIF(105:105,C34,106:106)+100</f>
        <v>100</v>
      </c>
      <c r="I34" s="1266" t="s">
        <v>1108</v>
      </c>
      <c r="J34" s="755">
        <f>SUMIF(105:105,I34,106:106)-SUMIF(105:105,C34,106:106)+100</f>
        <v>100</v>
      </c>
      <c r="K34" s="1304">
        <v>2</v>
      </c>
      <c r="L34" s="875"/>
      <c r="M34" s="863"/>
      <c r="N34" s="863"/>
      <c r="O34" s="863"/>
      <c r="P34" s="3039"/>
      <c r="Q34" s="494" t="str">
        <f t="shared" si="11"/>
        <v>建筑结构</v>
      </c>
      <c r="R34" s="906" t="s">
        <v>1284</v>
      </c>
      <c r="S34" s="907">
        <f t="shared" si="12"/>
        <v>100</v>
      </c>
      <c r="T34" s="906" t="s">
        <v>1284</v>
      </c>
      <c r="U34" s="907">
        <f t="shared" si="13"/>
        <v>100</v>
      </c>
      <c r="V34" s="906" t="s">
        <v>1284</v>
      </c>
      <c r="W34" s="907">
        <f t="shared" si="14"/>
        <v>100</v>
      </c>
      <c r="X34" s="900"/>
      <c r="Y34" s="3043"/>
      <c r="Z34" s="835" t="str">
        <f t="shared" si="15"/>
        <v>建筑结构</v>
      </c>
      <c r="AA34" s="917">
        <f t="shared" si="3"/>
        <v>1</v>
      </c>
      <c r="AB34" s="917">
        <f t="shared" si="4"/>
        <v>1</v>
      </c>
      <c r="AC34" s="917">
        <f t="shared" si="5"/>
        <v>1</v>
      </c>
    </row>
    <row r="35" spans="1:29" ht="15">
      <c r="A35" s="794"/>
      <c r="B35" s="743" t="s">
        <v>1314</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c r="L35" s="875"/>
      <c r="M35" s="863"/>
      <c r="N35" s="863"/>
      <c r="O35" s="863"/>
      <c r="P35" s="3039"/>
      <c r="Q35" s="494" t="str">
        <f t="shared" si="11"/>
        <v>建筑品质</v>
      </c>
      <c r="R35" s="906" t="s">
        <v>1284</v>
      </c>
      <c r="S35" s="907">
        <f t="shared" si="12"/>
        <v>100</v>
      </c>
      <c r="T35" s="906" t="s">
        <v>1284</v>
      </c>
      <c r="U35" s="907">
        <f t="shared" si="13"/>
        <v>100</v>
      </c>
      <c r="V35" s="906" t="s">
        <v>1284</v>
      </c>
      <c r="W35" s="907">
        <f t="shared" si="14"/>
        <v>100</v>
      </c>
      <c r="X35" s="900"/>
      <c r="Y35" s="3043"/>
      <c r="Z35" s="835" t="str">
        <f t="shared" si="15"/>
        <v>建筑品质</v>
      </c>
      <c r="AA35" s="917">
        <f t="shared" si="3"/>
        <v>1</v>
      </c>
      <c r="AB35" s="917">
        <f t="shared" si="4"/>
        <v>1</v>
      </c>
      <c r="AC35" s="917">
        <f t="shared" si="5"/>
        <v>1</v>
      </c>
    </row>
    <row r="36" spans="1:29" ht="15">
      <c r="A36" s="794"/>
      <c r="B36" s="743" t="s">
        <v>1315</v>
      </c>
      <c r="C36" s="798" t="s">
        <v>1316</v>
      </c>
      <c r="D36" s="755">
        <v>100</v>
      </c>
      <c r="E36" s="798" t="s">
        <v>1316</v>
      </c>
      <c r="F36" s="1105">
        <f>SUMIF(109:109,E36,110:110)-SUMIF(109:109,C36,110:110)+100</f>
        <v>100</v>
      </c>
      <c r="G36" s="798" t="s">
        <v>1316</v>
      </c>
      <c r="H36" s="755">
        <f>SUMIF(109:109,G36,110:110)-SUMIF(109:109,C36,110:110)+100</f>
        <v>100</v>
      </c>
      <c r="I36" s="798" t="s">
        <v>1316</v>
      </c>
      <c r="J36" s="755">
        <f>SUMIF(109:109,I36,110:110)-SUMIF(109:109,C36,110:110)+100</f>
        <v>100</v>
      </c>
      <c r="K36" s="1304">
        <v>2</v>
      </c>
      <c r="L36" s="875"/>
      <c r="M36" s="863"/>
      <c r="N36" s="863"/>
      <c r="O36" s="863"/>
      <c r="P36" s="3039"/>
      <c r="Q36" s="494" t="str">
        <f t="shared" si="11"/>
        <v>公共部分装修</v>
      </c>
      <c r="R36" s="906" t="s">
        <v>1284</v>
      </c>
      <c r="S36" s="907">
        <f t="shared" si="12"/>
        <v>100</v>
      </c>
      <c r="T36" s="906" t="s">
        <v>1284</v>
      </c>
      <c r="U36" s="907">
        <f t="shared" si="13"/>
        <v>100</v>
      </c>
      <c r="V36" s="906" t="s">
        <v>1284</v>
      </c>
      <c r="W36" s="907">
        <f t="shared" si="14"/>
        <v>100</v>
      </c>
      <c r="X36" s="900"/>
      <c r="Y36" s="3043"/>
      <c r="Z36" s="835" t="str">
        <f t="shared" si="15"/>
        <v>公共部分装修</v>
      </c>
      <c r="AA36" s="917">
        <f t="shared" si="3"/>
        <v>1</v>
      </c>
      <c r="AB36" s="917">
        <f t="shared" si="4"/>
        <v>1</v>
      </c>
      <c r="AC36" s="917">
        <f t="shared" si="5"/>
        <v>1</v>
      </c>
    </row>
    <row r="37" spans="1:29" s="705" customFormat="1" ht="15">
      <c r="A37" s="799"/>
      <c r="B37" s="743" t="s">
        <v>1317</v>
      </c>
      <c r="C37" s="1112">
        <f>'数据-取费表'!E20</f>
        <v>0.63</v>
      </c>
      <c r="D37" s="745">
        <v>100</v>
      </c>
      <c r="E37" s="1113">
        <f>C37</f>
        <v>0.63</v>
      </c>
      <c r="F37" s="1242">
        <f>LOOKUP(E37,112:112,113:113)-LOOKUP(C37,112:112,113:113)+100</f>
        <v>100</v>
      </c>
      <c r="G37" s="1114">
        <f>E37</f>
        <v>0.63</v>
      </c>
      <c r="H37" s="745">
        <f>LOOKUP(G37,112:112,113:113)-LOOKUP(C37,112:112,113:113)+100</f>
        <v>100</v>
      </c>
      <c r="I37" s="1113">
        <f>G37</f>
        <v>0.63</v>
      </c>
      <c r="J37" s="745">
        <f>LOOKUP(I37,112:112,113:113)-LOOKUP(C37,112:112,113:113)+100</f>
        <v>100</v>
      </c>
      <c r="K37" s="1304">
        <v>3</v>
      </c>
      <c r="L37" s="865"/>
      <c r="M37" s="866"/>
      <c r="N37" s="866"/>
      <c r="O37" s="866"/>
      <c r="P37" s="3039"/>
      <c r="Q37" s="905" t="str">
        <f t="shared" si="11"/>
        <v>成新度</v>
      </c>
      <c r="R37" s="902" t="s">
        <v>1284</v>
      </c>
      <c r="S37" s="903">
        <f t="shared" si="12"/>
        <v>100</v>
      </c>
      <c r="T37" s="902" t="s">
        <v>1284</v>
      </c>
      <c r="U37" s="903">
        <f t="shared" si="13"/>
        <v>100</v>
      </c>
      <c r="V37" s="902" t="s">
        <v>1284</v>
      </c>
      <c r="W37" s="903">
        <f t="shared" si="14"/>
        <v>100</v>
      </c>
      <c r="X37" s="904"/>
      <c r="Y37" s="3043"/>
      <c r="Z37" s="916" t="str">
        <f t="shared" si="15"/>
        <v>成新度</v>
      </c>
      <c r="AA37" s="915">
        <f t="shared" si="3"/>
        <v>1</v>
      </c>
      <c r="AB37" s="915">
        <f t="shared" si="4"/>
        <v>1</v>
      </c>
      <c r="AC37" s="915">
        <f t="shared" si="5"/>
        <v>1</v>
      </c>
    </row>
    <row r="38" spans="1:29" ht="15">
      <c r="A38" s="794"/>
      <c r="B38" s="743" t="s">
        <v>1318</v>
      </c>
      <c r="C38" s="798" t="s">
        <v>1319</v>
      </c>
      <c r="D38" s="755">
        <v>100</v>
      </c>
      <c r="E38" s="1290" t="s">
        <v>1319</v>
      </c>
      <c r="F38" s="1105">
        <f>SUMIF(114:114,E38,115:115)-SUMIF(114:114,C38,115:115)+100</f>
        <v>100</v>
      </c>
      <c r="G38" s="798" t="s">
        <v>1319</v>
      </c>
      <c r="H38" s="755">
        <f>SUMIF(114:114,G38,115:115)-SUMIF(114:114,C38,115:115)+100</f>
        <v>100</v>
      </c>
      <c r="I38" s="1290" t="s">
        <v>1319</v>
      </c>
      <c r="J38" s="755">
        <f>SUMIF(114:114,I38,115:115)-SUMIF(114:114,C38,115:115)+100</f>
        <v>100</v>
      </c>
      <c r="K38" s="1304">
        <v>1</v>
      </c>
      <c r="L38" s="875"/>
      <c r="M38" s="863"/>
      <c r="N38" s="863"/>
      <c r="O38" s="863"/>
      <c r="P38" s="3039" t="s">
        <v>1311</v>
      </c>
      <c r="Q38" s="494" t="str">
        <f t="shared" si="11"/>
        <v>物业管理</v>
      </c>
      <c r="R38" s="906" t="s">
        <v>1284</v>
      </c>
      <c r="S38" s="907">
        <f t="shared" si="12"/>
        <v>100</v>
      </c>
      <c r="T38" s="906" t="s">
        <v>1284</v>
      </c>
      <c r="U38" s="907">
        <f t="shared" si="13"/>
        <v>100</v>
      </c>
      <c r="V38" s="906" t="s">
        <v>1284</v>
      </c>
      <c r="W38" s="907">
        <f t="shared" si="14"/>
        <v>100</v>
      </c>
      <c r="X38" s="900"/>
      <c r="Y38" s="3043" t="s">
        <v>1311</v>
      </c>
      <c r="Z38" s="835" t="str">
        <f t="shared" si="15"/>
        <v>物业管理</v>
      </c>
      <c r="AA38" s="917">
        <f t="shared" si="3"/>
        <v>1</v>
      </c>
      <c r="AB38" s="917">
        <f t="shared" si="4"/>
        <v>1</v>
      </c>
      <c r="AC38" s="917">
        <f t="shared" si="5"/>
        <v>1</v>
      </c>
    </row>
    <row r="39" spans="1:29" ht="15">
      <c r="A39" s="794"/>
      <c r="B39" s="743" t="s">
        <v>1320</v>
      </c>
      <c r="C39" s="798" t="s">
        <v>1321</v>
      </c>
      <c r="D39" s="755">
        <v>100</v>
      </c>
      <c r="E39" s="798" t="s">
        <v>1321</v>
      </c>
      <c r="F39" s="1105">
        <f>SUMIF(116:116,E39,117:117)-SUMIF(116:116,C39,117:117)+100</f>
        <v>100</v>
      </c>
      <c r="G39" s="798" t="s">
        <v>1321</v>
      </c>
      <c r="H39" s="755">
        <f>SUMIF(116:116,G39,117:117)-SUMIF(116:116,C39,117:117)+100</f>
        <v>100</v>
      </c>
      <c r="I39" s="798" t="s">
        <v>1321</v>
      </c>
      <c r="J39" s="755">
        <f>SUMIF(116:116,I39,117:117)-SUMIF(116:116,C39,117:117)+100</f>
        <v>100</v>
      </c>
      <c r="K39" s="1304">
        <v>1</v>
      </c>
      <c r="L39" s="875"/>
      <c r="M39" s="863"/>
      <c r="N39" s="863"/>
      <c r="O39" s="863"/>
      <c r="P39" s="3039"/>
      <c r="Q39" s="494" t="str">
        <f t="shared" si="11"/>
        <v>市政基础设施</v>
      </c>
      <c r="R39" s="906" t="s">
        <v>1284</v>
      </c>
      <c r="S39" s="907">
        <f t="shared" si="12"/>
        <v>100</v>
      </c>
      <c r="T39" s="906" t="s">
        <v>1284</v>
      </c>
      <c r="U39" s="907">
        <f t="shared" si="13"/>
        <v>100</v>
      </c>
      <c r="V39" s="906" t="s">
        <v>1284</v>
      </c>
      <c r="W39" s="907">
        <f t="shared" si="14"/>
        <v>100</v>
      </c>
      <c r="X39" s="900"/>
      <c r="Y39" s="3043"/>
      <c r="Z39" s="835" t="str">
        <f t="shared" si="15"/>
        <v>市政基础设施</v>
      </c>
      <c r="AA39" s="917">
        <f t="shared" si="3"/>
        <v>1</v>
      </c>
      <c r="AB39" s="917">
        <f t="shared" si="4"/>
        <v>1</v>
      </c>
      <c r="AC39" s="917">
        <f t="shared" si="5"/>
        <v>1</v>
      </c>
    </row>
    <row r="40" spans="1:29" ht="15">
      <c r="A40" s="794"/>
      <c r="B40" s="743" t="s">
        <v>1322</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c r="L40" s="875"/>
      <c r="M40" s="863"/>
      <c r="N40" s="863"/>
      <c r="O40" s="863"/>
      <c r="P40" s="3039"/>
      <c r="Q40" s="494" t="str">
        <f t="shared" si="11"/>
        <v>房型</v>
      </c>
      <c r="R40" s="906" t="s">
        <v>1284</v>
      </c>
      <c r="S40" s="907">
        <f t="shared" si="12"/>
        <v>100</v>
      </c>
      <c r="T40" s="906" t="s">
        <v>1284</v>
      </c>
      <c r="U40" s="907">
        <f t="shared" si="13"/>
        <v>100</v>
      </c>
      <c r="V40" s="906" t="s">
        <v>1284</v>
      </c>
      <c r="W40" s="907">
        <f t="shared" si="14"/>
        <v>100</v>
      </c>
      <c r="X40" s="900"/>
      <c r="Y40" s="3043"/>
      <c r="Z40" s="835" t="str">
        <f t="shared" si="15"/>
        <v>房型</v>
      </c>
      <c r="AA40" s="917">
        <f t="shared" si="3"/>
        <v>1</v>
      </c>
      <c r="AB40" s="917">
        <f t="shared" si="4"/>
        <v>1</v>
      </c>
      <c r="AC40" s="917">
        <f t="shared" si="5"/>
        <v>1</v>
      </c>
    </row>
    <row r="41" spans="1:29" s="707" customFormat="1" ht="28.5">
      <c r="A41" s="802"/>
      <c r="B41" s="743" t="s">
        <v>1323</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39"/>
      <c r="Q41" s="1149" t="str">
        <f t="shared" si="11"/>
        <v>单套/主力户型建筑面积</v>
      </c>
      <c r="R41" s="908" t="s">
        <v>1284</v>
      </c>
      <c r="S41" s="909">
        <f t="shared" si="12"/>
        <v>100</v>
      </c>
      <c r="T41" s="908" t="s">
        <v>1284</v>
      </c>
      <c r="U41" s="909">
        <f t="shared" si="13"/>
        <v>100</v>
      </c>
      <c r="V41" s="908" t="s">
        <v>1284</v>
      </c>
      <c r="W41" s="909">
        <f t="shared" si="14"/>
        <v>100</v>
      </c>
      <c r="X41" s="910"/>
      <c r="Y41" s="3043"/>
      <c r="Z41" s="918" t="str">
        <f t="shared" si="15"/>
        <v>单套/主力户型建筑面积</v>
      </c>
      <c r="AA41" s="917">
        <f t="shared" si="3"/>
        <v>1</v>
      </c>
      <c r="AB41" s="917">
        <f t="shared" si="4"/>
        <v>1</v>
      </c>
      <c r="AC41" s="917">
        <f t="shared" si="5"/>
        <v>1</v>
      </c>
    </row>
    <row r="42" spans="1:29" ht="15">
      <c r="A42" s="794"/>
      <c r="B42" s="743" t="s">
        <v>1324</v>
      </c>
      <c r="C42" s="798" t="s">
        <v>1316</v>
      </c>
      <c r="D42" s="755">
        <v>100</v>
      </c>
      <c r="E42" s="798" t="s">
        <v>1325</v>
      </c>
      <c r="F42" s="1105">
        <f>SUMIF(122:122,E42,123:123)-SUMIF(122:122,C42,123:123)+100</f>
        <v>102</v>
      </c>
      <c r="G42" s="798" t="s">
        <v>1325</v>
      </c>
      <c r="H42" s="755">
        <f>SUMIF(122:122,G42,123:123)-SUMIF(122:122,C42,123:123)+100</f>
        <v>102</v>
      </c>
      <c r="I42" s="798" t="s">
        <v>1325</v>
      </c>
      <c r="J42" s="755">
        <f>SUMIF(122:122,I42,123:123)-SUMIF(122:122,C42,123:123)+100</f>
        <v>102</v>
      </c>
      <c r="K42" s="1304">
        <v>2</v>
      </c>
      <c r="L42" s="875"/>
      <c r="M42" s="863"/>
      <c r="N42" s="863"/>
      <c r="O42" s="863"/>
      <c r="P42" s="3039"/>
      <c r="Q42" s="494" t="str">
        <f t="shared" si="11"/>
        <v>内部装修</v>
      </c>
      <c r="R42" s="906" t="s">
        <v>1284</v>
      </c>
      <c r="S42" s="907">
        <f t="shared" si="12"/>
        <v>102</v>
      </c>
      <c r="T42" s="906" t="s">
        <v>1284</v>
      </c>
      <c r="U42" s="907">
        <f t="shared" si="13"/>
        <v>102</v>
      </c>
      <c r="V42" s="906" t="s">
        <v>1284</v>
      </c>
      <c r="W42" s="907">
        <f t="shared" si="14"/>
        <v>102</v>
      </c>
      <c r="X42" s="900"/>
      <c r="Y42" s="3043"/>
      <c r="Z42" s="835" t="str">
        <f t="shared" si="15"/>
        <v>内部装修</v>
      </c>
      <c r="AA42" s="917">
        <f t="shared" si="3"/>
        <v>0.98039215686274495</v>
      </c>
      <c r="AB42" s="917">
        <f t="shared" si="4"/>
        <v>0.98039215686274495</v>
      </c>
      <c r="AC42" s="917">
        <f t="shared" si="5"/>
        <v>0.98039215686274495</v>
      </c>
    </row>
    <row r="43" spans="1:29" ht="15">
      <c r="A43" s="794"/>
      <c r="B43" s="743" t="s">
        <v>217</v>
      </c>
      <c r="C43" s="798" t="s">
        <v>1298</v>
      </c>
      <c r="D43" s="755">
        <v>100</v>
      </c>
      <c r="E43" s="798" t="s">
        <v>1298</v>
      </c>
      <c r="F43" s="1105">
        <f>SUMIF(124:124,E43,125:125)-SUMIF(124:124,C43,125:125)+100</f>
        <v>100</v>
      </c>
      <c r="G43" s="798" t="s">
        <v>1298</v>
      </c>
      <c r="H43" s="755">
        <f>SUMIF(124:124,G43,125:125)-SUMIF(124:124,C43,125:125)+100</f>
        <v>100</v>
      </c>
      <c r="I43" s="798" t="s">
        <v>1298</v>
      </c>
      <c r="J43" s="755">
        <f>SUMIF(124:124,I43,125:125)-SUMIF(124:124,C43,125:125)+100</f>
        <v>100</v>
      </c>
      <c r="K43" s="1304">
        <v>2</v>
      </c>
      <c r="L43" s="875"/>
      <c r="M43" s="863"/>
      <c r="N43" s="863"/>
      <c r="O43" s="863"/>
      <c r="P43" s="3039"/>
      <c r="Q43" s="494" t="str">
        <f t="shared" si="11"/>
        <v>内部装修维护情况</v>
      </c>
      <c r="R43" s="906" t="s">
        <v>1284</v>
      </c>
      <c r="S43" s="907">
        <f t="shared" si="12"/>
        <v>100</v>
      </c>
      <c r="T43" s="906" t="s">
        <v>1284</v>
      </c>
      <c r="U43" s="907">
        <f t="shared" si="13"/>
        <v>100</v>
      </c>
      <c r="V43" s="906" t="s">
        <v>1284</v>
      </c>
      <c r="W43" s="907">
        <f t="shared" si="14"/>
        <v>100</v>
      </c>
      <c r="X43" s="900"/>
      <c r="Y43" s="3043"/>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39"/>
      <c r="Q44" s="905">
        <f t="shared" si="11"/>
        <v>111</v>
      </c>
      <c r="R44" s="902" t="s">
        <v>1284</v>
      </c>
      <c r="S44" s="903">
        <f t="shared" si="12"/>
        <v>100</v>
      </c>
      <c r="T44" s="902" t="s">
        <v>1284</v>
      </c>
      <c r="U44" s="903">
        <f t="shared" si="13"/>
        <v>100</v>
      </c>
      <c r="V44" s="902" t="s">
        <v>1284</v>
      </c>
      <c r="W44" s="903">
        <f t="shared" si="14"/>
        <v>100</v>
      </c>
      <c r="X44" s="904"/>
      <c r="Y44" s="3043"/>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39"/>
      <c r="Q45" s="494">
        <f t="shared" si="11"/>
        <v>111</v>
      </c>
      <c r="R45" s="906" t="s">
        <v>1284</v>
      </c>
      <c r="S45" s="907">
        <f t="shared" si="12"/>
        <v>100</v>
      </c>
      <c r="T45" s="906" t="s">
        <v>1284</v>
      </c>
      <c r="U45" s="907">
        <f t="shared" si="13"/>
        <v>100</v>
      </c>
      <c r="V45" s="906" t="s">
        <v>1284</v>
      </c>
      <c r="W45" s="907">
        <f t="shared" si="14"/>
        <v>100</v>
      </c>
      <c r="X45" s="900"/>
      <c r="Y45" s="3043"/>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40"/>
      <c r="Q46" s="494">
        <f t="shared" si="11"/>
        <v>111</v>
      </c>
      <c r="R46" s="906" t="s">
        <v>1284</v>
      </c>
      <c r="S46" s="907">
        <f t="shared" si="12"/>
        <v>100</v>
      </c>
      <c r="T46" s="906" t="s">
        <v>1284</v>
      </c>
      <c r="U46" s="907">
        <f t="shared" si="13"/>
        <v>100</v>
      </c>
      <c r="V46" s="906" t="s">
        <v>1284</v>
      </c>
      <c r="W46" s="907">
        <f t="shared" si="14"/>
        <v>100</v>
      </c>
      <c r="X46" s="900"/>
      <c r="Y46" s="3044"/>
      <c r="Z46" s="835">
        <f t="shared" si="15"/>
        <v>111</v>
      </c>
      <c r="AA46" s="917">
        <f t="shared" si="3"/>
        <v>1</v>
      </c>
      <c r="AB46" s="917">
        <f t="shared" si="4"/>
        <v>1</v>
      </c>
      <c r="AC46" s="917">
        <f t="shared" si="5"/>
        <v>1</v>
      </c>
    </row>
    <row r="47" spans="1:29" ht="15">
      <c r="A47" s="804" t="s">
        <v>1326</v>
      </c>
      <c r="B47" s="1120"/>
      <c r="C47" s="1121" t="s">
        <v>121</v>
      </c>
      <c r="D47" s="1122"/>
      <c r="E47" s="1123">
        <v>64273</v>
      </c>
      <c r="F47" s="1124"/>
      <c r="G47" s="1125">
        <f>ROUND(66718*C50,0)</f>
        <v>60046</v>
      </c>
      <c r="H47" s="1126"/>
      <c r="I47" s="1123">
        <f>ROUND(66045*C50,0)</f>
        <v>59441</v>
      </c>
      <c r="J47" s="1126"/>
      <c r="K47" s="1309"/>
      <c r="L47" s="887"/>
      <c r="M47" s="821"/>
      <c r="N47" s="863"/>
      <c r="O47" s="821"/>
      <c r="P47" s="3026" t="str">
        <f>A47</f>
        <v>成交单价（元/平方米）</v>
      </c>
      <c r="Q47" s="3026"/>
      <c r="R47" s="3027">
        <f>E47</f>
        <v>64273</v>
      </c>
      <c r="S47" s="3027"/>
      <c r="T47" s="3027">
        <f>G47</f>
        <v>60046</v>
      </c>
      <c r="U47" s="3027"/>
      <c r="V47" s="3027">
        <f>I47</f>
        <v>59441</v>
      </c>
      <c r="W47" s="3027"/>
      <c r="X47" s="851"/>
      <c r="Y47" s="919"/>
      <c r="Z47" s="851"/>
      <c r="AA47" s="851"/>
      <c r="AB47" s="851"/>
      <c r="AC47" s="851"/>
    </row>
    <row r="48" spans="1:29" ht="15">
      <c r="A48" s="812" t="s">
        <v>1327</v>
      </c>
      <c r="B48" s="1127"/>
      <c r="C48" s="1128">
        <f>R49</f>
        <v>59275</v>
      </c>
      <c r="D48" s="1129"/>
      <c r="E48" s="1130">
        <f>R48</f>
        <v>62389</v>
      </c>
      <c r="F48" s="1130"/>
      <c r="G48" s="1128">
        <f>T48</f>
        <v>58582</v>
      </c>
      <c r="H48" s="1129"/>
      <c r="I48" s="1130">
        <f>V48</f>
        <v>56854</v>
      </c>
      <c r="J48" s="1129"/>
      <c r="K48" s="1310"/>
      <c r="L48" s="887"/>
      <c r="M48" s="821"/>
      <c r="N48" s="821"/>
      <c r="O48" s="821"/>
      <c r="P48" s="3026" t="str">
        <f>A48</f>
        <v>比较价值（元/平方米）</v>
      </c>
      <c r="Q48" s="3026"/>
      <c r="R48" s="3027">
        <f>IF(E1="售价",ROUND(PRODUCT(R47,AA7:AA46),0),ROUND(PRODUCT(R47,AA7:AA46),1))</f>
        <v>62389</v>
      </c>
      <c r="S48" s="3027"/>
      <c r="T48" s="3028">
        <f>IF(E1="售价",ROUND(PRODUCT(T47,AB7:AB46),0),ROUND(PRODUCT(T47,AB7:AB46),1))</f>
        <v>58582</v>
      </c>
      <c r="U48" s="3029"/>
      <c r="V48" s="3027">
        <f>IF(E1="售价",ROUND(PRODUCT(V47,AC7:AC46),0),ROUND(PRODUCT(V47,AC7:AC46),1))</f>
        <v>56854</v>
      </c>
      <c r="W48" s="3027"/>
      <c r="X48" s="851"/>
      <c r="Y48" s="851"/>
      <c r="Z48" s="851"/>
      <c r="AA48" s="851"/>
      <c r="AB48" s="851"/>
      <c r="AC48" s="851"/>
    </row>
    <row r="49" spans="1:29" ht="15">
      <c r="A49" s="818" t="s">
        <v>1328</v>
      </c>
      <c r="B49" s="819"/>
      <c r="C49" s="1295">
        <f>R49</f>
        <v>59275</v>
      </c>
      <c r="D49" s="1131"/>
      <c r="E49" s="1131"/>
      <c r="F49" s="1131"/>
      <c r="G49" s="1131"/>
      <c r="H49" s="1131"/>
      <c r="I49" s="1131"/>
      <c r="J49" s="1131"/>
      <c r="K49" s="1311"/>
      <c r="L49" s="887"/>
      <c r="M49" s="821"/>
      <c r="N49" s="821"/>
      <c r="O49" s="821"/>
      <c r="P49" s="3030" t="str">
        <f>A49</f>
        <v>估价对象XX用房的比较价值（楼面单价，元/平方米）</v>
      </c>
      <c r="Q49" s="3031"/>
      <c r="R49" s="3032">
        <f>IF(E1="售价",ROUND(AVERAGE(R48:V48),0),ROUND(AVERAGE(R48:V48),1))</f>
        <v>59275</v>
      </c>
      <c r="S49" s="3032"/>
      <c r="T49" s="3032"/>
      <c r="U49" s="3032"/>
      <c r="V49" s="3032"/>
      <c r="W49" s="3032"/>
      <c r="X49" s="851"/>
      <c r="Y49" s="851"/>
      <c r="Z49" s="851"/>
      <c r="AA49" s="851"/>
      <c r="AB49" s="851"/>
      <c r="AC49" s="851"/>
    </row>
    <row r="50" spans="1:29">
      <c r="A50" s="821"/>
      <c r="B50" s="821"/>
      <c r="C50" s="821">
        <v>0.9</v>
      </c>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1329</v>
      </c>
      <c r="D52" s="535"/>
      <c r="E52" s="824">
        <f>IF(E47&lt;E48,E48/E47-1,E47/E48-1)</f>
        <v>3.0197630992642832E-2</v>
      </c>
      <c r="F52" s="825" t="str">
        <f>IF(OR(E52&gt;=0.3,E52&lt;=-0.3),"超过30%","")</f>
        <v/>
      </c>
      <c r="G52" s="824">
        <f>IF(G47&lt;G48,G48/G47-1,G47/G48-1)</f>
        <v>2.4990611450616207E-2</v>
      </c>
      <c r="H52" s="825" t="str">
        <f>IF(OR(G52&gt;=0.3,G52&lt;=-0.3),"超过30%","")</f>
        <v/>
      </c>
      <c r="I52" s="824">
        <f>IF(I47&lt;I48,I48/I47-1,I47/I48-1)</f>
        <v>4.5502515214408845E-2</v>
      </c>
      <c r="J52" s="825" t="str">
        <f>IF(OR(I52&gt;=0.3,I52&lt;=-0.3),"超过30%","")</f>
        <v/>
      </c>
      <c r="K52" s="891"/>
      <c r="L52" s="892"/>
      <c r="M52" s="821"/>
      <c r="N52" s="821"/>
      <c r="O52" s="821"/>
    </row>
    <row r="53" spans="1:29" ht="13.5" customHeight="1">
      <c r="A53" s="821"/>
      <c r="B53" s="821"/>
      <c r="C53" s="823" t="s">
        <v>1330</v>
      </c>
      <c r="D53" s="534"/>
      <c r="E53" s="824">
        <f>IF(E48&lt;G48,G48/E48-1,E48/G48-1)</f>
        <v>6.498583182547546E-2</v>
      </c>
      <c r="F53" s="825" t="str">
        <f>IF(OR(E53&gt;=0.2,E53&lt;=-0.2),"超过20%","")</f>
        <v/>
      </c>
      <c r="G53" s="824">
        <f>IF(G48&lt;I48,I48/G48-1,G48/I48-1)</f>
        <v>3.039363984943888E-2</v>
      </c>
      <c r="H53" s="825" t="str">
        <f>IF(OR(G53&gt;=0.2,G53&lt;=-0.2),"超过20%","")</f>
        <v/>
      </c>
      <c r="I53" s="824">
        <f>IF(I48&lt;E48,E48/I48-1,I48/E48-1)</f>
        <v>9.7354627642733949E-2</v>
      </c>
      <c r="J53" s="825" t="str">
        <f>IF(OR(I53&gt;=0.2,I53&lt;=-0.2),"超过20%","")</f>
        <v/>
      </c>
      <c r="K53" s="891"/>
      <c r="L53" s="892"/>
      <c r="M53" s="821"/>
      <c r="N53" s="821"/>
      <c r="O53" s="821"/>
    </row>
    <row r="54" spans="1:29" s="708" customFormat="1" ht="13.5" customHeight="1">
      <c r="A54" s="826"/>
      <c r="B54" s="826"/>
      <c r="C54" s="823" t="s">
        <v>1331</v>
      </c>
      <c r="D54" s="534"/>
      <c r="E54" s="824">
        <f>IF(E47&lt;G47,G47/E47-1,E47/G47-1)</f>
        <v>7.0396029710555294E-2</v>
      </c>
      <c r="F54" s="825" t="str">
        <f>IF(OR(E54&gt;=0.3,E54&lt;=-0.3),"超过30%","")</f>
        <v/>
      </c>
      <c r="G54" s="824">
        <f>IF(G47&lt;I47,I47/G47-1,G47/I47-1)</f>
        <v>1.01781598559916E-2</v>
      </c>
      <c r="H54" s="825" t="str">
        <f>IF(OR(G54&gt;=0.3,G54&lt;=-0.3),"超过30%","")</f>
        <v/>
      </c>
      <c r="I54" s="824">
        <f>IF(I47&lt;E47,E47/I47-1,I47/E47-1)</f>
        <v>8.1290691610168095E-2</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1332</v>
      </c>
      <c r="B57" s="851"/>
      <c r="C57" s="852"/>
      <c r="D57" s="852"/>
      <c r="E57" s="852"/>
      <c r="F57" s="853"/>
      <c r="G57" s="853"/>
      <c r="H57" s="852"/>
      <c r="I57" s="852"/>
      <c r="J57" s="852"/>
      <c r="K57" s="1145"/>
      <c r="L57" s="1146"/>
      <c r="M57" s="852"/>
      <c r="N57" s="852"/>
      <c r="O57" s="852"/>
      <c r="P57" s="1313"/>
      <c r="Q57" s="91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v>100</v>
      </c>
      <c r="E59" s="935">
        <f t="shared" ref="E59" si="17">D59-1</f>
        <v>99</v>
      </c>
      <c r="F59" s="935">
        <v>99</v>
      </c>
      <c r="G59" s="935">
        <v>99</v>
      </c>
      <c r="H59" s="935">
        <v>98</v>
      </c>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v>100</v>
      </c>
      <c r="D66" s="944">
        <f t="shared" ref="D66:I66" si="18">C66-$K10</f>
        <v>99</v>
      </c>
      <c r="E66" s="944">
        <f t="shared" si="18"/>
        <v>98</v>
      </c>
      <c r="F66" s="944">
        <f t="shared" si="18"/>
        <v>97</v>
      </c>
      <c r="G66" s="944">
        <f t="shared" si="18"/>
        <v>96</v>
      </c>
      <c r="H66" s="944">
        <f t="shared" si="18"/>
        <v>95</v>
      </c>
      <c r="I66" s="944">
        <f t="shared" si="18"/>
        <v>94</v>
      </c>
      <c r="J66" s="944"/>
      <c r="K66" s="944"/>
      <c r="L66" s="944"/>
      <c r="M66" s="995"/>
      <c r="N66" s="991"/>
      <c r="O66" s="991"/>
      <c r="P66" s="1277"/>
      <c r="Q66" s="911"/>
    </row>
    <row r="67" spans="1:17" ht="15">
      <c r="A67" s="938"/>
      <c r="B67" s="945" t="s">
        <v>1295</v>
      </c>
      <c r="C67" s="946" t="str">
        <f>C68&amp;"（含）"&amp;"-"&amp;D68</f>
        <v>0（含）-</v>
      </c>
      <c r="D67" s="946" t="str">
        <f t="shared" ref="D67:L67" si="19">D68&amp;"（含）"&amp;"-"&amp;E68</f>
        <v>（含）-</v>
      </c>
      <c r="E67" s="946" t="str">
        <f t="shared" si="19"/>
        <v>（含）-</v>
      </c>
      <c r="F67" s="946" t="str">
        <f t="shared" si="19"/>
        <v>（含）-</v>
      </c>
      <c r="G67" s="946" t="str">
        <f t="shared" si="19"/>
        <v>（含）-</v>
      </c>
      <c r="H67" s="946" t="str">
        <f t="shared" si="19"/>
        <v>（含）-</v>
      </c>
      <c r="I67" s="946" t="str">
        <f t="shared" si="19"/>
        <v>（含）-</v>
      </c>
      <c r="J67" s="946" t="str">
        <f t="shared" si="19"/>
        <v>（含）-</v>
      </c>
      <c r="K67" s="946" t="str">
        <f t="shared" si="19"/>
        <v>（含）-</v>
      </c>
      <c r="L67" s="946" t="str">
        <f t="shared" si="19"/>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20">C69-$K11</f>
        <v>100</v>
      </c>
      <c r="E69" s="944">
        <f t="shared" si="20"/>
        <v>100</v>
      </c>
      <c r="F69" s="944">
        <f t="shared" si="20"/>
        <v>100</v>
      </c>
      <c r="G69" s="944">
        <f t="shared" si="20"/>
        <v>100</v>
      </c>
      <c r="H69" s="944">
        <f t="shared" si="20"/>
        <v>100</v>
      </c>
      <c r="I69" s="944">
        <f t="shared" si="20"/>
        <v>100</v>
      </c>
      <c r="J69" s="944">
        <f t="shared" si="20"/>
        <v>100</v>
      </c>
      <c r="K69" s="944">
        <f t="shared" si="20"/>
        <v>100</v>
      </c>
      <c r="L69" s="944">
        <f t="shared" si="20"/>
        <v>100</v>
      </c>
      <c r="M69" s="995">
        <f t="shared" si="20"/>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98</v>
      </c>
      <c r="E77" s="944">
        <f>D77-$K15</f>
        <v>96</v>
      </c>
      <c r="F77" s="944">
        <f>E77-$K15</f>
        <v>94</v>
      </c>
      <c r="G77" s="944">
        <f>F77-$K15</f>
        <v>92</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98</v>
      </c>
      <c r="E79" s="944">
        <f>D79-$K17</f>
        <v>96</v>
      </c>
      <c r="F79" s="944">
        <f>E79-$K17</f>
        <v>94</v>
      </c>
      <c r="G79" s="944">
        <f>F79-$K17</f>
        <v>92</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98</v>
      </c>
      <c r="E81" s="944">
        <f>D81-$K19</f>
        <v>96</v>
      </c>
      <c r="F81" s="944">
        <f>E81-$K19</f>
        <v>94</v>
      </c>
      <c r="G81" s="944">
        <f>F81-$K19</f>
        <v>92</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98</v>
      </c>
      <c r="E83" s="944">
        <f>D83-$K21</f>
        <v>96</v>
      </c>
      <c r="F83" s="944">
        <f>E83-$K21</f>
        <v>94</v>
      </c>
      <c r="G83" s="944">
        <f>F83-$K21</f>
        <v>92</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98</v>
      </c>
      <c r="E85" s="944">
        <f>D85-$K23</f>
        <v>96</v>
      </c>
      <c r="F85" s="944">
        <f>E85-$K23</f>
        <v>94</v>
      </c>
      <c r="G85" s="944">
        <f>F85-$K23</f>
        <v>92</v>
      </c>
      <c r="H85" s="944"/>
      <c r="I85" s="944"/>
      <c r="J85" s="944"/>
      <c r="K85" s="944"/>
      <c r="L85" s="944"/>
      <c r="M85" s="995"/>
      <c r="N85" s="991"/>
      <c r="O85" s="991"/>
      <c r="P85" s="1277"/>
      <c r="Q85" s="911"/>
    </row>
    <row r="86" spans="1:17" s="705" customFormat="1" ht="15">
      <c r="A86" s="961"/>
      <c r="B86" s="941" t="s">
        <v>1300</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1">$C$87-($C$86-E86)*$K$25</f>
        <v>100</v>
      </c>
      <c r="F87" s="944">
        <f t="shared" si="21"/>
        <v>100</v>
      </c>
      <c r="G87" s="944">
        <f t="shared" si="21"/>
        <v>100</v>
      </c>
      <c r="H87" s="944">
        <f t="shared" si="21"/>
        <v>100</v>
      </c>
      <c r="I87" s="944">
        <f t="shared" si="21"/>
        <v>100</v>
      </c>
      <c r="J87" s="944">
        <f t="shared" si="21"/>
        <v>100</v>
      </c>
      <c r="K87" s="944">
        <f t="shared" si="21"/>
        <v>100</v>
      </c>
      <c r="L87" s="944">
        <f t="shared" si="21"/>
        <v>100</v>
      </c>
      <c r="M87" s="944">
        <f t="shared" si="21"/>
        <v>100</v>
      </c>
      <c r="N87" s="991"/>
      <c r="O87" s="991"/>
      <c r="P87" s="1277"/>
      <c r="Q87" s="911"/>
    </row>
    <row r="88" spans="1:17" s="705" customFormat="1" ht="15">
      <c r="A88" s="961"/>
      <c r="B88" s="941" t="s">
        <v>1301</v>
      </c>
      <c r="C88" s="1317" t="s">
        <v>2359</v>
      </c>
      <c r="D88" s="1317" t="s">
        <v>2361</v>
      </c>
      <c r="E88" s="949"/>
      <c r="F88" s="1254"/>
      <c r="G88" s="949"/>
      <c r="H88" s="949"/>
      <c r="I88" s="949"/>
      <c r="J88" s="949"/>
      <c r="K88" s="949"/>
      <c r="L88" s="949"/>
      <c r="M88" s="1153"/>
      <c r="N88" s="982"/>
      <c r="O88" s="982"/>
      <c r="P88" s="1277"/>
      <c r="Q88" s="911"/>
    </row>
    <row r="89" spans="1:17" s="705" customFormat="1" ht="15">
      <c r="A89" s="961"/>
      <c r="B89" s="943"/>
      <c r="C89" s="962">
        <v>100</v>
      </c>
      <c r="D89" s="944">
        <f t="shared" ref="D89:M89" si="22">C89-$K26</f>
        <v>99.5</v>
      </c>
      <c r="E89" s="944">
        <f t="shared" si="22"/>
        <v>99</v>
      </c>
      <c r="F89" s="944">
        <f t="shared" si="22"/>
        <v>98.5</v>
      </c>
      <c r="G89" s="944">
        <f t="shared" si="22"/>
        <v>98</v>
      </c>
      <c r="H89" s="944">
        <f t="shared" si="22"/>
        <v>97.5</v>
      </c>
      <c r="I89" s="944">
        <f t="shared" si="22"/>
        <v>97</v>
      </c>
      <c r="J89" s="944">
        <f t="shared" si="22"/>
        <v>96.5</v>
      </c>
      <c r="K89" s="944">
        <f t="shared" si="22"/>
        <v>96</v>
      </c>
      <c r="L89" s="944">
        <f t="shared" si="22"/>
        <v>95.5</v>
      </c>
      <c r="M89" s="944">
        <f t="shared" si="22"/>
        <v>95</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1305</v>
      </c>
      <c r="D92" s="1317" t="s">
        <v>1306</v>
      </c>
      <c r="E92" s="1317" t="s">
        <v>1307</v>
      </c>
      <c r="F92" s="949"/>
      <c r="G92" s="965"/>
      <c r="H92" s="965"/>
      <c r="I92" s="965"/>
      <c r="J92" s="965"/>
      <c r="K92" s="1019"/>
      <c r="L92" s="1020"/>
      <c r="M92" s="1021"/>
      <c r="N92" s="988"/>
      <c r="O92" s="988"/>
      <c r="P92" s="1277"/>
      <c r="Q92" s="911"/>
    </row>
    <row r="93" spans="1:17" ht="15">
      <c r="A93" s="938"/>
      <c r="B93" s="943"/>
      <c r="C93" s="951">
        <v>98</v>
      </c>
      <c r="D93" s="940">
        <v>99</v>
      </c>
      <c r="E93" s="940">
        <v>100</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1308</v>
      </c>
      <c r="B100" s="937" t="s">
        <v>1309</v>
      </c>
      <c r="C100" s="1318" t="s">
        <v>1310</v>
      </c>
      <c r="D100" s="1318" t="s">
        <v>1347</v>
      </c>
      <c r="E100" s="1318" t="s">
        <v>1348</v>
      </c>
      <c r="F100" s="884"/>
      <c r="G100" s="884"/>
      <c r="H100" s="884"/>
      <c r="I100" s="884"/>
      <c r="J100" s="884"/>
      <c r="K100" s="985"/>
      <c r="L100" s="986"/>
      <c r="M100" s="987"/>
      <c r="N100" s="988"/>
      <c r="O100" s="988"/>
      <c r="P100" s="1277"/>
      <c r="Q100" s="911"/>
    </row>
    <row r="101" spans="1:17" ht="15">
      <c r="A101" s="938"/>
      <c r="B101" s="943"/>
      <c r="C101" s="944">
        <v>100</v>
      </c>
      <c r="D101" s="944">
        <f t="shared" ref="D101:M101" si="23">C101-$K32</f>
        <v>99</v>
      </c>
      <c r="E101" s="944">
        <f t="shared" si="23"/>
        <v>98</v>
      </c>
      <c r="F101" s="944">
        <f t="shared" si="23"/>
        <v>97</v>
      </c>
      <c r="G101" s="944">
        <f t="shared" si="23"/>
        <v>96</v>
      </c>
      <c r="H101" s="944">
        <f t="shared" si="23"/>
        <v>95</v>
      </c>
      <c r="I101" s="944">
        <f t="shared" si="23"/>
        <v>94</v>
      </c>
      <c r="J101" s="944">
        <f t="shared" si="23"/>
        <v>93</v>
      </c>
      <c r="K101" s="944">
        <f t="shared" si="23"/>
        <v>92</v>
      </c>
      <c r="L101" s="944">
        <f t="shared" si="23"/>
        <v>91</v>
      </c>
      <c r="M101" s="944">
        <f t="shared" si="23"/>
        <v>90</v>
      </c>
      <c r="N101" s="991"/>
      <c r="O101" s="991"/>
      <c r="P101" s="1277"/>
      <c r="Q101" s="911"/>
    </row>
    <row r="102" spans="1:17" ht="15">
      <c r="A102" s="938"/>
      <c r="B102" s="941" t="s">
        <v>1312</v>
      </c>
      <c r="C102" s="960" t="str">
        <f>C103&amp;"(含)"&amp;"-"&amp;D103</f>
        <v>0(含)-50</v>
      </c>
      <c r="D102" s="960" t="str">
        <f t="shared" ref="D102:L102" si="24">D103&amp;"(含)"&amp;"-"&amp;E103</f>
        <v>50(含)-100</v>
      </c>
      <c r="E102" s="960" t="str">
        <f t="shared" si="24"/>
        <v>100(含)-150</v>
      </c>
      <c r="F102" s="960" t="str">
        <f t="shared" si="24"/>
        <v>150(含)-200</v>
      </c>
      <c r="G102" s="960" t="str">
        <f t="shared" si="24"/>
        <v>200(含)-</v>
      </c>
      <c r="H102" s="960" t="str">
        <f t="shared" si="24"/>
        <v>(含)-</v>
      </c>
      <c r="I102" s="960" t="str">
        <f t="shared" si="24"/>
        <v>(含)-</v>
      </c>
      <c r="J102" s="960" t="str">
        <f t="shared" si="24"/>
        <v>(含)-</v>
      </c>
      <c r="K102" s="960" t="str">
        <f t="shared" si="24"/>
        <v>(含)-</v>
      </c>
      <c r="L102" s="960" t="str">
        <f t="shared" si="24"/>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5">D104-1</f>
        <v>98</v>
      </c>
      <c r="F104" s="940">
        <f t="shared" si="25"/>
        <v>97</v>
      </c>
      <c r="G104" s="940">
        <f t="shared" si="25"/>
        <v>96</v>
      </c>
      <c r="H104" s="940"/>
      <c r="I104" s="940"/>
      <c r="J104" s="940"/>
      <c r="K104" s="940"/>
      <c r="L104" s="940"/>
      <c r="M104" s="940"/>
      <c r="N104" s="991"/>
      <c r="O104" s="991"/>
      <c r="P104" s="1280"/>
      <c r="Q104" s="1032"/>
    </row>
    <row r="105" spans="1:17">
      <c r="A105" s="972"/>
      <c r="B105" s="941" t="s">
        <v>1313</v>
      </c>
      <c r="C105" s="1317" t="s">
        <v>1349</v>
      </c>
      <c r="D105" s="1317" t="s">
        <v>1108</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6">C106-$K34</f>
        <v>98</v>
      </c>
      <c r="E106" s="944">
        <f t="shared" si="26"/>
        <v>96</v>
      </c>
      <c r="F106" s="944">
        <f t="shared" si="26"/>
        <v>94</v>
      </c>
      <c r="G106" s="944">
        <f t="shared" si="26"/>
        <v>92</v>
      </c>
      <c r="H106" s="944">
        <f t="shared" si="26"/>
        <v>90</v>
      </c>
      <c r="I106" s="944">
        <f t="shared" si="26"/>
        <v>88</v>
      </c>
      <c r="J106" s="944">
        <f t="shared" si="26"/>
        <v>86</v>
      </c>
      <c r="K106" s="944">
        <f t="shared" si="26"/>
        <v>84</v>
      </c>
      <c r="L106" s="944">
        <f t="shared" si="26"/>
        <v>82</v>
      </c>
      <c r="M106" s="944">
        <f t="shared" si="26"/>
        <v>80</v>
      </c>
      <c r="N106" s="991"/>
      <c r="O106" s="991"/>
      <c r="P106" s="1277"/>
      <c r="Q106" s="911"/>
    </row>
    <row r="107" spans="1:17">
      <c r="A107" s="972"/>
      <c r="B107" s="941" t="s">
        <v>1314</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7">C108-$K35</f>
        <v>100</v>
      </c>
      <c r="E108" s="944">
        <f t="shared" si="27"/>
        <v>100</v>
      </c>
      <c r="F108" s="944">
        <f t="shared" si="27"/>
        <v>100</v>
      </c>
      <c r="G108" s="944">
        <f t="shared" si="27"/>
        <v>100</v>
      </c>
      <c r="H108" s="944">
        <f t="shared" si="27"/>
        <v>100</v>
      </c>
      <c r="I108" s="944">
        <f t="shared" si="27"/>
        <v>100</v>
      </c>
      <c r="J108" s="944">
        <f t="shared" si="27"/>
        <v>100</v>
      </c>
      <c r="K108" s="944">
        <f t="shared" si="27"/>
        <v>100</v>
      </c>
      <c r="L108" s="944">
        <f t="shared" si="27"/>
        <v>100</v>
      </c>
      <c r="M108" s="944">
        <f t="shared" si="27"/>
        <v>100</v>
      </c>
      <c r="N108" s="991"/>
      <c r="O108" s="991"/>
      <c r="P108" s="1277"/>
      <c r="Q108" s="911"/>
    </row>
    <row r="109" spans="1:17">
      <c r="A109" s="972"/>
      <c r="B109" s="941" t="s">
        <v>1315</v>
      </c>
      <c r="C109" s="1317" t="s">
        <v>1350</v>
      </c>
      <c r="D109" s="1317" t="s">
        <v>1325</v>
      </c>
      <c r="E109" s="1317" t="s">
        <v>1316</v>
      </c>
      <c r="F109" s="1319" t="s">
        <v>1351</v>
      </c>
      <c r="G109" s="965"/>
      <c r="H109" s="965"/>
      <c r="I109" s="965"/>
      <c r="J109" s="965"/>
      <c r="K109" s="1019"/>
      <c r="L109" s="1020"/>
      <c r="M109" s="1021"/>
      <c r="N109" s="988"/>
      <c r="O109" s="988"/>
      <c r="P109" s="1277"/>
      <c r="Q109" s="911"/>
    </row>
    <row r="110" spans="1:17" ht="15">
      <c r="A110" s="938"/>
      <c r="B110" s="943"/>
      <c r="C110" s="944">
        <v>100</v>
      </c>
      <c r="D110" s="944">
        <f t="shared" ref="D110:M110" si="28">C110-$K36</f>
        <v>98</v>
      </c>
      <c r="E110" s="944">
        <f t="shared" si="28"/>
        <v>96</v>
      </c>
      <c r="F110" s="944">
        <f t="shared" si="28"/>
        <v>94</v>
      </c>
      <c r="G110" s="944">
        <f t="shared" si="28"/>
        <v>92</v>
      </c>
      <c r="H110" s="944">
        <f t="shared" si="28"/>
        <v>90</v>
      </c>
      <c r="I110" s="944">
        <f t="shared" si="28"/>
        <v>88</v>
      </c>
      <c r="J110" s="944">
        <f t="shared" si="28"/>
        <v>86</v>
      </c>
      <c r="K110" s="944">
        <f t="shared" si="28"/>
        <v>84</v>
      </c>
      <c r="L110" s="944">
        <f t="shared" si="28"/>
        <v>82</v>
      </c>
      <c r="M110" s="944">
        <f t="shared" si="28"/>
        <v>80</v>
      </c>
      <c r="N110" s="991"/>
      <c r="O110" s="991"/>
      <c r="P110" s="1277"/>
      <c r="Q110" s="911"/>
    </row>
    <row r="111" spans="1:17" s="707" customFormat="1">
      <c r="A111" s="968"/>
      <c r="B111" s="941" t="s">
        <v>1317</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103</v>
      </c>
      <c r="E113" s="944">
        <f>D113+$K37</f>
        <v>106</v>
      </c>
      <c r="F113" s="944">
        <f>E113+$K37</f>
        <v>109</v>
      </c>
      <c r="G113" s="944">
        <f>F113+$K37</f>
        <v>112</v>
      </c>
      <c r="H113" s="944">
        <f>G113+$K37</f>
        <v>115</v>
      </c>
      <c r="I113" s="962"/>
      <c r="J113" s="964"/>
      <c r="K113" s="964"/>
      <c r="L113" s="964"/>
      <c r="M113" s="1017"/>
      <c r="N113" s="1001"/>
      <c r="O113" s="1001"/>
      <c r="P113" s="1280"/>
      <c r="Q113" s="1032"/>
    </row>
    <row r="114" spans="1:17">
      <c r="A114" s="972"/>
      <c r="B114" s="941" t="s">
        <v>1318</v>
      </c>
      <c r="C114" s="1317" t="s">
        <v>1352</v>
      </c>
      <c r="D114" s="1317" t="s">
        <v>1319</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9">C115-$K38</f>
        <v>99</v>
      </c>
      <c r="E115" s="944">
        <f t="shared" si="29"/>
        <v>98</v>
      </c>
      <c r="F115" s="944">
        <f t="shared" si="29"/>
        <v>97</v>
      </c>
      <c r="G115" s="944">
        <f t="shared" si="29"/>
        <v>96</v>
      </c>
      <c r="H115" s="944">
        <f t="shared" si="29"/>
        <v>95</v>
      </c>
      <c r="I115" s="944">
        <f t="shared" si="29"/>
        <v>94</v>
      </c>
      <c r="J115" s="944">
        <f t="shared" si="29"/>
        <v>93</v>
      </c>
      <c r="K115" s="944">
        <f t="shared" si="29"/>
        <v>92</v>
      </c>
      <c r="L115" s="944">
        <f t="shared" si="29"/>
        <v>91</v>
      </c>
      <c r="M115" s="944">
        <f t="shared" si="29"/>
        <v>90</v>
      </c>
      <c r="N115" s="991"/>
      <c r="O115" s="991"/>
      <c r="P115" s="1277"/>
      <c r="Q115" s="911"/>
    </row>
    <row r="116" spans="1:17">
      <c r="A116" s="972"/>
      <c r="B116" s="941" t="s">
        <v>1320</v>
      </c>
      <c r="C116" s="949" t="s">
        <v>1299</v>
      </c>
      <c r="D116" s="949" t="s">
        <v>1321</v>
      </c>
      <c r="E116" s="949" t="s">
        <v>1353</v>
      </c>
      <c r="F116" s="949" t="s">
        <v>1354</v>
      </c>
      <c r="G116" s="949" t="s">
        <v>1355</v>
      </c>
      <c r="H116" s="965"/>
      <c r="I116" s="965"/>
      <c r="J116" s="965"/>
      <c r="K116" s="1019"/>
      <c r="L116" s="1020"/>
      <c r="M116" s="1021"/>
      <c r="N116" s="988"/>
      <c r="O116" s="988"/>
      <c r="P116" s="1277"/>
      <c r="Q116" s="911"/>
    </row>
    <row r="117" spans="1:17" ht="15">
      <c r="A117" s="938"/>
      <c r="B117" s="943"/>
      <c r="C117" s="944">
        <v>100</v>
      </c>
      <c r="D117" s="944">
        <f>C117-$K39</f>
        <v>99</v>
      </c>
      <c r="E117" s="944">
        <f>D117-$K39</f>
        <v>98</v>
      </c>
      <c r="F117" s="944">
        <f>E117-$K39</f>
        <v>97</v>
      </c>
      <c r="G117" s="944">
        <f>F117-$K39</f>
        <v>96</v>
      </c>
      <c r="H117" s="944"/>
      <c r="I117" s="944"/>
      <c r="J117" s="944"/>
      <c r="K117" s="944"/>
      <c r="L117" s="944"/>
      <c r="M117" s="995"/>
      <c r="N117" s="991"/>
      <c r="O117" s="991"/>
      <c r="P117" s="1277"/>
      <c r="Q117" s="911"/>
    </row>
    <row r="118" spans="1:17">
      <c r="A118" s="972"/>
      <c r="B118" s="941" t="s">
        <v>1322</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30">C119-$K40</f>
        <v>100</v>
      </c>
      <c r="E119" s="944">
        <f t="shared" si="30"/>
        <v>100</v>
      </c>
      <c r="F119" s="944">
        <f t="shared" si="30"/>
        <v>100</v>
      </c>
      <c r="G119" s="944">
        <f t="shared" si="30"/>
        <v>100</v>
      </c>
      <c r="H119" s="944">
        <f t="shared" si="30"/>
        <v>100</v>
      </c>
      <c r="I119" s="944">
        <f t="shared" si="30"/>
        <v>100</v>
      </c>
      <c r="J119" s="944">
        <f t="shared" si="30"/>
        <v>100</v>
      </c>
      <c r="K119" s="944">
        <f t="shared" si="30"/>
        <v>100</v>
      </c>
      <c r="L119" s="944">
        <f t="shared" si="30"/>
        <v>100</v>
      </c>
      <c r="M119" s="944">
        <f t="shared" si="30"/>
        <v>100</v>
      </c>
      <c r="N119" s="991"/>
      <c r="O119" s="991"/>
      <c r="P119" s="1277"/>
      <c r="Q119" s="911"/>
    </row>
    <row r="120" spans="1:17" s="707" customFormat="1" ht="27.75">
      <c r="A120" s="968"/>
      <c r="B120" s="941" t="s">
        <v>1323</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1324</v>
      </c>
      <c r="C122" s="949" t="s">
        <v>1350</v>
      </c>
      <c r="D122" s="949" t="s">
        <v>1325</v>
      </c>
      <c r="E122" s="949" t="s">
        <v>1316</v>
      </c>
      <c r="F122" s="965" t="s">
        <v>1351</v>
      </c>
      <c r="G122" s="965"/>
      <c r="H122" s="965"/>
      <c r="I122" s="965"/>
      <c r="J122" s="965"/>
      <c r="K122" s="1019"/>
      <c r="L122" s="1020"/>
      <c r="M122" s="1021"/>
      <c r="N122" s="988"/>
      <c r="O122" s="988"/>
      <c r="P122" s="1277"/>
      <c r="Q122" s="911"/>
    </row>
    <row r="123" spans="1:17" ht="15">
      <c r="A123" s="938"/>
      <c r="B123" s="943"/>
      <c r="C123" s="944">
        <v>100</v>
      </c>
      <c r="D123" s="944">
        <f t="shared" ref="D123:M123" si="31">C123-$K42</f>
        <v>98</v>
      </c>
      <c r="E123" s="944">
        <f t="shared" si="31"/>
        <v>96</v>
      </c>
      <c r="F123" s="944">
        <f t="shared" si="31"/>
        <v>94</v>
      </c>
      <c r="G123" s="944">
        <f t="shared" si="31"/>
        <v>92</v>
      </c>
      <c r="H123" s="944">
        <f t="shared" si="31"/>
        <v>90</v>
      </c>
      <c r="I123" s="944">
        <f t="shared" si="31"/>
        <v>88</v>
      </c>
      <c r="J123" s="944">
        <f t="shared" si="31"/>
        <v>86</v>
      </c>
      <c r="K123" s="944">
        <f t="shared" si="31"/>
        <v>84</v>
      </c>
      <c r="L123" s="944">
        <f t="shared" si="31"/>
        <v>82</v>
      </c>
      <c r="M123" s="944">
        <f t="shared" si="31"/>
        <v>80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98</v>
      </c>
      <c r="E125" s="944">
        <f>D125-$K43</f>
        <v>96</v>
      </c>
      <c r="F125" s="944">
        <f>E125-$K43</f>
        <v>94</v>
      </c>
      <c r="G125" s="944">
        <f>F125-$K43</f>
        <v>92</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1356</v>
      </c>
    </row>
    <row r="137" spans="1:17" ht="15">
      <c r="B137" s="1324" t="s">
        <v>1357</v>
      </c>
      <c r="C137" s="1325"/>
      <c r="D137" s="1325"/>
      <c r="E137" s="1325"/>
      <c r="F137" s="1325"/>
      <c r="G137" s="1326"/>
      <c r="H137" s="1327"/>
      <c r="I137" s="1351" t="s">
        <v>1358</v>
      </c>
      <c r="J137" s="1325"/>
      <c r="K137" s="1352"/>
    </row>
    <row r="138" spans="1:17" ht="15">
      <c r="B138" s="1328"/>
      <c r="C138" s="1061" t="s">
        <v>1359</v>
      </c>
      <c r="D138" s="1061" t="s">
        <v>1360</v>
      </c>
      <c r="E138" s="1329" t="s">
        <v>1361</v>
      </c>
      <c r="F138" s="1330" t="s">
        <v>1362</v>
      </c>
      <c r="G138" s="1061" t="s">
        <v>1360</v>
      </c>
      <c r="H138" s="1331" t="s">
        <v>1361</v>
      </c>
      <c r="I138" s="1353"/>
      <c r="J138" s="1061" t="s">
        <v>1363</v>
      </c>
      <c r="K138" s="1331" t="s">
        <v>1364</v>
      </c>
    </row>
    <row r="139" spans="1:17" ht="15">
      <c r="B139" s="1332">
        <v>6</v>
      </c>
      <c r="C139" s="1333">
        <v>96</v>
      </c>
      <c r="D139" s="1334" t="s">
        <v>1365</v>
      </c>
      <c r="E139" s="1335">
        <v>100</v>
      </c>
      <c r="F139" s="1336">
        <v>102.5</v>
      </c>
      <c r="G139" s="1334" t="s">
        <v>1365</v>
      </c>
      <c r="H139" s="1337">
        <v>105</v>
      </c>
      <c r="I139" s="1354" t="s">
        <v>1366</v>
      </c>
      <c r="J139" s="1333">
        <v>20</v>
      </c>
      <c r="K139" s="1355">
        <f>C145/(J139-2)</f>
        <v>4.0555555555555596E-3</v>
      </c>
    </row>
    <row r="140" spans="1:17" ht="15">
      <c r="B140" s="1338">
        <v>5</v>
      </c>
      <c r="C140" s="1339">
        <v>100</v>
      </c>
      <c r="D140" s="1339"/>
      <c r="E140" s="1340"/>
      <c r="F140" s="1341">
        <v>102</v>
      </c>
      <c r="G140" s="1339"/>
      <c r="H140" s="1342"/>
      <c r="I140" s="1356" t="s">
        <v>1367</v>
      </c>
      <c r="J140" s="1357">
        <f>ROUNDUP((J139-1)/2,0)</f>
        <v>10</v>
      </c>
      <c r="K140" s="1358">
        <v>100</v>
      </c>
    </row>
    <row r="141" spans="1:17" ht="15">
      <c r="B141" s="1338">
        <v>4</v>
      </c>
      <c r="C141" s="1339">
        <v>102</v>
      </c>
      <c r="D141" s="1339"/>
      <c r="E141" s="1340"/>
      <c r="F141" s="1341">
        <v>101.5</v>
      </c>
      <c r="G141" s="1339"/>
      <c r="H141" s="1342"/>
      <c r="I141" s="1356" t="s">
        <v>1368</v>
      </c>
      <c r="J141" s="1357">
        <v>1</v>
      </c>
      <c r="K141" s="1359">
        <f>ROUND(100+(J141-J140)*K139*100,1)</f>
        <v>96.4</v>
      </c>
    </row>
    <row r="142" spans="1:17" ht="15">
      <c r="B142" s="1338">
        <v>3</v>
      </c>
      <c r="C142" s="1339">
        <v>103</v>
      </c>
      <c r="D142" s="1339"/>
      <c r="E142" s="1340"/>
      <c r="F142" s="1341">
        <v>101</v>
      </c>
      <c r="G142" s="1339"/>
      <c r="H142" s="1342"/>
      <c r="I142" s="1356" t="s">
        <v>1369</v>
      </c>
      <c r="J142" s="1357">
        <f>J139</f>
        <v>20</v>
      </c>
      <c r="K142" s="1360">
        <v>95</v>
      </c>
    </row>
    <row r="143" spans="1:17" ht="15">
      <c r="B143" s="1338">
        <v>2</v>
      </c>
      <c r="C143" s="1339">
        <v>100</v>
      </c>
      <c r="D143" s="1339"/>
      <c r="E143" s="1340"/>
      <c r="F143" s="1341">
        <v>100.5</v>
      </c>
      <c r="G143" s="1339"/>
      <c r="H143" s="1342"/>
      <c r="I143" s="1356" t="s">
        <v>1370</v>
      </c>
      <c r="J143" s="1339">
        <v>15</v>
      </c>
      <c r="K143" s="1359">
        <f>ROUND(100+(J143-J140)*K139*100,1)</f>
        <v>102</v>
      </c>
    </row>
    <row r="144" spans="1:17" ht="15">
      <c r="B144" s="1338">
        <v>1</v>
      </c>
      <c r="C144" s="1339">
        <v>98</v>
      </c>
      <c r="D144" s="1343" t="s">
        <v>1371</v>
      </c>
      <c r="E144" s="1340">
        <v>102</v>
      </c>
      <c r="F144" s="1344">
        <v>100</v>
      </c>
      <c r="G144" s="1343" t="s">
        <v>1371</v>
      </c>
      <c r="H144" s="1342">
        <v>105</v>
      </c>
      <c r="I144" s="1356" t="s">
        <v>1370</v>
      </c>
      <c r="J144" s="1339">
        <v>18</v>
      </c>
      <c r="K144" s="1359">
        <f>ROUND(100+(J144-J140)*K139*100,1)</f>
        <v>103.2</v>
      </c>
    </row>
    <row r="145" spans="2:11" ht="15">
      <c r="B145" s="1345" t="s">
        <v>1372</v>
      </c>
      <c r="C145" s="1346">
        <f>ROUND(MAX(C139:C144)/MIN(C139:C144)-1,3)</f>
        <v>7.2999999999999995E-2</v>
      </c>
      <c r="D145" s="1347"/>
      <c r="E145" s="1347"/>
      <c r="F145" s="1348" t="s">
        <v>1373</v>
      </c>
      <c r="G145" s="1349"/>
      <c r="H145" s="1350"/>
      <c r="I145" s="1361" t="s">
        <v>1370</v>
      </c>
      <c r="J145" s="1362">
        <v>8</v>
      </c>
      <c r="K145" s="1363">
        <f>ROUND(100+(J145-J140)*K139*100,1)</f>
        <v>99.2</v>
      </c>
    </row>
    <row r="147" spans="2:11">
      <c r="B147" s="1323" t="s">
        <v>1374</v>
      </c>
    </row>
    <row r="148" spans="2:11">
      <c r="B148" s="1323" t="s">
        <v>1375</v>
      </c>
    </row>
    <row r="174" spans="4:5">
      <c r="D174" s="711">
        <f>38000*62.2</f>
        <v>2363600</v>
      </c>
      <c r="E174" s="711">
        <f>59000*C33</f>
        <v>3240280</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5"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1376</v>
      </c>
      <c r="C1" s="1235"/>
      <c r="D1" s="1259"/>
      <c r="E1" s="1081"/>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831</v>
      </c>
      <c r="B3" s="723" t="e">
        <f ca="1">ROUND(IF(D2="——",C49,IF(C2="万元",B2*10000/D3,B2/D3)),0)</f>
        <v>#DIV/0!</v>
      </c>
      <c r="C3" s="1090" t="s">
        <v>1268</v>
      </c>
      <c r="D3" s="1091">
        <f>IF(C1="仅计算典型户型",'数据-取费表'!E5,'数据-取费表'!B5)</f>
        <v>54.92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25"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25"/>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25"/>
      <c r="AC6" s="3012"/>
    </row>
    <row r="7" spans="1:29" s="705" customFormat="1" ht="15">
      <c r="A7" s="730" t="s">
        <v>1282</v>
      </c>
      <c r="B7" s="731"/>
      <c r="C7" s="732">
        <f>'数据-取费表'!B2</f>
        <v>43695</v>
      </c>
      <c r="D7" s="733">
        <v>100</v>
      </c>
      <c r="E7" s="734"/>
      <c r="F7" s="735">
        <f>SUMIF(58:58,YEAR(E7)&amp;"-"&amp;MONTH(E7),59:59)</f>
        <v>0</v>
      </c>
      <c r="G7" s="734"/>
      <c r="H7" s="733">
        <f>SUMIF(58:58,YEAR(G7)&amp;"-"&amp;MONTH(G7),59:59)</f>
        <v>0</v>
      </c>
      <c r="I7" s="734"/>
      <c r="J7" s="733">
        <f>SUMIF(58:58,YEAR(I7)&amp;"-"&amp;MONTH(I7),59:59)</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SUMIF(61:61,E8,62:62)-SUMIF(61:61,C8,62:62)+100</f>
        <v>0</v>
      </c>
      <c r="G8" s="737"/>
      <c r="H8" s="733">
        <f>SUMIF(61:61,G8,62:62)-SUMIF(61:61,C8,62:62)+100</f>
        <v>0</v>
      </c>
      <c r="I8" s="737"/>
      <c r="J8" s="733">
        <f>SUMIF(61:61,I8,62:62)-SUMIF(61:61,C8,62:62)+100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6" si="3">D8/F8</f>
        <v>#DIV/0!</v>
      </c>
      <c r="AB8" s="915" t="e">
        <f t="shared" ref="AB8:AB46" si="4">D8/H8</f>
        <v>#DIV/0!</v>
      </c>
      <c r="AC8" s="915" t="e">
        <f t="shared" ref="AC8:AC46" si="5">D8/J8</f>
        <v>#DIV/0!</v>
      </c>
    </row>
    <row r="9" spans="1:29" s="705" customFormat="1">
      <c r="A9" s="738" t="s">
        <v>1289</v>
      </c>
      <c r="B9" s="739" t="s">
        <v>1290</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35"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35"/>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35"/>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35"/>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35"/>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35"/>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71.25">
      <c r="A15" s="760" t="s">
        <v>1296</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36" t="s">
        <v>1297</v>
      </c>
      <c r="Q15" s="494" t="str">
        <f t="shared" si="6"/>
        <v>商业繁华度</v>
      </c>
      <c r="R15" s="906" t="s">
        <v>1284</v>
      </c>
      <c r="S15" s="907">
        <f t="shared" si="0"/>
        <v>100</v>
      </c>
      <c r="T15" s="906" t="s">
        <v>1284</v>
      </c>
      <c r="U15" s="907">
        <f t="shared" si="1"/>
        <v>100</v>
      </c>
      <c r="V15" s="906" t="s">
        <v>1284</v>
      </c>
      <c r="W15" s="907">
        <f t="shared" si="2"/>
        <v>100</v>
      </c>
      <c r="X15" s="900"/>
      <c r="Y15" s="3041" t="s">
        <v>1297</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37"/>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37"/>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37"/>
      <c r="Q18" s="494"/>
      <c r="R18" s="906"/>
      <c r="S18" s="907"/>
      <c r="T18" s="906"/>
      <c r="U18" s="907"/>
      <c r="V18" s="906"/>
      <c r="W18" s="907"/>
      <c r="X18" s="900"/>
      <c r="Y18" s="3042"/>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37"/>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37"/>
      <c r="Q20" s="494"/>
      <c r="R20" s="906"/>
      <c r="S20" s="907"/>
      <c r="T20" s="906"/>
      <c r="U20" s="907"/>
      <c r="V20" s="906"/>
      <c r="W20" s="907"/>
      <c r="X20" s="900"/>
      <c r="Y20" s="3042"/>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37"/>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37"/>
      <c r="Q22" s="494"/>
      <c r="R22" s="906"/>
      <c r="S22" s="907"/>
      <c r="T22" s="906"/>
      <c r="U22" s="907"/>
      <c r="V22" s="906"/>
      <c r="W22" s="907"/>
      <c r="X22" s="900"/>
      <c r="Y22" s="3042"/>
      <c r="Z22" s="835"/>
      <c r="AA22" s="917">
        <v>1</v>
      </c>
      <c r="AB22" s="917">
        <v>1</v>
      </c>
      <c r="AC22" s="917">
        <v>1</v>
      </c>
    </row>
    <row r="23" spans="1:29" ht="57">
      <c r="A23" s="746"/>
      <c r="B23" s="1103" t="s">
        <v>570</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37"/>
      <c r="Q23" s="494" t="str">
        <f>B23</f>
        <v>自然及人文环境</v>
      </c>
      <c r="R23" s="906" t="s">
        <v>1284</v>
      </c>
      <c r="S23" s="907">
        <f>F23</f>
        <v>100</v>
      </c>
      <c r="T23" s="906" t="s">
        <v>1284</v>
      </c>
      <c r="U23" s="907">
        <f>H23</f>
        <v>100</v>
      </c>
      <c r="V23" s="906" t="s">
        <v>1284</v>
      </c>
      <c r="W23" s="907">
        <f>J23</f>
        <v>100</v>
      </c>
      <c r="X23" s="900"/>
      <c r="Y23" s="3042"/>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37"/>
      <c r="Q24" s="494"/>
      <c r="R24" s="906"/>
      <c r="S24" s="907"/>
      <c r="T24" s="906"/>
      <c r="U24" s="907"/>
      <c r="V24" s="906"/>
      <c r="W24" s="907"/>
      <c r="X24" s="900"/>
      <c r="Y24" s="3042"/>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37"/>
      <c r="Q25" s="494" t="str">
        <f t="shared" ref="Q25:Q46" si="11">B25</f>
        <v>临街状况</v>
      </c>
      <c r="R25" s="906" t="s">
        <v>1284</v>
      </c>
      <c r="S25" s="907">
        <f>F25</f>
        <v>100</v>
      </c>
      <c r="T25" s="906" t="s">
        <v>1284</v>
      </c>
      <c r="U25" s="907">
        <f>H25</f>
        <v>100</v>
      </c>
      <c r="V25" s="906" t="s">
        <v>1284</v>
      </c>
      <c r="W25" s="907">
        <f>J25</f>
        <v>100</v>
      </c>
      <c r="X25" s="900"/>
      <c r="Y25" s="3042"/>
      <c r="Z25" s="835" t="str">
        <f>Q25</f>
        <v>临街状况</v>
      </c>
      <c r="AA25" s="917">
        <f t="shared" si="3"/>
        <v>1</v>
      </c>
      <c r="AB25" s="917">
        <f t="shared" si="4"/>
        <v>1</v>
      </c>
      <c r="AC25" s="917">
        <f t="shared" si="5"/>
        <v>1</v>
      </c>
    </row>
    <row r="26" spans="1:29" ht="15">
      <c r="A26" s="746"/>
      <c r="B26" s="1239" t="s">
        <v>1377</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37"/>
      <c r="Q26" s="494" t="str">
        <f t="shared" si="11"/>
        <v>平面位置/可视性</v>
      </c>
      <c r="R26" s="906" t="s">
        <v>1284</v>
      </c>
      <c r="S26" s="907">
        <f>F26</f>
        <v>100</v>
      </c>
      <c r="T26" s="906" t="s">
        <v>1284</v>
      </c>
      <c r="U26" s="907">
        <f>H26</f>
        <v>100</v>
      </c>
      <c r="V26" s="906" t="s">
        <v>1284</v>
      </c>
      <c r="W26" s="907">
        <f>J26</f>
        <v>100</v>
      </c>
      <c r="X26" s="900"/>
      <c r="Y26" s="3042"/>
      <c r="Z26" s="835" t="str">
        <f>Q26</f>
        <v>平面位置/可视性</v>
      </c>
      <c r="AA26" s="917">
        <f t="shared" si="3"/>
        <v>1</v>
      </c>
      <c r="AB26" s="917">
        <f t="shared" si="4"/>
        <v>1</v>
      </c>
      <c r="AC26" s="917">
        <f t="shared" si="5"/>
        <v>1</v>
      </c>
    </row>
    <row r="27" spans="1:29" s="705" customFormat="1" ht="15">
      <c r="A27" s="749"/>
      <c r="B27" s="1103" t="s">
        <v>1378</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37"/>
      <c r="Q27" s="905" t="str">
        <f t="shared" si="11"/>
        <v>人流量</v>
      </c>
      <c r="R27" s="902" t="s">
        <v>1284</v>
      </c>
      <c r="S27" s="903">
        <f>F27</f>
        <v>100</v>
      </c>
      <c r="T27" s="902" t="s">
        <v>1284</v>
      </c>
      <c r="U27" s="903">
        <f>H27</f>
        <v>100</v>
      </c>
      <c r="V27" s="902" t="s">
        <v>1284</v>
      </c>
      <c r="W27" s="903">
        <f>J27</f>
        <v>100</v>
      </c>
      <c r="X27" s="904"/>
      <c r="Y27" s="3042"/>
      <c r="Z27" s="916" t="str">
        <f>Q27</f>
        <v>人流量</v>
      </c>
      <c r="AA27" s="917">
        <f t="shared" si="3"/>
        <v>1</v>
      </c>
      <c r="AB27" s="917">
        <f t="shared" si="4"/>
        <v>1</v>
      </c>
      <c r="AC27" s="917">
        <f t="shared" si="5"/>
        <v>1</v>
      </c>
    </row>
    <row r="28" spans="1:29" ht="15">
      <c r="A28" s="746"/>
      <c r="B28" s="743" t="s">
        <v>1379</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37"/>
      <c r="Q28" s="494" t="str">
        <f t="shared" si="11"/>
        <v>楼层</v>
      </c>
      <c r="R28" s="906" t="s">
        <v>1284</v>
      </c>
      <c r="S28" s="907">
        <f t="shared" ref="S28:S46" si="12">F28</f>
        <v>100</v>
      </c>
      <c r="T28" s="906" t="s">
        <v>1284</v>
      </c>
      <c r="U28" s="907">
        <f t="shared" ref="U28:U46" si="13">H28</f>
        <v>100</v>
      </c>
      <c r="V28" s="906" t="s">
        <v>1284</v>
      </c>
      <c r="W28" s="907">
        <f t="shared" ref="W28:W46" si="14">J28</f>
        <v>100</v>
      </c>
      <c r="X28" s="900"/>
      <c r="Y28" s="3042"/>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37"/>
      <c r="Q29" s="494">
        <f t="shared" si="11"/>
        <v>111</v>
      </c>
      <c r="R29" s="906" t="s">
        <v>1284</v>
      </c>
      <c r="S29" s="907">
        <f t="shared" si="12"/>
        <v>100</v>
      </c>
      <c r="T29" s="906" t="s">
        <v>1284</v>
      </c>
      <c r="U29" s="907">
        <f t="shared" si="13"/>
        <v>100</v>
      </c>
      <c r="V29" s="906" t="s">
        <v>1284</v>
      </c>
      <c r="W29" s="907">
        <f t="shared" si="14"/>
        <v>100</v>
      </c>
      <c r="X29" s="900"/>
      <c r="Y29" s="3042"/>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37"/>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37"/>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60" t="s">
        <v>1308</v>
      </c>
      <c r="B32" s="739" t="s">
        <v>1380</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38" t="s">
        <v>1311</v>
      </c>
      <c r="Q32" s="494" t="str">
        <f t="shared" si="11"/>
        <v>商业类型</v>
      </c>
      <c r="R32" s="906" t="s">
        <v>1284</v>
      </c>
      <c r="S32" s="907">
        <f t="shared" si="12"/>
        <v>100</v>
      </c>
      <c r="T32" s="906" t="s">
        <v>1284</v>
      </c>
      <c r="U32" s="907">
        <f t="shared" si="13"/>
        <v>100</v>
      </c>
      <c r="V32" s="906" t="s">
        <v>1284</v>
      </c>
      <c r="W32" s="907">
        <f t="shared" si="14"/>
        <v>100</v>
      </c>
      <c r="X32" s="900"/>
      <c r="Y32" s="3043" t="s">
        <v>1311</v>
      </c>
      <c r="Z32" s="835" t="str">
        <f t="shared" si="15"/>
        <v>商业类型</v>
      </c>
      <c r="AA32" s="917">
        <f t="shared" si="3"/>
        <v>1</v>
      </c>
      <c r="AB32" s="917">
        <f t="shared" si="4"/>
        <v>1</v>
      </c>
      <c r="AC32" s="917">
        <f t="shared" si="5"/>
        <v>1</v>
      </c>
    </row>
    <row r="33" spans="1:29" s="707" customFormat="1" ht="15">
      <c r="A33" s="802"/>
      <c r="B33" s="743" t="s">
        <v>1312</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39"/>
      <c r="Q33" s="1149" t="str">
        <f t="shared" si="11"/>
        <v>项目建筑规模</v>
      </c>
      <c r="R33" s="908" t="s">
        <v>1284</v>
      </c>
      <c r="S33" s="909" t="e">
        <f t="shared" si="12"/>
        <v>#N/A</v>
      </c>
      <c r="T33" s="908" t="s">
        <v>1284</v>
      </c>
      <c r="U33" s="909" t="e">
        <f t="shared" si="13"/>
        <v>#N/A</v>
      </c>
      <c r="V33" s="908" t="s">
        <v>1284</v>
      </c>
      <c r="W33" s="909" t="e">
        <f t="shared" si="14"/>
        <v>#N/A</v>
      </c>
      <c r="X33" s="910"/>
      <c r="Y33" s="3043"/>
      <c r="Z33" s="918" t="str">
        <f t="shared" si="15"/>
        <v>项目建筑规模</v>
      </c>
      <c r="AA33" s="917" t="e">
        <f t="shared" si="3"/>
        <v>#N/A</v>
      </c>
      <c r="AB33" s="917" t="e">
        <f t="shared" si="4"/>
        <v>#N/A</v>
      </c>
      <c r="AC33" s="917" t="e">
        <f t="shared" si="5"/>
        <v>#N/A</v>
      </c>
    </row>
    <row r="34" spans="1:29" ht="15">
      <c r="A34" s="794"/>
      <c r="B34" s="743" t="s">
        <v>1313</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39"/>
      <c r="Q34" s="494" t="str">
        <f t="shared" si="11"/>
        <v>建筑结构</v>
      </c>
      <c r="R34" s="906" t="s">
        <v>1284</v>
      </c>
      <c r="S34" s="907">
        <f t="shared" si="12"/>
        <v>100</v>
      </c>
      <c r="T34" s="906" t="s">
        <v>1284</v>
      </c>
      <c r="U34" s="907">
        <f t="shared" si="13"/>
        <v>100</v>
      </c>
      <c r="V34" s="906" t="s">
        <v>1284</v>
      </c>
      <c r="W34" s="907">
        <f t="shared" si="14"/>
        <v>100</v>
      </c>
      <c r="X34" s="900"/>
      <c r="Y34" s="3043"/>
      <c r="Z34" s="835" t="str">
        <f t="shared" si="15"/>
        <v>建筑结构</v>
      </c>
      <c r="AA34" s="917">
        <f t="shared" si="3"/>
        <v>1</v>
      </c>
      <c r="AB34" s="917">
        <f t="shared" si="4"/>
        <v>1</v>
      </c>
      <c r="AC34" s="917">
        <f t="shared" si="5"/>
        <v>1</v>
      </c>
    </row>
    <row r="35" spans="1:29" ht="15">
      <c r="A35" s="794"/>
      <c r="B35" s="743" t="s">
        <v>1315</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39"/>
      <c r="Q35" s="494" t="str">
        <f t="shared" si="11"/>
        <v>公共部分装修</v>
      </c>
      <c r="R35" s="906" t="s">
        <v>1284</v>
      </c>
      <c r="S35" s="907">
        <f t="shared" si="12"/>
        <v>100</v>
      </c>
      <c r="T35" s="906" t="s">
        <v>1284</v>
      </c>
      <c r="U35" s="907">
        <f t="shared" si="13"/>
        <v>100</v>
      </c>
      <c r="V35" s="906" t="s">
        <v>1284</v>
      </c>
      <c r="W35" s="907">
        <f t="shared" si="14"/>
        <v>100</v>
      </c>
      <c r="X35" s="900"/>
      <c r="Y35" s="3043"/>
      <c r="Z35" s="835" t="str">
        <f t="shared" si="15"/>
        <v>公共部分装修</v>
      </c>
      <c r="AA35" s="917">
        <f t="shared" si="3"/>
        <v>1</v>
      </c>
      <c r="AB35" s="917">
        <f t="shared" si="4"/>
        <v>1</v>
      </c>
      <c r="AC35" s="917">
        <f t="shared" si="5"/>
        <v>1</v>
      </c>
    </row>
    <row r="36" spans="1:29" ht="15">
      <c r="A36" s="794"/>
      <c r="B36" s="743" t="s">
        <v>1317</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39"/>
      <c r="Q36" s="494" t="str">
        <f t="shared" si="11"/>
        <v>成新度</v>
      </c>
      <c r="R36" s="906" t="s">
        <v>1284</v>
      </c>
      <c r="S36" s="907" t="e">
        <f t="shared" si="12"/>
        <v>#N/A</v>
      </c>
      <c r="T36" s="906" t="s">
        <v>1284</v>
      </c>
      <c r="U36" s="907" t="e">
        <f t="shared" si="13"/>
        <v>#N/A</v>
      </c>
      <c r="V36" s="906" t="s">
        <v>1284</v>
      </c>
      <c r="W36" s="907" t="e">
        <f t="shared" si="14"/>
        <v>#N/A</v>
      </c>
      <c r="X36" s="900"/>
      <c r="Y36" s="3043"/>
      <c r="Z36" s="835" t="str">
        <f t="shared" si="15"/>
        <v>成新度</v>
      </c>
      <c r="AA36" s="917" t="e">
        <f t="shared" si="3"/>
        <v>#N/A</v>
      </c>
      <c r="AB36" s="917" t="e">
        <f t="shared" si="4"/>
        <v>#N/A</v>
      </c>
      <c r="AC36" s="917" t="e">
        <f t="shared" si="5"/>
        <v>#N/A</v>
      </c>
    </row>
    <row r="37" spans="1:29" s="705" customFormat="1" ht="15">
      <c r="A37" s="799"/>
      <c r="B37" s="743" t="s">
        <v>1320</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39"/>
      <c r="Q37" s="905" t="str">
        <f t="shared" si="11"/>
        <v>市政基础设施</v>
      </c>
      <c r="R37" s="902" t="s">
        <v>1284</v>
      </c>
      <c r="S37" s="903">
        <f t="shared" si="12"/>
        <v>100</v>
      </c>
      <c r="T37" s="902" t="s">
        <v>1284</v>
      </c>
      <c r="U37" s="903">
        <f t="shared" si="13"/>
        <v>100</v>
      </c>
      <c r="V37" s="902" t="s">
        <v>1284</v>
      </c>
      <c r="W37" s="903">
        <f t="shared" si="14"/>
        <v>100</v>
      </c>
      <c r="X37" s="904"/>
      <c r="Y37" s="3043"/>
      <c r="Z37" s="916" t="str">
        <f t="shared" si="15"/>
        <v>市政基础设施</v>
      </c>
      <c r="AA37" s="915">
        <f t="shared" si="3"/>
        <v>1</v>
      </c>
      <c r="AB37" s="915">
        <f t="shared" si="4"/>
        <v>1</v>
      </c>
      <c r="AC37" s="915">
        <f t="shared" si="5"/>
        <v>1</v>
      </c>
    </row>
    <row r="38" spans="1:29" ht="15">
      <c r="A38" s="794"/>
      <c r="B38" s="743" t="s">
        <v>1381</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39" t="s">
        <v>1311</v>
      </c>
      <c r="Q38" s="494" t="str">
        <f t="shared" si="11"/>
        <v>业态</v>
      </c>
      <c r="R38" s="906" t="s">
        <v>1284</v>
      </c>
      <c r="S38" s="907">
        <f t="shared" si="12"/>
        <v>100</v>
      </c>
      <c r="T38" s="906" t="s">
        <v>1284</v>
      </c>
      <c r="U38" s="907">
        <f t="shared" si="13"/>
        <v>100</v>
      </c>
      <c r="V38" s="906" t="s">
        <v>1284</v>
      </c>
      <c r="W38" s="907">
        <f t="shared" si="14"/>
        <v>100</v>
      </c>
      <c r="X38" s="900"/>
      <c r="Y38" s="3043" t="s">
        <v>1311</v>
      </c>
      <c r="Z38" s="835" t="str">
        <f t="shared" si="15"/>
        <v>业态</v>
      </c>
      <c r="AA38" s="917">
        <f t="shared" si="3"/>
        <v>1</v>
      </c>
      <c r="AB38" s="917">
        <f t="shared" si="4"/>
        <v>1</v>
      </c>
      <c r="AC38" s="917">
        <f t="shared" si="5"/>
        <v>1</v>
      </c>
    </row>
    <row r="39" spans="1:29" ht="15">
      <c r="A39" s="794"/>
      <c r="B39" s="743" t="s">
        <v>1382</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39"/>
      <c r="Q39" s="494" t="str">
        <f t="shared" si="11"/>
        <v>层高</v>
      </c>
      <c r="R39" s="906" t="s">
        <v>1284</v>
      </c>
      <c r="S39" s="907">
        <f t="shared" si="12"/>
        <v>100</v>
      </c>
      <c r="T39" s="906" t="s">
        <v>1284</v>
      </c>
      <c r="U39" s="907">
        <f t="shared" si="13"/>
        <v>100</v>
      </c>
      <c r="V39" s="906" t="s">
        <v>1284</v>
      </c>
      <c r="W39" s="907">
        <f t="shared" si="14"/>
        <v>100</v>
      </c>
      <c r="X39" s="900"/>
      <c r="Y39" s="3043"/>
      <c r="Z39" s="835" t="str">
        <f t="shared" si="15"/>
        <v>层高</v>
      </c>
      <c r="AA39" s="917">
        <f t="shared" si="3"/>
        <v>1</v>
      </c>
      <c r="AB39" s="917">
        <f t="shared" si="4"/>
        <v>1</v>
      </c>
      <c r="AC39" s="917">
        <f t="shared" si="5"/>
        <v>1</v>
      </c>
    </row>
    <row r="40" spans="1:29" ht="15">
      <c r="A40" s="794"/>
      <c r="B40" s="743" t="s">
        <v>1383</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39"/>
      <c r="Q40" s="494" t="str">
        <f t="shared" si="11"/>
        <v>单套建筑面积</v>
      </c>
      <c r="R40" s="906" t="s">
        <v>1284</v>
      </c>
      <c r="S40" s="907">
        <f t="shared" si="12"/>
        <v>100</v>
      </c>
      <c r="T40" s="906" t="s">
        <v>1284</v>
      </c>
      <c r="U40" s="907">
        <f t="shared" si="13"/>
        <v>100</v>
      </c>
      <c r="V40" s="906" t="s">
        <v>1284</v>
      </c>
      <c r="W40" s="907">
        <f t="shared" si="14"/>
        <v>100</v>
      </c>
      <c r="X40" s="900"/>
      <c r="Y40" s="3043"/>
      <c r="Z40" s="835" t="str">
        <f t="shared" si="15"/>
        <v>单套建筑面积</v>
      </c>
      <c r="AA40" s="917">
        <f t="shared" si="3"/>
        <v>1</v>
      </c>
      <c r="AB40" s="917">
        <f t="shared" si="4"/>
        <v>1</v>
      </c>
      <c r="AC40" s="917">
        <f t="shared" si="5"/>
        <v>1</v>
      </c>
    </row>
    <row r="41" spans="1:29" s="707" customFormat="1" ht="15">
      <c r="A41" s="802"/>
      <c r="B41" s="890" t="s">
        <v>1384</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39"/>
      <c r="Q41" s="1149" t="str">
        <f t="shared" si="11"/>
        <v>进深比</v>
      </c>
      <c r="R41" s="908" t="s">
        <v>1284</v>
      </c>
      <c r="S41" s="909">
        <f t="shared" si="12"/>
        <v>100</v>
      </c>
      <c r="T41" s="908" t="s">
        <v>1284</v>
      </c>
      <c r="U41" s="909">
        <f t="shared" si="13"/>
        <v>100</v>
      </c>
      <c r="V41" s="908" t="s">
        <v>1284</v>
      </c>
      <c r="W41" s="909">
        <f t="shared" si="14"/>
        <v>100</v>
      </c>
      <c r="X41" s="910"/>
      <c r="Y41" s="3043"/>
      <c r="Z41" s="918" t="str">
        <f t="shared" si="15"/>
        <v>进深比</v>
      </c>
      <c r="AA41" s="917">
        <f t="shared" si="3"/>
        <v>1</v>
      </c>
      <c r="AB41" s="917">
        <f t="shared" si="4"/>
        <v>1</v>
      </c>
      <c r="AC41" s="917">
        <f t="shared" si="5"/>
        <v>1</v>
      </c>
    </row>
    <row r="42" spans="1:29" ht="15">
      <c r="A42" s="794"/>
      <c r="B42" s="743" t="s">
        <v>1324</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39"/>
      <c r="Q42" s="494" t="str">
        <f t="shared" si="11"/>
        <v>内部装修</v>
      </c>
      <c r="R42" s="906" t="s">
        <v>1284</v>
      </c>
      <c r="S42" s="907">
        <f t="shared" si="12"/>
        <v>100</v>
      </c>
      <c r="T42" s="906" t="s">
        <v>1284</v>
      </c>
      <c r="U42" s="907">
        <f t="shared" si="13"/>
        <v>100</v>
      </c>
      <c r="V42" s="906" t="s">
        <v>1284</v>
      </c>
      <c r="W42" s="907">
        <f t="shared" si="14"/>
        <v>100</v>
      </c>
      <c r="X42" s="900"/>
      <c r="Y42" s="3043"/>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39"/>
      <c r="Q43" s="494" t="str">
        <f t="shared" si="11"/>
        <v>内部装修维护情况</v>
      </c>
      <c r="R43" s="906" t="s">
        <v>1284</v>
      </c>
      <c r="S43" s="907">
        <f t="shared" si="12"/>
        <v>100</v>
      </c>
      <c r="T43" s="906" t="s">
        <v>1284</v>
      </c>
      <c r="U43" s="907">
        <f t="shared" si="13"/>
        <v>100</v>
      </c>
      <c r="V43" s="906" t="s">
        <v>1284</v>
      </c>
      <c r="W43" s="907">
        <f t="shared" si="14"/>
        <v>100</v>
      </c>
      <c r="X43" s="900"/>
      <c r="Y43" s="3043"/>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39"/>
      <c r="Q44" s="905">
        <f t="shared" si="11"/>
        <v>111</v>
      </c>
      <c r="R44" s="902" t="s">
        <v>1284</v>
      </c>
      <c r="S44" s="903">
        <f t="shared" si="12"/>
        <v>100</v>
      </c>
      <c r="T44" s="902" t="s">
        <v>1284</v>
      </c>
      <c r="U44" s="903">
        <f t="shared" si="13"/>
        <v>100</v>
      </c>
      <c r="V44" s="902" t="s">
        <v>1284</v>
      </c>
      <c r="W44" s="903">
        <f t="shared" si="14"/>
        <v>100</v>
      </c>
      <c r="X44" s="904"/>
      <c r="Y44" s="3043"/>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39"/>
      <c r="Q45" s="494">
        <f t="shared" si="11"/>
        <v>111</v>
      </c>
      <c r="R45" s="906" t="s">
        <v>1284</v>
      </c>
      <c r="S45" s="907">
        <f t="shared" si="12"/>
        <v>100</v>
      </c>
      <c r="T45" s="906" t="s">
        <v>1284</v>
      </c>
      <c r="U45" s="907">
        <f t="shared" si="13"/>
        <v>100</v>
      </c>
      <c r="V45" s="906" t="s">
        <v>1284</v>
      </c>
      <c r="W45" s="907">
        <f t="shared" si="14"/>
        <v>100</v>
      </c>
      <c r="X45" s="900"/>
      <c r="Y45" s="3043"/>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40"/>
      <c r="Q46" s="494">
        <f t="shared" si="11"/>
        <v>111</v>
      </c>
      <c r="R46" s="906" t="s">
        <v>1284</v>
      </c>
      <c r="S46" s="907">
        <f t="shared" si="12"/>
        <v>100</v>
      </c>
      <c r="T46" s="906" t="s">
        <v>1284</v>
      </c>
      <c r="U46" s="907">
        <f t="shared" si="13"/>
        <v>100</v>
      </c>
      <c r="V46" s="906" t="s">
        <v>1284</v>
      </c>
      <c r="W46" s="907">
        <f t="shared" si="14"/>
        <v>100</v>
      </c>
      <c r="X46" s="900"/>
      <c r="Y46" s="3044"/>
      <c r="Z46" s="835">
        <f t="shared" si="15"/>
        <v>111</v>
      </c>
      <c r="AA46" s="917">
        <f t="shared" si="3"/>
        <v>1</v>
      </c>
      <c r="AB46" s="917">
        <f t="shared" si="4"/>
        <v>1</v>
      </c>
      <c r="AC46" s="917">
        <f t="shared" si="5"/>
        <v>1</v>
      </c>
    </row>
    <row r="47" spans="1:29" ht="15">
      <c r="A47" s="804" t="s">
        <v>1326</v>
      </c>
      <c r="B47" s="1120"/>
      <c r="C47" s="1121" t="s">
        <v>121</v>
      </c>
      <c r="D47" s="1122"/>
      <c r="E47" s="1123"/>
      <c r="F47" s="1124"/>
      <c r="G47" s="1125"/>
      <c r="H47" s="1126"/>
      <c r="I47" s="1123"/>
      <c r="J47" s="1126"/>
      <c r="K47" s="886"/>
      <c r="L47" s="887"/>
      <c r="M47" s="821"/>
      <c r="N47" s="863"/>
      <c r="O47" s="821"/>
      <c r="P47" s="3026" t="str">
        <f>A47</f>
        <v>成交单价（元/平方米）</v>
      </c>
      <c r="Q47" s="3026"/>
      <c r="R47" s="3027">
        <f>E47</f>
        <v>0</v>
      </c>
      <c r="S47" s="3027"/>
      <c r="T47" s="3027">
        <f>G47</f>
        <v>0</v>
      </c>
      <c r="U47" s="3027"/>
      <c r="V47" s="3027">
        <f>I47</f>
        <v>0</v>
      </c>
      <c r="W47" s="3027"/>
      <c r="X47" s="851"/>
      <c r="Y47" s="919"/>
      <c r="Z47" s="851"/>
      <c r="AA47" s="851"/>
      <c r="AB47" s="851"/>
      <c r="AC47" s="851"/>
    </row>
    <row r="48" spans="1:29" ht="15">
      <c r="A48" s="812" t="s">
        <v>1327</v>
      </c>
      <c r="B48" s="1127"/>
      <c r="C48" s="1128" t="e">
        <f>R49</f>
        <v>#DIV/0!</v>
      </c>
      <c r="D48" s="1129"/>
      <c r="E48" s="1130" t="e">
        <f>R48</f>
        <v>#DIV/0!</v>
      </c>
      <c r="F48" s="1130"/>
      <c r="G48" s="1128" t="e">
        <f>T48</f>
        <v>#DIV/0!</v>
      </c>
      <c r="H48" s="1129"/>
      <c r="I48" s="1130" t="e">
        <f>V48</f>
        <v>#DIV/0!</v>
      </c>
      <c r="J48" s="1129"/>
      <c r="K48" s="888"/>
      <c r="L48" s="887"/>
      <c r="M48" s="821"/>
      <c r="N48" s="863"/>
      <c r="O48" s="821"/>
      <c r="P48" s="3026" t="str">
        <f>A48</f>
        <v>比较价值（元/平方米）</v>
      </c>
      <c r="Q48" s="3026"/>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851"/>
      <c r="Y48" s="851"/>
      <c r="Z48" s="851"/>
      <c r="AA48" s="851"/>
      <c r="AB48" s="851"/>
      <c r="AC48" s="851"/>
    </row>
    <row r="49" spans="1:29" ht="15">
      <c r="A49" s="818" t="s">
        <v>1385</v>
      </c>
      <c r="B49" s="819"/>
      <c r="C49" s="1131" t="e">
        <f>R49</f>
        <v>#DIV/0!</v>
      </c>
      <c r="D49" s="1131"/>
      <c r="E49" s="1131"/>
      <c r="F49" s="1131"/>
      <c r="G49" s="1131"/>
      <c r="H49" s="1131"/>
      <c r="I49" s="1131"/>
      <c r="J49" s="1131"/>
      <c r="K49" s="889"/>
      <c r="L49" s="887"/>
      <c r="M49" s="821"/>
      <c r="N49" s="863"/>
      <c r="O49" s="821"/>
      <c r="P49" s="3030" t="str">
        <f>A49</f>
        <v>估价对象XX用房的比较价值（楼面单价，元/平方米）</v>
      </c>
      <c r="Q49" s="3031"/>
      <c r="R49" s="3032" t="e">
        <f>IF(E1="售价",ROUND(AVERAGE(R48:V48),0),ROUND(AVERAGE(R48:V48),1))</f>
        <v>#DIV/0!</v>
      </c>
      <c r="S49" s="3032"/>
      <c r="T49" s="3032"/>
      <c r="U49" s="3032"/>
      <c r="V49" s="3032"/>
      <c r="W49" s="3032"/>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1329</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1330</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1331</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1332</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t="s">
        <v>1386</v>
      </c>
      <c r="D66" s="944" t="s">
        <v>1386</v>
      </c>
      <c r="E66" s="944" t="s">
        <v>1386</v>
      </c>
      <c r="F66" s="944">
        <v>100</v>
      </c>
      <c r="G66" s="944">
        <f>F66-$K10</f>
        <v>100</v>
      </c>
      <c r="H66" s="944">
        <f>G66-$K10</f>
        <v>100</v>
      </c>
      <c r="I66" s="944">
        <f>H66-$K10</f>
        <v>100</v>
      </c>
      <c r="J66" s="944"/>
      <c r="K66" s="944"/>
      <c r="L66" s="944"/>
      <c r="M66" s="995"/>
      <c r="N66" s="991"/>
      <c r="O66" s="991"/>
      <c r="P66" s="1277"/>
      <c r="Q66" s="911"/>
    </row>
    <row r="67" spans="1:17" ht="15">
      <c r="A67" s="938"/>
      <c r="B67" s="945" t="s">
        <v>1295</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1308</v>
      </c>
      <c r="B100" s="937" t="s">
        <v>1380</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1312</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1313</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1315</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1317</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1320</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1381</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1382</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1383</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1387</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1324</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5"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1388</v>
      </c>
      <c r="C1" s="1235"/>
      <c r="D1" s="1080"/>
      <c r="E1" s="1081"/>
      <c r="F1" s="1082" t="s">
        <v>1267</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830</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831</v>
      </c>
      <c r="B3" s="723" t="e">
        <f ca="1">ROUND(IF(D2="——",C50,IF(C2="万元",B2*10000/D3,B2/D3)),0)</f>
        <v>#DIV/0!</v>
      </c>
      <c r="C3" s="1090" t="s">
        <v>1268</v>
      </c>
      <c r="D3" s="1091">
        <f>IF(C1="仅计算典型户型",'数据-取费表'!E5,'数据-取费表'!B5)</f>
        <v>54.92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58" t="s">
        <v>1275</v>
      </c>
      <c r="Q4" s="3014"/>
      <c r="R4" s="3019" t="s">
        <v>1271</v>
      </c>
      <c r="S4" s="3020"/>
      <c r="T4" s="3019" t="s">
        <v>1272</v>
      </c>
      <c r="U4" s="3020"/>
      <c r="V4" s="3025" t="s">
        <v>1273</v>
      </c>
      <c r="W4" s="3025"/>
      <c r="X4" s="900"/>
      <c r="Y4" s="3019" t="s">
        <v>1275</v>
      </c>
      <c r="Z4" s="3020"/>
      <c r="AA4" s="3010" t="s">
        <v>1271</v>
      </c>
      <c r="AB4" s="3010"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59"/>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60"/>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SUMIF(59:59,YEAR(E7)&amp;"-"&amp;MONTH(E7),60:60)</f>
        <v>0</v>
      </c>
      <c r="G7" s="736"/>
      <c r="H7" s="733">
        <f>SUMIF(59:59,YEAR(G7)&amp;"-"&amp;MONTH(G7),60:60)</f>
        <v>0</v>
      </c>
      <c r="I7" s="736"/>
      <c r="J7" s="733">
        <f>SUMIF(59:59,YEAR(I7)&amp;"-"&amp;MONTH(I7),60:60)</f>
        <v>0</v>
      </c>
      <c r="K7" s="864"/>
      <c r="L7" s="865"/>
      <c r="M7" s="866"/>
      <c r="N7" s="866"/>
      <c r="O7" s="866"/>
      <c r="P7" s="3049"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SUMIF(62:62,E8,63:63)-SUMIF(62:62,C8,63:63)+100</f>
        <v>0</v>
      </c>
      <c r="G8" s="737"/>
      <c r="H8" s="733">
        <f>SUMIF(62:62,G8,63:63)-SUMIF(62:62,C8,63:63)+100</f>
        <v>0</v>
      </c>
      <c r="I8" s="737"/>
      <c r="J8" s="733">
        <f>SUMIF(62:62,I8,63:63)-SUMIF(62:62,C8,63:63)+100</f>
        <v>0</v>
      </c>
      <c r="K8" s="864"/>
      <c r="L8" s="865"/>
      <c r="M8" s="866"/>
      <c r="N8" s="866"/>
      <c r="O8" s="866"/>
      <c r="P8" s="3049" t="s">
        <v>1288</v>
      </c>
      <c r="Q8" s="3034"/>
      <c r="R8" s="902" t="s">
        <v>1284</v>
      </c>
      <c r="S8" s="903">
        <f t="shared" si="0"/>
        <v>0</v>
      </c>
      <c r="T8" s="902" t="s">
        <v>1284</v>
      </c>
      <c r="U8" s="903">
        <f t="shared" si="1"/>
        <v>0</v>
      </c>
      <c r="V8" s="902" t="s">
        <v>1284</v>
      </c>
      <c r="W8" s="903">
        <f t="shared" si="2"/>
        <v>0</v>
      </c>
      <c r="X8" s="904"/>
      <c r="Y8" s="3033" t="s">
        <v>1288</v>
      </c>
      <c r="Z8" s="3034"/>
      <c r="AA8" s="915" t="e">
        <f t="shared" ref="AA8:AA47" si="3">D8/F8</f>
        <v>#DIV/0!</v>
      </c>
      <c r="AB8" s="915" t="e">
        <f t="shared" ref="AB8:AB47" si="4">D8/H8</f>
        <v>#DIV/0!</v>
      </c>
      <c r="AC8" s="915" t="e">
        <f t="shared" ref="AC8:AC47" si="5">D8/J8</f>
        <v>#DIV/0!</v>
      </c>
    </row>
    <row r="9" spans="1:29" s="705" customFormat="1">
      <c r="A9" s="738" t="s">
        <v>1289</v>
      </c>
      <c r="B9" s="739" t="s">
        <v>1290</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31"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31"/>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31"/>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31"/>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31"/>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31"/>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71.25">
      <c r="A15" s="760" t="s">
        <v>1296</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14" t="s">
        <v>1297</v>
      </c>
      <c r="Q15" s="494" t="str">
        <f t="shared" si="6"/>
        <v>办公集聚程度</v>
      </c>
      <c r="R15" s="906" t="s">
        <v>1284</v>
      </c>
      <c r="S15" s="907">
        <f t="shared" si="0"/>
        <v>100</v>
      </c>
      <c r="T15" s="906" t="s">
        <v>1284</v>
      </c>
      <c r="U15" s="907">
        <f t="shared" si="1"/>
        <v>100</v>
      </c>
      <c r="V15" s="906" t="s">
        <v>1284</v>
      </c>
      <c r="W15" s="907">
        <f t="shared" si="2"/>
        <v>100</v>
      </c>
      <c r="X15" s="900"/>
      <c r="Y15" s="3041" t="s">
        <v>1297</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16"/>
      <c r="Q16" s="494"/>
      <c r="R16" s="906"/>
      <c r="S16" s="907"/>
      <c r="T16" s="906"/>
      <c r="U16" s="907"/>
      <c r="V16" s="906"/>
      <c r="W16" s="907"/>
      <c r="X16" s="900"/>
      <c r="Y16" s="3042"/>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16"/>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16"/>
      <c r="Q18" s="494"/>
      <c r="R18" s="906"/>
      <c r="S18" s="907"/>
      <c r="T18" s="906"/>
      <c r="U18" s="907"/>
      <c r="V18" s="906"/>
      <c r="W18" s="907"/>
      <c r="X18" s="900"/>
      <c r="Y18" s="3042"/>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16"/>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16"/>
      <c r="Q20" s="494"/>
      <c r="R20" s="906"/>
      <c r="S20" s="907"/>
      <c r="T20" s="906"/>
      <c r="U20" s="907"/>
      <c r="V20" s="906"/>
      <c r="W20" s="907"/>
      <c r="X20" s="900"/>
      <c r="Y20" s="3042"/>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16"/>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16"/>
      <c r="Q22" s="494"/>
      <c r="R22" s="906"/>
      <c r="S22" s="907"/>
      <c r="T22" s="906"/>
      <c r="U22" s="907"/>
      <c r="V22" s="906"/>
      <c r="W22" s="907"/>
      <c r="X22" s="900"/>
      <c r="Y22" s="3042"/>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16"/>
      <c r="Q23" s="494" t="str">
        <f>B23</f>
        <v>环境质量</v>
      </c>
      <c r="R23" s="906" t="s">
        <v>1284</v>
      </c>
      <c r="S23" s="907">
        <f>F23</f>
        <v>100</v>
      </c>
      <c r="T23" s="906" t="s">
        <v>1284</v>
      </c>
      <c r="U23" s="907">
        <f>H23</f>
        <v>100</v>
      </c>
      <c r="V23" s="906" t="s">
        <v>1284</v>
      </c>
      <c r="W23" s="907">
        <f>J23</f>
        <v>100</v>
      </c>
      <c r="X23" s="900"/>
      <c r="Y23" s="3042"/>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16"/>
      <c r="Q24" s="494"/>
      <c r="R24" s="906"/>
      <c r="S24" s="907"/>
      <c r="T24" s="906"/>
      <c r="U24" s="907"/>
      <c r="V24" s="906"/>
      <c r="W24" s="907"/>
      <c r="X24" s="900"/>
      <c r="Y24" s="3042"/>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16"/>
      <c r="Q25" s="494" t="str">
        <f>B25</f>
        <v>毗邻道路的类型与等级</v>
      </c>
      <c r="R25" s="906" t="s">
        <v>1284</v>
      </c>
      <c r="S25" s="907">
        <f>F25</f>
        <v>100</v>
      </c>
      <c r="T25" s="906" t="s">
        <v>1284</v>
      </c>
      <c r="U25" s="907">
        <f>H25</f>
        <v>100</v>
      </c>
      <c r="V25" s="906" t="s">
        <v>1284</v>
      </c>
      <c r="W25" s="907">
        <f>J25</f>
        <v>100</v>
      </c>
      <c r="X25" s="900"/>
      <c r="Y25" s="3042"/>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16"/>
      <c r="Q26" s="494"/>
      <c r="R26" s="906"/>
      <c r="S26" s="907"/>
      <c r="T26" s="906"/>
      <c r="U26" s="907"/>
      <c r="V26" s="906"/>
      <c r="W26" s="907"/>
      <c r="X26" s="900"/>
      <c r="Y26" s="3042"/>
      <c r="Z26" s="835"/>
      <c r="AA26" s="917">
        <v>1</v>
      </c>
      <c r="AB26" s="917">
        <v>1</v>
      </c>
      <c r="AC26" s="917">
        <v>1</v>
      </c>
    </row>
    <row r="27" spans="1:29" ht="15">
      <c r="A27" s="746"/>
      <c r="B27" s="774" t="s">
        <v>1379</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16"/>
      <c r="Q27" s="494" t="str">
        <f t="shared" ref="Q27:Q47" si="11">B27</f>
        <v>楼层</v>
      </c>
      <c r="R27" s="906" t="s">
        <v>1284</v>
      </c>
      <c r="S27" s="907">
        <f>F27</f>
        <v>100</v>
      </c>
      <c r="T27" s="906" t="s">
        <v>1284</v>
      </c>
      <c r="U27" s="907">
        <f>H27</f>
        <v>100</v>
      </c>
      <c r="V27" s="906" t="s">
        <v>1284</v>
      </c>
      <c r="W27" s="907">
        <f>J27</f>
        <v>100</v>
      </c>
      <c r="X27" s="900"/>
      <c r="Y27" s="3042"/>
      <c r="Z27" s="835" t="str">
        <f>Q27</f>
        <v>楼层</v>
      </c>
      <c r="AA27" s="917">
        <f t="shared" si="3"/>
        <v>1</v>
      </c>
      <c r="AB27" s="917">
        <f t="shared" si="4"/>
        <v>1</v>
      </c>
      <c r="AC27" s="917">
        <f t="shared" si="5"/>
        <v>1</v>
      </c>
    </row>
    <row r="28" spans="1:29" s="705" customFormat="1" ht="15">
      <c r="A28" s="749"/>
      <c r="B28" s="770" t="s">
        <v>1301</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16"/>
      <c r="Q28" s="905" t="str">
        <f t="shared" si="11"/>
        <v>朝向</v>
      </c>
      <c r="R28" s="902" t="s">
        <v>1284</v>
      </c>
      <c r="S28" s="903">
        <f>F28</f>
        <v>100</v>
      </c>
      <c r="T28" s="902" t="s">
        <v>1284</v>
      </c>
      <c r="U28" s="903">
        <f>H28</f>
        <v>100</v>
      </c>
      <c r="V28" s="902" t="s">
        <v>1284</v>
      </c>
      <c r="W28" s="903">
        <f>J28</f>
        <v>100</v>
      </c>
      <c r="X28" s="904"/>
      <c r="Y28" s="3042"/>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16"/>
      <c r="Q29" s="494">
        <f t="shared" si="11"/>
        <v>111</v>
      </c>
      <c r="R29" s="906" t="s">
        <v>1284</v>
      </c>
      <c r="S29" s="907">
        <f t="shared" ref="S29:S47" si="12">F29</f>
        <v>100</v>
      </c>
      <c r="T29" s="906" t="s">
        <v>1284</v>
      </c>
      <c r="U29" s="907">
        <f t="shared" ref="U29:U47" si="13">H29</f>
        <v>100</v>
      </c>
      <c r="V29" s="906" t="s">
        <v>1284</v>
      </c>
      <c r="W29" s="907">
        <f t="shared" ref="W29:W47" si="14">J29</f>
        <v>100</v>
      </c>
      <c r="X29" s="900"/>
      <c r="Y29" s="3042"/>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16"/>
      <c r="Q30" s="494">
        <f t="shared" si="11"/>
        <v>111</v>
      </c>
      <c r="R30" s="906" t="s">
        <v>1284</v>
      </c>
      <c r="S30" s="907">
        <f t="shared" si="12"/>
        <v>100</v>
      </c>
      <c r="T30" s="906" t="s">
        <v>1284</v>
      </c>
      <c r="U30" s="907">
        <f t="shared" si="13"/>
        <v>100</v>
      </c>
      <c r="V30" s="906" t="s">
        <v>1284</v>
      </c>
      <c r="W30" s="907">
        <f t="shared" si="14"/>
        <v>100</v>
      </c>
      <c r="X30" s="900"/>
      <c r="Y30" s="3042"/>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16"/>
      <c r="Q31" s="494">
        <f t="shared" si="11"/>
        <v>111</v>
      </c>
      <c r="R31" s="906" t="s">
        <v>1284</v>
      </c>
      <c r="S31" s="907">
        <f t="shared" si="12"/>
        <v>100</v>
      </c>
      <c r="T31" s="906" t="s">
        <v>1284</v>
      </c>
      <c r="U31" s="907">
        <f t="shared" si="13"/>
        <v>100</v>
      </c>
      <c r="V31" s="906" t="s">
        <v>1284</v>
      </c>
      <c r="W31" s="907">
        <f t="shared" si="14"/>
        <v>100</v>
      </c>
      <c r="X31" s="900"/>
      <c r="Y31" s="3042"/>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16"/>
      <c r="Q32" s="494">
        <f t="shared" si="11"/>
        <v>111</v>
      </c>
      <c r="R32" s="906" t="s">
        <v>1284</v>
      </c>
      <c r="S32" s="907">
        <f t="shared" si="12"/>
        <v>100</v>
      </c>
      <c r="T32" s="906" t="s">
        <v>1284</v>
      </c>
      <c r="U32" s="907">
        <f t="shared" si="13"/>
        <v>100</v>
      </c>
      <c r="V32" s="906" t="s">
        <v>1284</v>
      </c>
      <c r="W32" s="907">
        <f t="shared" si="14"/>
        <v>100</v>
      </c>
      <c r="X32" s="900"/>
      <c r="Y32" s="3042"/>
      <c r="Z32" s="835">
        <f t="shared" si="15"/>
        <v>111</v>
      </c>
      <c r="AA32" s="917">
        <f t="shared" si="3"/>
        <v>1</v>
      </c>
      <c r="AB32" s="917">
        <f t="shared" si="4"/>
        <v>1</v>
      </c>
      <c r="AC32" s="917">
        <f t="shared" si="5"/>
        <v>1</v>
      </c>
    </row>
    <row r="33" spans="1:29" ht="15">
      <c r="A33" s="760" t="s">
        <v>1308</v>
      </c>
      <c r="B33" s="739" t="s">
        <v>1309</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62" t="s">
        <v>1311</v>
      </c>
      <c r="Q33" s="494" t="str">
        <f t="shared" si="11"/>
        <v>建筑类型</v>
      </c>
      <c r="R33" s="906" t="s">
        <v>1284</v>
      </c>
      <c r="S33" s="907">
        <f t="shared" si="12"/>
        <v>100</v>
      </c>
      <c r="T33" s="906" t="s">
        <v>1284</v>
      </c>
      <c r="U33" s="907">
        <f t="shared" si="13"/>
        <v>100</v>
      </c>
      <c r="V33" s="906" t="s">
        <v>1284</v>
      </c>
      <c r="W33" s="907">
        <f t="shared" si="14"/>
        <v>100</v>
      </c>
      <c r="X33" s="900"/>
      <c r="Y33" s="3043" t="s">
        <v>1311</v>
      </c>
      <c r="Z33" s="835" t="str">
        <f t="shared" si="15"/>
        <v>建筑类型</v>
      </c>
      <c r="AA33" s="917">
        <f t="shared" si="3"/>
        <v>1</v>
      </c>
      <c r="AB33" s="917">
        <f t="shared" si="4"/>
        <v>1</v>
      </c>
      <c r="AC33" s="917">
        <f t="shared" si="5"/>
        <v>1</v>
      </c>
    </row>
    <row r="34" spans="1:29" s="707" customFormat="1" ht="15">
      <c r="A34" s="802"/>
      <c r="B34" s="743" t="s">
        <v>1312</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63"/>
      <c r="Q34" s="1149" t="str">
        <f t="shared" si="11"/>
        <v>项目建筑规模</v>
      </c>
      <c r="R34" s="908" t="s">
        <v>1284</v>
      </c>
      <c r="S34" s="909" t="e">
        <f t="shared" si="12"/>
        <v>#N/A</v>
      </c>
      <c r="T34" s="908" t="s">
        <v>1284</v>
      </c>
      <c r="U34" s="909" t="e">
        <f t="shared" si="13"/>
        <v>#N/A</v>
      </c>
      <c r="V34" s="908" t="s">
        <v>1284</v>
      </c>
      <c r="W34" s="909" t="e">
        <f t="shared" si="14"/>
        <v>#N/A</v>
      </c>
      <c r="X34" s="910"/>
      <c r="Y34" s="3043"/>
      <c r="Z34" s="918" t="str">
        <f t="shared" si="15"/>
        <v>项目建筑规模</v>
      </c>
      <c r="AA34" s="917" t="e">
        <f t="shared" si="3"/>
        <v>#N/A</v>
      </c>
      <c r="AB34" s="917" t="e">
        <f t="shared" si="4"/>
        <v>#N/A</v>
      </c>
      <c r="AC34" s="917" t="e">
        <f t="shared" si="5"/>
        <v>#N/A</v>
      </c>
    </row>
    <row r="35" spans="1:29" ht="15">
      <c r="A35" s="794"/>
      <c r="B35" s="743" t="s">
        <v>1313</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63"/>
      <c r="Q35" s="494" t="str">
        <f t="shared" si="11"/>
        <v>建筑结构</v>
      </c>
      <c r="R35" s="906" t="s">
        <v>1284</v>
      </c>
      <c r="S35" s="907">
        <f t="shared" si="12"/>
        <v>100</v>
      </c>
      <c r="T35" s="906" t="s">
        <v>1284</v>
      </c>
      <c r="U35" s="907">
        <f t="shared" si="13"/>
        <v>100</v>
      </c>
      <c r="V35" s="906" t="s">
        <v>1284</v>
      </c>
      <c r="W35" s="907">
        <f t="shared" si="14"/>
        <v>100</v>
      </c>
      <c r="X35" s="900"/>
      <c r="Y35" s="3043"/>
      <c r="Z35" s="835" t="str">
        <f t="shared" si="15"/>
        <v>建筑结构</v>
      </c>
      <c r="AA35" s="917">
        <f t="shared" si="3"/>
        <v>1</v>
      </c>
      <c r="AB35" s="917">
        <f t="shared" si="4"/>
        <v>1</v>
      </c>
      <c r="AC35" s="917">
        <f t="shared" si="5"/>
        <v>1</v>
      </c>
    </row>
    <row r="36" spans="1:29" ht="15">
      <c r="A36" s="794"/>
      <c r="B36" s="743" t="s">
        <v>1315</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63"/>
      <c r="Q36" s="494" t="str">
        <f t="shared" si="11"/>
        <v>公共部分装修</v>
      </c>
      <c r="R36" s="906" t="s">
        <v>1284</v>
      </c>
      <c r="S36" s="907">
        <f t="shared" si="12"/>
        <v>100</v>
      </c>
      <c r="T36" s="906" t="s">
        <v>1284</v>
      </c>
      <c r="U36" s="907">
        <f t="shared" si="13"/>
        <v>100</v>
      </c>
      <c r="V36" s="906" t="s">
        <v>1284</v>
      </c>
      <c r="W36" s="907">
        <f t="shared" si="14"/>
        <v>100</v>
      </c>
      <c r="X36" s="900"/>
      <c r="Y36" s="3043"/>
      <c r="Z36" s="835" t="str">
        <f t="shared" si="15"/>
        <v>公共部分装修</v>
      </c>
      <c r="AA36" s="917">
        <f t="shared" si="3"/>
        <v>1</v>
      </c>
      <c r="AB36" s="917">
        <f t="shared" si="4"/>
        <v>1</v>
      </c>
      <c r="AC36" s="917">
        <f t="shared" si="5"/>
        <v>1</v>
      </c>
    </row>
    <row r="37" spans="1:29" ht="15">
      <c r="A37" s="794"/>
      <c r="B37" s="743" t="s">
        <v>1317</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63"/>
      <c r="Q37" s="494" t="str">
        <f t="shared" si="11"/>
        <v>成新度</v>
      </c>
      <c r="R37" s="906" t="s">
        <v>1284</v>
      </c>
      <c r="S37" s="907" t="e">
        <f t="shared" si="12"/>
        <v>#N/A</v>
      </c>
      <c r="T37" s="906" t="s">
        <v>1284</v>
      </c>
      <c r="U37" s="907" t="e">
        <f t="shared" si="13"/>
        <v>#N/A</v>
      </c>
      <c r="V37" s="906" t="s">
        <v>1284</v>
      </c>
      <c r="W37" s="907" t="e">
        <f t="shared" si="14"/>
        <v>#N/A</v>
      </c>
      <c r="X37" s="900"/>
      <c r="Y37" s="3043"/>
      <c r="Z37" s="835" t="str">
        <f t="shared" si="15"/>
        <v>成新度</v>
      </c>
      <c r="AA37" s="917" t="e">
        <f t="shared" si="3"/>
        <v>#N/A</v>
      </c>
      <c r="AB37" s="917" t="e">
        <f t="shared" si="4"/>
        <v>#N/A</v>
      </c>
      <c r="AC37" s="917" t="e">
        <f t="shared" si="5"/>
        <v>#N/A</v>
      </c>
    </row>
    <row r="38" spans="1:29" s="705" customFormat="1" ht="15">
      <c r="A38" s="799"/>
      <c r="B38" s="743" t="s">
        <v>1389</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63"/>
      <c r="Q38" s="905" t="str">
        <f t="shared" si="11"/>
        <v>写字楼等级</v>
      </c>
      <c r="R38" s="902" t="s">
        <v>1284</v>
      </c>
      <c r="S38" s="903">
        <f t="shared" si="12"/>
        <v>100</v>
      </c>
      <c r="T38" s="902" t="s">
        <v>1284</v>
      </c>
      <c r="U38" s="903">
        <f t="shared" si="13"/>
        <v>100</v>
      </c>
      <c r="V38" s="902" t="s">
        <v>1284</v>
      </c>
      <c r="W38" s="903">
        <f t="shared" si="14"/>
        <v>100</v>
      </c>
      <c r="X38" s="904"/>
      <c r="Y38" s="3043"/>
      <c r="Z38" s="916" t="str">
        <f t="shared" si="15"/>
        <v>写字楼等级</v>
      </c>
      <c r="AA38" s="915">
        <f t="shared" si="3"/>
        <v>1</v>
      </c>
      <c r="AB38" s="915">
        <f t="shared" si="4"/>
        <v>1</v>
      </c>
      <c r="AC38" s="915">
        <f t="shared" si="5"/>
        <v>1</v>
      </c>
    </row>
    <row r="39" spans="1:29" ht="15">
      <c r="A39" s="794"/>
      <c r="B39" s="743" t="s">
        <v>1318</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63" t="s">
        <v>1311</v>
      </c>
      <c r="Q39" s="494" t="str">
        <f t="shared" si="11"/>
        <v>物业管理</v>
      </c>
      <c r="R39" s="906" t="s">
        <v>1284</v>
      </c>
      <c r="S39" s="907">
        <f t="shared" si="12"/>
        <v>100</v>
      </c>
      <c r="T39" s="906" t="s">
        <v>1284</v>
      </c>
      <c r="U39" s="907">
        <f t="shared" si="13"/>
        <v>100</v>
      </c>
      <c r="V39" s="906" t="s">
        <v>1284</v>
      </c>
      <c r="W39" s="907">
        <f t="shared" si="14"/>
        <v>100</v>
      </c>
      <c r="X39" s="900"/>
      <c r="Y39" s="3043" t="s">
        <v>1311</v>
      </c>
      <c r="Z39" s="835" t="str">
        <f t="shared" si="15"/>
        <v>物业管理</v>
      </c>
      <c r="AA39" s="917">
        <f t="shared" si="3"/>
        <v>1</v>
      </c>
      <c r="AB39" s="917">
        <f t="shared" si="4"/>
        <v>1</v>
      </c>
      <c r="AC39" s="917">
        <f t="shared" si="5"/>
        <v>1</v>
      </c>
    </row>
    <row r="40" spans="1:29" ht="15">
      <c r="A40" s="794"/>
      <c r="B40" s="743" t="s">
        <v>1320</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63"/>
      <c r="Q40" s="494" t="str">
        <f t="shared" si="11"/>
        <v>市政基础设施</v>
      </c>
      <c r="R40" s="906" t="s">
        <v>1284</v>
      </c>
      <c r="S40" s="907">
        <f t="shared" si="12"/>
        <v>100</v>
      </c>
      <c r="T40" s="906" t="s">
        <v>1284</v>
      </c>
      <c r="U40" s="907">
        <f t="shared" si="13"/>
        <v>100</v>
      </c>
      <c r="V40" s="906" t="s">
        <v>1284</v>
      </c>
      <c r="W40" s="907">
        <f t="shared" si="14"/>
        <v>100</v>
      </c>
      <c r="X40" s="900"/>
      <c r="Y40" s="3043"/>
      <c r="Z40" s="835" t="str">
        <f t="shared" si="15"/>
        <v>市政基础设施</v>
      </c>
      <c r="AA40" s="917">
        <f t="shared" si="3"/>
        <v>1</v>
      </c>
      <c r="AB40" s="917">
        <f t="shared" si="4"/>
        <v>1</v>
      </c>
      <c r="AC40" s="917">
        <f t="shared" si="5"/>
        <v>1</v>
      </c>
    </row>
    <row r="41" spans="1:29" ht="15">
      <c r="A41" s="794"/>
      <c r="B41" s="743" t="s">
        <v>1382</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63"/>
      <c r="Q41" s="494" t="str">
        <f t="shared" si="11"/>
        <v>层高</v>
      </c>
      <c r="R41" s="906" t="s">
        <v>1284</v>
      </c>
      <c r="S41" s="907">
        <f t="shared" si="12"/>
        <v>100</v>
      </c>
      <c r="T41" s="906" t="s">
        <v>1284</v>
      </c>
      <c r="U41" s="907">
        <f t="shared" si="13"/>
        <v>100</v>
      </c>
      <c r="V41" s="906" t="s">
        <v>1284</v>
      </c>
      <c r="W41" s="907">
        <f t="shared" si="14"/>
        <v>100</v>
      </c>
      <c r="X41" s="900"/>
      <c r="Y41" s="3043"/>
      <c r="Z41" s="835" t="str">
        <f t="shared" si="15"/>
        <v>层高</v>
      </c>
      <c r="AA41" s="917">
        <f t="shared" si="3"/>
        <v>1</v>
      </c>
      <c r="AB41" s="917">
        <f t="shared" si="4"/>
        <v>1</v>
      </c>
      <c r="AC41" s="917">
        <f t="shared" si="5"/>
        <v>1</v>
      </c>
    </row>
    <row r="42" spans="1:29" s="707" customFormat="1" ht="15">
      <c r="A42" s="802"/>
      <c r="B42" s="890" t="s">
        <v>1390</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63"/>
      <c r="Q42" s="1149" t="str">
        <f t="shared" si="11"/>
        <v>单套建筑面积</v>
      </c>
      <c r="R42" s="908" t="s">
        <v>1284</v>
      </c>
      <c r="S42" s="909">
        <f t="shared" si="12"/>
        <v>100</v>
      </c>
      <c r="T42" s="908" t="s">
        <v>1284</v>
      </c>
      <c r="U42" s="909">
        <f t="shared" si="13"/>
        <v>100</v>
      </c>
      <c r="V42" s="908" t="s">
        <v>1284</v>
      </c>
      <c r="W42" s="909">
        <f t="shared" si="14"/>
        <v>100</v>
      </c>
      <c r="X42" s="910"/>
      <c r="Y42" s="3043"/>
      <c r="Z42" s="918" t="str">
        <f t="shared" si="15"/>
        <v>单套建筑面积</v>
      </c>
      <c r="AA42" s="917">
        <f t="shared" si="3"/>
        <v>1</v>
      </c>
      <c r="AB42" s="917">
        <f t="shared" si="4"/>
        <v>1</v>
      </c>
      <c r="AC42" s="917">
        <f t="shared" si="5"/>
        <v>1</v>
      </c>
    </row>
    <row r="43" spans="1:29" ht="15">
      <c r="A43" s="794"/>
      <c r="B43" s="743" t="s">
        <v>1324</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63"/>
      <c r="Q43" s="494" t="str">
        <f t="shared" si="11"/>
        <v>内部装修</v>
      </c>
      <c r="R43" s="906" t="s">
        <v>1284</v>
      </c>
      <c r="S43" s="907">
        <f t="shared" si="12"/>
        <v>100</v>
      </c>
      <c r="T43" s="906" t="s">
        <v>1284</v>
      </c>
      <c r="U43" s="907">
        <f t="shared" si="13"/>
        <v>100</v>
      </c>
      <c r="V43" s="906" t="s">
        <v>1284</v>
      </c>
      <c r="W43" s="907">
        <f t="shared" si="14"/>
        <v>100</v>
      </c>
      <c r="X43" s="900"/>
      <c r="Y43" s="3043"/>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63"/>
      <c r="Q44" s="494" t="str">
        <f t="shared" si="11"/>
        <v>内部装修维护情况</v>
      </c>
      <c r="R44" s="906" t="s">
        <v>1284</v>
      </c>
      <c r="S44" s="907">
        <f t="shared" si="12"/>
        <v>100</v>
      </c>
      <c r="T44" s="906" t="s">
        <v>1284</v>
      </c>
      <c r="U44" s="907">
        <f t="shared" si="13"/>
        <v>100</v>
      </c>
      <c r="V44" s="906" t="s">
        <v>1284</v>
      </c>
      <c r="W44" s="907">
        <f t="shared" si="14"/>
        <v>100</v>
      </c>
      <c r="X44" s="900"/>
      <c r="Y44" s="3043"/>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63"/>
      <c r="Q45" s="905">
        <f t="shared" si="11"/>
        <v>111</v>
      </c>
      <c r="R45" s="902" t="s">
        <v>1284</v>
      </c>
      <c r="S45" s="903">
        <f t="shared" si="12"/>
        <v>100</v>
      </c>
      <c r="T45" s="902" t="s">
        <v>1284</v>
      </c>
      <c r="U45" s="903">
        <f t="shared" si="13"/>
        <v>100</v>
      </c>
      <c r="V45" s="902" t="s">
        <v>1284</v>
      </c>
      <c r="W45" s="903">
        <f t="shared" si="14"/>
        <v>100</v>
      </c>
      <c r="X45" s="904"/>
      <c r="Y45" s="3043"/>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63"/>
      <c r="Q46" s="494">
        <f t="shared" si="11"/>
        <v>111</v>
      </c>
      <c r="R46" s="906" t="s">
        <v>1284</v>
      </c>
      <c r="S46" s="907">
        <f t="shared" si="12"/>
        <v>100</v>
      </c>
      <c r="T46" s="906" t="s">
        <v>1284</v>
      </c>
      <c r="U46" s="907">
        <f t="shared" si="13"/>
        <v>100</v>
      </c>
      <c r="V46" s="906" t="s">
        <v>1284</v>
      </c>
      <c r="W46" s="907">
        <f t="shared" si="14"/>
        <v>100</v>
      </c>
      <c r="X46" s="900"/>
      <c r="Y46" s="3043"/>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64"/>
      <c r="Q47" s="494">
        <f t="shared" si="11"/>
        <v>111</v>
      </c>
      <c r="R47" s="906" t="s">
        <v>1284</v>
      </c>
      <c r="S47" s="907">
        <f t="shared" si="12"/>
        <v>100</v>
      </c>
      <c r="T47" s="906" t="s">
        <v>1284</v>
      </c>
      <c r="U47" s="907">
        <f t="shared" si="13"/>
        <v>100</v>
      </c>
      <c r="V47" s="906" t="s">
        <v>1284</v>
      </c>
      <c r="W47" s="907">
        <f t="shared" si="14"/>
        <v>100</v>
      </c>
      <c r="X47" s="900"/>
      <c r="Y47" s="3044"/>
      <c r="Z47" s="835">
        <f t="shared" si="15"/>
        <v>111</v>
      </c>
      <c r="AA47" s="917">
        <f t="shared" si="3"/>
        <v>1</v>
      </c>
      <c r="AB47" s="917">
        <f t="shared" si="4"/>
        <v>1</v>
      </c>
      <c r="AC47" s="917">
        <f t="shared" si="5"/>
        <v>1</v>
      </c>
    </row>
    <row r="48" spans="1:29" ht="15">
      <c r="A48" s="804" t="s">
        <v>1326</v>
      </c>
      <c r="B48" s="1120"/>
      <c r="C48" s="1121" t="s">
        <v>121</v>
      </c>
      <c r="D48" s="1122"/>
      <c r="E48" s="1123"/>
      <c r="F48" s="1124"/>
      <c r="G48" s="1125"/>
      <c r="H48" s="1126"/>
      <c r="I48" s="1123"/>
      <c r="J48" s="1126"/>
      <c r="K48" s="886"/>
      <c r="L48" s="887"/>
      <c r="M48" s="863"/>
      <c r="N48" s="863"/>
      <c r="O48" s="863"/>
      <c r="P48" s="3031" t="str">
        <f>A48</f>
        <v>成交单价（元/平方米）</v>
      </c>
      <c r="Q48" s="3026"/>
      <c r="R48" s="3027">
        <f>E48</f>
        <v>0</v>
      </c>
      <c r="S48" s="3027"/>
      <c r="T48" s="3027">
        <f>G48</f>
        <v>0</v>
      </c>
      <c r="U48" s="3027"/>
      <c r="V48" s="3027">
        <f>I48</f>
        <v>0</v>
      </c>
      <c r="W48" s="3027"/>
      <c r="X48" s="851"/>
      <c r="Y48" s="919"/>
      <c r="Z48" s="851"/>
      <c r="AA48" s="851"/>
      <c r="AB48" s="851"/>
      <c r="AC48" s="851"/>
    </row>
    <row r="49" spans="1:29" ht="15">
      <c r="A49" s="812" t="s">
        <v>1327</v>
      </c>
      <c r="B49" s="1127"/>
      <c r="C49" s="1128" t="e">
        <f>R50</f>
        <v>#DIV/0!</v>
      </c>
      <c r="D49" s="1129"/>
      <c r="E49" s="1130" t="e">
        <f>R49</f>
        <v>#DIV/0!</v>
      </c>
      <c r="F49" s="1130"/>
      <c r="G49" s="1128" t="e">
        <f>T49</f>
        <v>#DIV/0!</v>
      </c>
      <c r="H49" s="1129"/>
      <c r="I49" s="1130" t="e">
        <f>V49</f>
        <v>#DIV/0!</v>
      </c>
      <c r="J49" s="1129"/>
      <c r="K49" s="888"/>
      <c r="L49" s="887"/>
      <c r="M49" s="863"/>
      <c r="N49" s="863"/>
      <c r="O49" s="863"/>
      <c r="P49" s="3031"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851"/>
      <c r="Y49" s="851"/>
      <c r="Z49" s="851"/>
      <c r="AA49" s="851"/>
      <c r="AB49" s="851"/>
      <c r="AC49" s="851"/>
    </row>
    <row r="50" spans="1:29" ht="15">
      <c r="A50" s="818" t="s">
        <v>1328</v>
      </c>
      <c r="B50" s="819"/>
      <c r="C50" s="1131" t="e">
        <f>R50</f>
        <v>#DIV/0!</v>
      </c>
      <c r="D50" s="1131"/>
      <c r="E50" s="1131"/>
      <c r="F50" s="1131"/>
      <c r="G50" s="1131"/>
      <c r="H50" s="1131"/>
      <c r="I50" s="1131"/>
      <c r="J50" s="1131"/>
      <c r="K50" s="889"/>
      <c r="L50" s="887"/>
      <c r="M50" s="863"/>
      <c r="N50" s="863"/>
      <c r="O50" s="863"/>
      <c r="P50" s="3061" t="str">
        <f>A50</f>
        <v>估价对象XX用房的比较价值（楼面单价，元/平方米）</v>
      </c>
      <c r="Q50" s="3031"/>
      <c r="R50" s="3032" t="e">
        <f>IF(E1="售价",ROUND(AVERAGE(R49:V49),0),ROUND(AVERAGE(R49:V49),1))</f>
        <v>#DIV/0!</v>
      </c>
      <c r="S50" s="3032"/>
      <c r="T50" s="3032"/>
      <c r="U50" s="3032"/>
      <c r="V50" s="3032"/>
      <c r="W50" s="3032"/>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1329</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1330</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1331</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1332</v>
      </c>
      <c r="B58" s="851"/>
      <c r="C58" s="852"/>
      <c r="D58" s="852"/>
      <c r="E58" s="852"/>
      <c r="F58" s="853"/>
      <c r="G58" s="853"/>
      <c r="H58" s="852"/>
      <c r="I58" s="852"/>
      <c r="J58" s="852"/>
      <c r="K58" s="1145"/>
      <c r="L58" s="1146"/>
      <c r="M58" s="852"/>
      <c r="N58" s="852"/>
      <c r="O58" s="852"/>
      <c r="P58" s="899"/>
      <c r="Q58" s="911"/>
    </row>
    <row r="59" spans="1:29" s="710" customFormat="1" ht="15">
      <c r="A59" s="1132" t="s">
        <v>1282</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1333</v>
      </c>
      <c r="B61" s="927"/>
      <c r="C61" s="928"/>
      <c r="D61" s="929"/>
      <c r="E61" s="929"/>
      <c r="F61" s="929"/>
      <c r="G61" s="929"/>
      <c r="H61" s="929"/>
      <c r="I61" s="929"/>
      <c r="J61" s="929"/>
      <c r="K61" s="929"/>
      <c r="L61" s="929"/>
      <c r="M61" s="978"/>
      <c r="N61" s="929"/>
      <c r="O61" s="1148"/>
      <c r="P61" s="911"/>
      <c r="Q61" s="911"/>
    </row>
    <row r="62" spans="1:29" s="705" customFormat="1" ht="15">
      <c r="A62" s="930" t="s">
        <v>1285</v>
      </c>
      <c r="B62" s="931"/>
      <c r="C62" s="932" t="s">
        <v>1286</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1334</v>
      </c>
      <c r="B64" s="937" t="s">
        <v>1290</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1293</v>
      </c>
      <c r="C66" s="942" t="s">
        <v>1335</v>
      </c>
      <c r="D66" s="942" t="s">
        <v>1336</v>
      </c>
      <c r="E66" s="942" t="s">
        <v>1337</v>
      </c>
      <c r="F66" s="942" t="s">
        <v>1338</v>
      </c>
      <c r="G66" s="942" t="s">
        <v>1339</v>
      </c>
      <c r="H66" s="942" t="s">
        <v>1340</v>
      </c>
      <c r="I66" s="942" t="s">
        <v>1341</v>
      </c>
      <c r="J66" s="942"/>
      <c r="K66" s="992"/>
      <c r="L66" s="993"/>
      <c r="M66" s="994"/>
      <c r="N66" s="988"/>
      <c r="O66" s="988"/>
      <c r="P66" s="989"/>
      <c r="Q66" s="911"/>
    </row>
    <row r="67" spans="1:17" ht="15">
      <c r="A67" s="938"/>
      <c r="B67" s="943"/>
      <c r="C67" s="944" t="s">
        <v>1386</v>
      </c>
      <c r="D67" s="944" t="s">
        <v>1386</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1295</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1296</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1342</v>
      </c>
      <c r="D83" s="942" t="s">
        <v>1343</v>
      </c>
      <c r="E83" s="942" t="s">
        <v>1344</v>
      </c>
      <c r="F83" s="942" t="s">
        <v>1345</v>
      </c>
      <c r="G83" s="942" t="s">
        <v>1346</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1308</v>
      </c>
      <c r="B101" s="937" t="s">
        <v>1309</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1312</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1313</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1315</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1317</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1389</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1318</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1320</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1391</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1383</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1324</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05"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1392</v>
      </c>
      <c r="C1" s="1235"/>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831</v>
      </c>
      <c r="B3" s="723" t="e">
        <f ca="1">ROUND(IF(D2="——",C43,IF(C2="万元",B2*10000/D3,B2/D3)),0)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SUMIF(52:52,YEAR(E7)&amp;"-"&amp;MONTH(E7),53:53)</f>
        <v>0</v>
      </c>
      <c r="G7" s="734"/>
      <c r="H7" s="733">
        <f>SUMIF(52:52,YEAR(G7)&amp;"-"&amp;MONTH(G7),53:53)</f>
        <v>0</v>
      </c>
      <c r="I7" s="734"/>
      <c r="J7" s="733">
        <f>SUMIF(52:52,YEAR(I7)&amp;"-"&amp;MONTH(I7),53:53)</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33" t="s">
        <v>1288</v>
      </c>
      <c r="Q8" s="3034"/>
      <c r="R8" s="902" t="s">
        <v>1284</v>
      </c>
      <c r="S8" s="903">
        <f t="shared" si="0"/>
        <v>100</v>
      </c>
      <c r="T8" s="902" t="s">
        <v>1284</v>
      </c>
      <c r="U8" s="903">
        <f t="shared" si="1"/>
        <v>100</v>
      </c>
      <c r="V8" s="902" t="s">
        <v>1284</v>
      </c>
      <c r="W8" s="903">
        <f t="shared" si="2"/>
        <v>100</v>
      </c>
      <c r="X8" s="904"/>
      <c r="Y8" s="3033" t="s">
        <v>1288</v>
      </c>
      <c r="Z8" s="3034"/>
      <c r="AA8" s="915">
        <f t="shared" ref="AA8:AA40" si="3">D8/F8</f>
        <v>1</v>
      </c>
      <c r="AB8" s="915">
        <f t="shared" ref="AB8:AB40" si="4">D8/H8</f>
        <v>1</v>
      </c>
      <c r="AC8" s="915">
        <f t="shared" ref="AC8:AC40" si="5">D8/J8</f>
        <v>1</v>
      </c>
    </row>
    <row r="9" spans="1:29" s="705" customFormat="1">
      <c r="A9" s="738" t="s">
        <v>1289</v>
      </c>
      <c r="B9" s="739" t="s">
        <v>1290</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57">
      <c r="A15" s="760" t="s">
        <v>1296</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41" t="s">
        <v>1297</v>
      </c>
      <c r="Q15" s="494" t="str">
        <f t="shared" si="6"/>
        <v>产业集聚程度</v>
      </c>
      <c r="R15" s="906" t="s">
        <v>1284</v>
      </c>
      <c r="S15" s="907">
        <f t="shared" si="0"/>
        <v>100</v>
      </c>
      <c r="T15" s="906" t="s">
        <v>1284</v>
      </c>
      <c r="U15" s="907">
        <f t="shared" si="1"/>
        <v>100</v>
      </c>
      <c r="V15" s="906" t="s">
        <v>1284</v>
      </c>
      <c r="W15" s="907">
        <f t="shared" si="2"/>
        <v>100</v>
      </c>
      <c r="X15" s="900"/>
      <c r="Y15" s="3041" t="s">
        <v>1297</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42"/>
      <c r="Q16" s="494"/>
      <c r="R16" s="906"/>
      <c r="S16" s="907"/>
      <c r="T16" s="906"/>
      <c r="U16" s="907"/>
      <c r="V16" s="906"/>
      <c r="W16" s="907"/>
      <c r="X16" s="900"/>
      <c r="Y16" s="3042"/>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42"/>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42"/>
      <c r="Q18" s="494"/>
      <c r="R18" s="906"/>
      <c r="S18" s="907"/>
      <c r="T18" s="906"/>
      <c r="U18" s="907"/>
      <c r="V18" s="906"/>
      <c r="W18" s="907"/>
      <c r="X18" s="900"/>
      <c r="Y18" s="3042"/>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42"/>
      <c r="Q19" s="494" t="str">
        <f>B19</f>
        <v>公共配套设施</v>
      </c>
      <c r="R19" s="906" t="s">
        <v>1284</v>
      </c>
      <c r="S19" s="907">
        <f>F19</f>
        <v>100</v>
      </c>
      <c r="T19" s="906" t="s">
        <v>1284</v>
      </c>
      <c r="U19" s="907">
        <f>H19</f>
        <v>100</v>
      </c>
      <c r="V19" s="906" t="s">
        <v>1284</v>
      </c>
      <c r="W19" s="907">
        <f>J19</f>
        <v>100</v>
      </c>
      <c r="X19" s="900"/>
      <c r="Y19" s="3042"/>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42"/>
      <c r="Q20" s="494"/>
      <c r="R20" s="906"/>
      <c r="S20" s="907"/>
      <c r="T20" s="906"/>
      <c r="U20" s="907"/>
      <c r="V20" s="906"/>
      <c r="W20" s="907"/>
      <c r="X20" s="900"/>
      <c r="Y20" s="3042"/>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42"/>
      <c r="Q21" s="494" t="str">
        <f>B21</f>
        <v>基础设施水平</v>
      </c>
      <c r="R21" s="906" t="s">
        <v>1284</v>
      </c>
      <c r="S21" s="907">
        <f>F21</f>
        <v>100</v>
      </c>
      <c r="T21" s="906" t="s">
        <v>1284</v>
      </c>
      <c r="U21" s="907">
        <f>H21</f>
        <v>100</v>
      </c>
      <c r="V21" s="906" t="s">
        <v>1284</v>
      </c>
      <c r="W21" s="907">
        <f>J21</f>
        <v>100</v>
      </c>
      <c r="X21" s="900"/>
      <c r="Y21" s="3042"/>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42"/>
      <c r="Q22" s="494"/>
      <c r="R22" s="906"/>
      <c r="S22" s="907"/>
      <c r="T22" s="906"/>
      <c r="U22" s="907"/>
      <c r="V22" s="906"/>
      <c r="W22" s="907"/>
      <c r="X22" s="900"/>
      <c r="Y22" s="3042"/>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42"/>
      <c r="Q23" s="494" t="str">
        <f>B23</f>
        <v>环境质量</v>
      </c>
      <c r="R23" s="906" t="s">
        <v>1284</v>
      </c>
      <c r="S23" s="907">
        <f>F23</f>
        <v>100</v>
      </c>
      <c r="T23" s="906" t="s">
        <v>1284</v>
      </c>
      <c r="U23" s="907">
        <f>H23</f>
        <v>100</v>
      </c>
      <c r="V23" s="906" t="s">
        <v>1284</v>
      </c>
      <c r="W23" s="907">
        <f>J23</f>
        <v>100</v>
      </c>
      <c r="X23" s="900"/>
      <c r="Y23" s="3042"/>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42"/>
      <c r="Q24" s="494"/>
      <c r="R24" s="906"/>
      <c r="S24" s="907"/>
      <c r="T24" s="906"/>
      <c r="U24" s="907"/>
      <c r="V24" s="906"/>
      <c r="W24" s="907"/>
      <c r="X24" s="900"/>
      <c r="Y24" s="3042"/>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42"/>
      <c r="Q25" s="494">
        <f>B25</f>
        <v>111</v>
      </c>
      <c r="R25" s="906" t="s">
        <v>1284</v>
      </c>
      <c r="S25" s="907">
        <f>F25</f>
        <v>100</v>
      </c>
      <c r="T25" s="906" t="s">
        <v>1284</v>
      </c>
      <c r="U25" s="907">
        <f>H25</f>
        <v>100</v>
      </c>
      <c r="V25" s="906" t="s">
        <v>1284</v>
      </c>
      <c r="W25" s="907">
        <f>J25</f>
        <v>100</v>
      </c>
      <c r="X25" s="900"/>
      <c r="Y25" s="3042"/>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42"/>
      <c r="Q26" s="494">
        <f t="shared" ref="Q26:Q40" si="11">B26</f>
        <v>111</v>
      </c>
      <c r="R26" s="906" t="s">
        <v>1284</v>
      </c>
      <c r="S26" s="907">
        <f>F26</f>
        <v>100</v>
      </c>
      <c r="T26" s="906" t="s">
        <v>1284</v>
      </c>
      <c r="U26" s="907">
        <f>H26</f>
        <v>100</v>
      </c>
      <c r="V26" s="906" t="s">
        <v>1284</v>
      </c>
      <c r="W26" s="907">
        <f>J26</f>
        <v>100</v>
      </c>
      <c r="X26" s="900"/>
      <c r="Y26" s="3042"/>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42"/>
      <c r="Q27" s="905">
        <f t="shared" si="11"/>
        <v>111</v>
      </c>
      <c r="R27" s="902" t="s">
        <v>1284</v>
      </c>
      <c r="S27" s="903">
        <f>F27</f>
        <v>100</v>
      </c>
      <c r="T27" s="902" t="s">
        <v>1284</v>
      </c>
      <c r="U27" s="903">
        <f>H27</f>
        <v>100</v>
      </c>
      <c r="V27" s="902" t="s">
        <v>1284</v>
      </c>
      <c r="W27" s="903">
        <f>J27</f>
        <v>100</v>
      </c>
      <c r="X27" s="904"/>
      <c r="Y27" s="3042"/>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42"/>
      <c r="Q28" s="494">
        <f t="shared" si="11"/>
        <v>111</v>
      </c>
      <c r="R28" s="906" t="s">
        <v>1284</v>
      </c>
      <c r="S28" s="907">
        <f t="shared" ref="S28:S40" si="12">F28</f>
        <v>100</v>
      </c>
      <c r="T28" s="906" t="s">
        <v>1284</v>
      </c>
      <c r="U28" s="907">
        <f t="shared" ref="U28:U40" si="13">H28</f>
        <v>100</v>
      </c>
      <c r="V28" s="906" t="s">
        <v>1284</v>
      </c>
      <c r="W28" s="907">
        <f t="shared" ref="W28:W40" si="14">J28</f>
        <v>100</v>
      </c>
      <c r="X28" s="900"/>
      <c r="Y28" s="3042"/>
      <c r="Z28" s="835">
        <f t="shared" ref="Z28:Z40" si="15">Q28</f>
        <v>111</v>
      </c>
      <c r="AA28" s="917">
        <f t="shared" si="3"/>
        <v>1</v>
      </c>
      <c r="AB28" s="917">
        <f t="shared" si="4"/>
        <v>1</v>
      </c>
      <c r="AC28" s="917">
        <f t="shared" si="5"/>
        <v>1</v>
      </c>
    </row>
    <row r="29" spans="1:29" ht="28.5">
      <c r="A29" s="1109" t="s">
        <v>1308</v>
      </c>
      <c r="B29" s="739" t="s">
        <v>1309</v>
      </c>
      <c r="C29" s="1110" t="s">
        <v>1393</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65" t="s">
        <v>1311</v>
      </c>
      <c r="Q29" s="494" t="str">
        <f t="shared" si="11"/>
        <v>建筑类型</v>
      </c>
      <c r="R29" s="906" t="s">
        <v>1284</v>
      </c>
      <c r="S29" s="907">
        <f t="shared" si="12"/>
        <v>100</v>
      </c>
      <c r="T29" s="906" t="s">
        <v>1284</v>
      </c>
      <c r="U29" s="907">
        <f t="shared" si="13"/>
        <v>100</v>
      </c>
      <c r="V29" s="906" t="s">
        <v>1284</v>
      </c>
      <c r="W29" s="907">
        <f t="shared" si="14"/>
        <v>100</v>
      </c>
      <c r="X29" s="900"/>
      <c r="Y29" s="3043" t="s">
        <v>1311</v>
      </c>
      <c r="Z29" s="835" t="str">
        <f t="shared" si="15"/>
        <v>建筑类型</v>
      </c>
      <c r="AA29" s="917">
        <f t="shared" si="3"/>
        <v>1</v>
      </c>
      <c r="AB29" s="917">
        <f t="shared" si="4"/>
        <v>1</v>
      </c>
      <c r="AC29" s="917">
        <f t="shared" si="5"/>
        <v>1</v>
      </c>
    </row>
    <row r="30" spans="1:29" s="707" customFormat="1" ht="15">
      <c r="A30" s="802"/>
      <c r="B30" s="743" t="s">
        <v>1312</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43"/>
      <c r="Q30" s="1149" t="str">
        <f t="shared" si="11"/>
        <v>项目建筑规模</v>
      </c>
      <c r="R30" s="908" t="s">
        <v>1284</v>
      </c>
      <c r="S30" s="909" t="e">
        <f t="shared" si="12"/>
        <v>#N/A</v>
      </c>
      <c r="T30" s="908" t="s">
        <v>1284</v>
      </c>
      <c r="U30" s="909" t="e">
        <f t="shared" si="13"/>
        <v>#N/A</v>
      </c>
      <c r="V30" s="908" t="s">
        <v>1284</v>
      </c>
      <c r="W30" s="909" t="e">
        <f t="shared" si="14"/>
        <v>#N/A</v>
      </c>
      <c r="X30" s="910"/>
      <c r="Y30" s="3043"/>
      <c r="Z30" s="918" t="str">
        <f t="shared" si="15"/>
        <v>项目建筑规模</v>
      </c>
      <c r="AA30" s="917" t="e">
        <f t="shared" si="3"/>
        <v>#N/A</v>
      </c>
      <c r="AB30" s="917" t="e">
        <f t="shared" si="4"/>
        <v>#N/A</v>
      </c>
      <c r="AC30" s="917" t="e">
        <f t="shared" si="5"/>
        <v>#N/A</v>
      </c>
    </row>
    <row r="31" spans="1:29" ht="15">
      <c r="A31" s="794"/>
      <c r="B31" s="743" t="s">
        <v>1313</v>
      </c>
      <c r="C31" s="1115" t="s">
        <v>1394</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43"/>
      <c r="Q31" s="494" t="str">
        <f t="shared" si="11"/>
        <v>建筑结构</v>
      </c>
      <c r="R31" s="906" t="s">
        <v>1284</v>
      </c>
      <c r="S31" s="907">
        <f t="shared" si="12"/>
        <v>100</v>
      </c>
      <c r="T31" s="906" t="s">
        <v>1284</v>
      </c>
      <c r="U31" s="907">
        <f t="shared" si="13"/>
        <v>100</v>
      </c>
      <c r="V31" s="906" t="s">
        <v>1284</v>
      </c>
      <c r="W31" s="907">
        <f t="shared" si="14"/>
        <v>100</v>
      </c>
      <c r="X31" s="900"/>
      <c r="Y31" s="3043"/>
      <c r="Z31" s="835" t="str">
        <f t="shared" si="15"/>
        <v>建筑结构</v>
      </c>
      <c r="AA31" s="917">
        <f t="shared" si="3"/>
        <v>1</v>
      </c>
      <c r="AB31" s="917">
        <f t="shared" si="4"/>
        <v>1</v>
      </c>
      <c r="AC31" s="917">
        <f t="shared" si="5"/>
        <v>1</v>
      </c>
    </row>
    <row r="32" spans="1:29" ht="15">
      <c r="A32" s="794"/>
      <c r="B32" s="743" t="s">
        <v>1315</v>
      </c>
      <c r="C32" s="1115" t="s">
        <v>1395</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43"/>
      <c r="Q32" s="494" t="str">
        <f t="shared" si="11"/>
        <v>公共部分装修</v>
      </c>
      <c r="R32" s="906" t="s">
        <v>1284</v>
      </c>
      <c r="S32" s="907">
        <f t="shared" si="12"/>
        <v>100</v>
      </c>
      <c r="T32" s="906" t="s">
        <v>1284</v>
      </c>
      <c r="U32" s="907">
        <f t="shared" si="13"/>
        <v>100</v>
      </c>
      <c r="V32" s="906" t="s">
        <v>1284</v>
      </c>
      <c r="W32" s="907">
        <f t="shared" si="14"/>
        <v>100</v>
      </c>
      <c r="X32" s="900"/>
      <c r="Y32" s="3043"/>
      <c r="Z32" s="835" t="str">
        <f t="shared" si="15"/>
        <v>公共部分装修</v>
      </c>
      <c r="AA32" s="917">
        <f t="shared" si="3"/>
        <v>1</v>
      </c>
      <c r="AB32" s="917">
        <f t="shared" si="4"/>
        <v>1</v>
      </c>
      <c r="AC32" s="917">
        <f t="shared" si="5"/>
        <v>1</v>
      </c>
    </row>
    <row r="33" spans="1:29" ht="15">
      <c r="A33" s="794"/>
      <c r="B33" s="743" t="s">
        <v>1317</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43"/>
      <c r="Q33" s="494" t="str">
        <f t="shared" si="11"/>
        <v>成新度</v>
      </c>
      <c r="R33" s="906" t="s">
        <v>1284</v>
      </c>
      <c r="S33" s="907" t="e">
        <f t="shared" si="12"/>
        <v>#N/A</v>
      </c>
      <c r="T33" s="906" t="s">
        <v>1284</v>
      </c>
      <c r="U33" s="907" t="e">
        <f t="shared" si="13"/>
        <v>#N/A</v>
      </c>
      <c r="V33" s="906" t="s">
        <v>1284</v>
      </c>
      <c r="W33" s="907" t="e">
        <f t="shared" si="14"/>
        <v>#N/A</v>
      </c>
      <c r="X33" s="900"/>
      <c r="Y33" s="3043"/>
      <c r="Z33" s="835" t="str">
        <f t="shared" si="15"/>
        <v>成新度</v>
      </c>
      <c r="AA33" s="917" t="e">
        <f t="shared" si="3"/>
        <v>#N/A</v>
      </c>
      <c r="AB33" s="917" t="e">
        <f t="shared" si="4"/>
        <v>#N/A</v>
      </c>
      <c r="AC33" s="917" t="e">
        <f t="shared" si="5"/>
        <v>#N/A</v>
      </c>
    </row>
    <row r="34" spans="1:29" s="705" customFormat="1" ht="15">
      <c r="A34" s="799"/>
      <c r="B34" s="743" t="s">
        <v>1318</v>
      </c>
      <c r="C34" s="1115" t="s">
        <v>1396</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43"/>
      <c r="Q34" s="905" t="str">
        <f t="shared" si="11"/>
        <v>物业管理</v>
      </c>
      <c r="R34" s="902" t="s">
        <v>1284</v>
      </c>
      <c r="S34" s="903">
        <f t="shared" si="12"/>
        <v>100</v>
      </c>
      <c r="T34" s="902" t="s">
        <v>1284</v>
      </c>
      <c r="U34" s="903">
        <f t="shared" si="13"/>
        <v>100</v>
      </c>
      <c r="V34" s="902" t="s">
        <v>1284</v>
      </c>
      <c r="W34" s="903">
        <f t="shared" si="14"/>
        <v>100</v>
      </c>
      <c r="X34" s="904"/>
      <c r="Y34" s="3043"/>
      <c r="Z34" s="916" t="str">
        <f t="shared" si="15"/>
        <v>物业管理</v>
      </c>
      <c r="AA34" s="915">
        <f t="shared" si="3"/>
        <v>1</v>
      </c>
      <c r="AB34" s="915">
        <f t="shared" si="4"/>
        <v>1</v>
      </c>
      <c r="AC34" s="915">
        <f t="shared" si="5"/>
        <v>1</v>
      </c>
    </row>
    <row r="35" spans="1:29" ht="15">
      <c r="A35" s="794"/>
      <c r="B35" s="743" t="s">
        <v>1320</v>
      </c>
      <c r="C35" s="1115" t="s">
        <v>1343</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43" t="s">
        <v>1311</v>
      </c>
      <c r="Q35" s="494" t="str">
        <f t="shared" si="11"/>
        <v>市政基础设施</v>
      </c>
      <c r="R35" s="906" t="s">
        <v>1284</v>
      </c>
      <c r="S35" s="907">
        <f t="shared" si="12"/>
        <v>100</v>
      </c>
      <c r="T35" s="906" t="s">
        <v>1284</v>
      </c>
      <c r="U35" s="907">
        <f t="shared" si="13"/>
        <v>100</v>
      </c>
      <c r="V35" s="906" t="s">
        <v>1284</v>
      </c>
      <c r="W35" s="907">
        <f t="shared" si="14"/>
        <v>100</v>
      </c>
      <c r="X35" s="900"/>
      <c r="Y35" s="3043" t="s">
        <v>1311</v>
      </c>
      <c r="Z35" s="835" t="str">
        <f t="shared" si="15"/>
        <v>市政基础设施</v>
      </c>
      <c r="AA35" s="917">
        <f t="shared" si="3"/>
        <v>1</v>
      </c>
      <c r="AB35" s="917">
        <f t="shared" si="4"/>
        <v>1</v>
      </c>
      <c r="AC35" s="917">
        <f t="shared" si="5"/>
        <v>1</v>
      </c>
    </row>
    <row r="36" spans="1:29" ht="15">
      <c r="A36" s="794"/>
      <c r="B36" s="743" t="s">
        <v>1324</v>
      </c>
      <c r="C36" s="1115" t="s">
        <v>1395</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43"/>
      <c r="Q36" s="494" t="str">
        <f t="shared" si="11"/>
        <v>内部装修</v>
      </c>
      <c r="R36" s="906" t="s">
        <v>1284</v>
      </c>
      <c r="S36" s="907">
        <f t="shared" si="12"/>
        <v>100</v>
      </c>
      <c r="T36" s="906" t="s">
        <v>1284</v>
      </c>
      <c r="U36" s="907">
        <f t="shared" si="13"/>
        <v>100</v>
      </c>
      <c r="V36" s="906" t="s">
        <v>1284</v>
      </c>
      <c r="W36" s="907">
        <f t="shared" si="14"/>
        <v>100</v>
      </c>
      <c r="X36" s="900"/>
      <c r="Y36" s="3043"/>
      <c r="Z36" s="835" t="str">
        <f t="shared" si="15"/>
        <v>内部装修</v>
      </c>
      <c r="AA36" s="917">
        <f t="shared" si="3"/>
        <v>1</v>
      </c>
      <c r="AB36" s="917">
        <f t="shared" si="4"/>
        <v>1</v>
      </c>
      <c r="AC36" s="917">
        <f t="shared" si="5"/>
        <v>1</v>
      </c>
    </row>
    <row r="37" spans="1:29" ht="15">
      <c r="A37" s="794"/>
      <c r="B37" s="743" t="s">
        <v>1397</v>
      </c>
      <c r="C37" s="780" t="s">
        <v>1398</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43"/>
      <c r="Q37" s="494" t="str">
        <f t="shared" si="11"/>
        <v>内部装修状况</v>
      </c>
      <c r="R37" s="906" t="s">
        <v>1284</v>
      </c>
      <c r="S37" s="907">
        <f t="shared" si="12"/>
        <v>0</v>
      </c>
      <c r="T37" s="906" t="s">
        <v>1284</v>
      </c>
      <c r="U37" s="907">
        <f t="shared" si="13"/>
        <v>0</v>
      </c>
      <c r="V37" s="906" t="s">
        <v>1284</v>
      </c>
      <c r="W37" s="907">
        <f t="shared" si="14"/>
        <v>0</v>
      </c>
      <c r="X37" s="900"/>
      <c r="Y37" s="3043"/>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43"/>
      <c r="Q38" s="1149">
        <f t="shared" si="11"/>
        <v>111</v>
      </c>
      <c r="R38" s="908" t="s">
        <v>1284</v>
      </c>
      <c r="S38" s="909">
        <f t="shared" si="12"/>
        <v>100</v>
      </c>
      <c r="T38" s="908" t="s">
        <v>1284</v>
      </c>
      <c r="U38" s="909">
        <f t="shared" si="13"/>
        <v>100</v>
      </c>
      <c r="V38" s="908" t="s">
        <v>1284</v>
      </c>
      <c r="W38" s="909">
        <f t="shared" si="14"/>
        <v>100</v>
      </c>
      <c r="X38" s="910"/>
      <c r="Y38" s="3043"/>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43"/>
      <c r="Q39" s="494">
        <f t="shared" si="11"/>
        <v>111</v>
      </c>
      <c r="R39" s="906" t="s">
        <v>1284</v>
      </c>
      <c r="S39" s="907">
        <f t="shared" si="12"/>
        <v>100</v>
      </c>
      <c r="T39" s="906" t="s">
        <v>1284</v>
      </c>
      <c r="U39" s="907">
        <f t="shared" si="13"/>
        <v>100</v>
      </c>
      <c r="V39" s="906" t="s">
        <v>1284</v>
      </c>
      <c r="W39" s="907">
        <f t="shared" si="14"/>
        <v>100</v>
      </c>
      <c r="X39" s="900"/>
      <c r="Y39" s="3043"/>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44"/>
      <c r="Q40" s="494">
        <f t="shared" si="11"/>
        <v>111</v>
      </c>
      <c r="R40" s="906" t="s">
        <v>1284</v>
      </c>
      <c r="S40" s="907">
        <f t="shared" si="12"/>
        <v>100</v>
      </c>
      <c r="T40" s="906" t="s">
        <v>1284</v>
      </c>
      <c r="U40" s="907">
        <f t="shared" si="13"/>
        <v>100</v>
      </c>
      <c r="V40" s="906" t="s">
        <v>1284</v>
      </c>
      <c r="W40" s="907">
        <f t="shared" si="14"/>
        <v>100</v>
      </c>
      <c r="X40" s="900"/>
      <c r="Y40" s="3044"/>
      <c r="Z40" s="835">
        <f t="shared" si="15"/>
        <v>111</v>
      </c>
      <c r="AA40" s="917">
        <f t="shared" si="3"/>
        <v>1</v>
      </c>
      <c r="AB40" s="917">
        <f t="shared" si="4"/>
        <v>1</v>
      </c>
      <c r="AC40" s="917">
        <f t="shared" si="5"/>
        <v>1</v>
      </c>
    </row>
    <row r="41" spans="1:29" ht="15">
      <c r="A41" s="804" t="s">
        <v>1326</v>
      </c>
      <c r="B41" s="1120"/>
      <c r="C41" s="1121" t="s">
        <v>121</v>
      </c>
      <c r="D41" s="1122"/>
      <c r="E41" s="1123"/>
      <c r="F41" s="1124"/>
      <c r="G41" s="1125"/>
      <c r="H41" s="1126"/>
      <c r="I41" s="1123"/>
      <c r="J41" s="1126"/>
      <c r="K41" s="886"/>
      <c r="L41" s="887"/>
      <c r="M41" s="821"/>
      <c r="N41" s="863"/>
      <c r="O41" s="821"/>
      <c r="P41" s="3026" t="str">
        <f>A41</f>
        <v>成交单价（元/平方米）</v>
      </c>
      <c r="Q41" s="3026"/>
      <c r="R41" s="3027">
        <f>E41</f>
        <v>0</v>
      </c>
      <c r="S41" s="3027"/>
      <c r="T41" s="3027">
        <f>G41</f>
        <v>0</v>
      </c>
      <c r="U41" s="3027"/>
      <c r="V41" s="3027">
        <f>I41</f>
        <v>0</v>
      </c>
      <c r="W41" s="3027"/>
      <c r="X41" s="851"/>
      <c r="Y41" s="919"/>
      <c r="Z41" s="851"/>
      <c r="AA41" s="851"/>
      <c r="AB41" s="851"/>
      <c r="AC41" s="851"/>
    </row>
    <row r="42" spans="1:29" ht="15">
      <c r="A42" s="812" t="s">
        <v>1327</v>
      </c>
      <c r="B42" s="1127"/>
      <c r="C42" s="1128" t="e">
        <f>R43</f>
        <v>#DIV/0!</v>
      </c>
      <c r="D42" s="1129"/>
      <c r="E42" s="1130" t="e">
        <f>R42</f>
        <v>#DIV/0!</v>
      </c>
      <c r="F42" s="1130"/>
      <c r="G42" s="1128" t="e">
        <f>T42</f>
        <v>#DIV/0!</v>
      </c>
      <c r="H42" s="1129"/>
      <c r="I42" s="1130" t="e">
        <f>V42</f>
        <v>#DIV/0!</v>
      </c>
      <c r="J42" s="1129"/>
      <c r="K42" s="888"/>
      <c r="L42" s="887"/>
      <c r="M42" s="821"/>
      <c r="N42" s="863"/>
      <c r="O42" s="821"/>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851"/>
      <c r="Y42" s="851"/>
      <c r="Z42" s="851"/>
      <c r="AA42" s="851"/>
      <c r="AB42" s="851"/>
      <c r="AC42" s="851"/>
    </row>
    <row r="43" spans="1:29" ht="15">
      <c r="A43" s="818" t="s">
        <v>1328</v>
      </c>
      <c r="B43" s="819"/>
      <c r="C43" s="1131" t="e">
        <f>R43</f>
        <v>#DIV/0!</v>
      </c>
      <c r="D43" s="1131"/>
      <c r="E43" s="1131"/>
      <c r="F43" s="1131"/>
      <c r="G43" s="1131"/>
      <c r="H43" s="1131"/>
      <c r="I43" s="1131"/>
      <c r="J43" s="1131"/>
      <c r="K43" s="889"/>
      <c r="L43" s="887"/>
      <c r="M43" s="821"/>
      <c r="N43" s="821"/>
      <c r="O43" s="821"/>
      <c r="P43" s="3030" t="str">
        <f>A43</f>
        <v>估价对象XX用房的比较价值（楼面单价，元/平方米）</v>
      </c>
      <c r="Q43" s="3031"/>
      <c r="R43" s="3032" t="e">
        <f>IF(E1="售价",ROUND(AVERAGE(R42:V42),0),ROUND(AVERAGE(R42:V42),1))</f>
        <v>#DIV/0!</v>
      </c>
      <c r="S43" s="3032"/>
      <c r="T43" s="3032"/>
      <c r="U43" s="3032"/>
      <c r="V43" s="3032"/>
      <c r="W43" s="3032"/>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1332</v>
      </c>
      <c r="B51" s="851"/>
      <c r="C51" s="852"/>
      <c r="D51" s="852"/>
      <c r="E51" s="852"/>
      <c r="F51" s="853"/>
      <c r="G51" s="853"/>
      <c r="H51" s="852"/>
      <c r="I51" s="852"/>
      <c r="J51" s="852"/>
      <c r="K51" s="1145"/>
      <c r="L51" s="1146"/>
      <c r="M51" s="852"/>
      <c r="N51" s="852"/>
      <c r="O51" s="852"/>
      <c r="P51" s="899"/>
      <c r="Q51" s="911"/>
    </row>
    <row r="52" spans="1:17" s="710" customFormat="1" ht="15">
      <c r="A52" s="1132" t="s">
        <v>1282</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1333</v>
      </c>
      <c r="B54" s="927"/>
      <c r="C54" s="928"/>
      <c r="D54" s="929"/>
      <c r="E54" s="929"/>
      <c r="F54" s="929"/>
      <c r="G54" s="929"/>
      <c r="H54" s="929"/>
      <c r="I54" s="929"/>
      <c r="J54" s="929"/>
      <c r="K54" s="929"/>
      <c r="L54" s="929"/>
      <c r="M54" s="978"/>
      <c r="N54" s="929"/>
      <c r="O54" s="1148"/>
      <c r="P54" s="911"/>
      <c r="Q54" s="911"/>
    </row>
    <row r="55" spans="1:17" s="705" customFormat="1" ht="15">
      <c r="A55" s="930" t="s">
        <v>1285</v>
      </c>
      <c r="B55" s="931"/>
      <c r="C55" s="932" t="s">
        <v>1286</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1334</v>
      </c>
      <c r="B57" s="937" t="s">
        <v>1290</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1293</v>
      </c>
      <c r="C59" s="942" t="s">
        <v>1335</v>
      </c>
      <c r="D59" s="942" t="s">
        <v>1336</v>
      </c>
      <c r="E59" s="942" t="s">
        <v>1337</v>
      </c>
      <c r="F59" s="942" t="s">
        <v>1338</v>
      </c>
      <c r="G59" s="942" t="s">
        <v>1339</v>
      </c>
      <c r="H59" s="942" t="s">
        <v>1340</v>
      </c>
      <c r="I59" s="942" t="s">
        <v>1341</v>
      </c>
      <c r="J59" s="942"/>
      <c r="K59" s="992"/>
      <c r="L59" s="993"/>
      <c r="M59" s="994"/>
      <c r="N59" s="988"/>
      <c r="O59" s="988"/>
      <c r="P59" s="989"/>
      <c r="Q59" s="911"/>
    </row>
    <row r="60" spans="1:17" ht="15">
      <c r="A60" s="938"/>
      <c r="B60" s="943"/>
      <c r="C60" s="944" t="s">
        <v>1386</v>
      </c>
      <c r="D60" s="944" t="s">
        <v>1386</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1295</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1296</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1342</v>
      </c>
      <c r="D76" s="942" t="s">
        <v>1343</v>
      </c>
      <c r="E76" s="942" t="s">
        <v>1344</v>
      </c>
      <c r="F76" s="942" t="s">
        <v>1345</v>
      </c>
      <c r="G76" s="942" t="s">
        <v>1346</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1308</v>
      </c>
      <c r="B88" s="937" t="s">
        <v>1309</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1312</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1313</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1315</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1317</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1318</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1320</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1324</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1399</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159"/>
      <c r="E1" s="1081"/>
      <c r="F1" s="1160" t="s">
        <v>1267</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831</v>
      </c>
      <c r="B3" s="723" t="e">
        <f>IF(AND(D2="——",B37="元/平方米"),C39,ROUND(F3*C39/D3,0))</f>
        <v>#DIV/0!</v>
      </c>
      <c r="C3" s="1090" t="s">
        <v>1268</v>
      </c>
      <c r="D3" s="1091">
        <f>IF(C1="仅计算典型户型",'数据-取费表'!E5,'数据-取费表'!B5)</f>
        <v>54.92</v>
      </c>
      <c r="E3" s="1162" t="s">
        <v>1401</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1205"/>
      <c r="M4" s="1099"/>
      <c r="N4" s="1099"/>
      <c r="O4" s="1099"/>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1205"/>
      <c r="M5" s="1099"/>
      <c r="N5" s="1099"/>
      <c r="O5" s="1099"/>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1205"/>
      <c r="M6" s="1099"/>
      <c r="N6" s="1099"/>
      <c r="O6" s="1099"/>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33" t="s">
        <v>1283</v>
      </c>
      <c r="Q7" s="3049"/>
      <c r="R7" s="902" t="s">
        <v>1284</v>
      </c>
      <c r="S7" s="903">
        <f t="shared" ref="S7:S14" si="0">F7</f>
        <v>0</v>
      </c>
      <c r="T7" s="902" t="s">
        <v>1284</v>
      </c>
      <c r="U7" s="903">
        <f t="shared" ref="U7:U14" si="1">H7</f>
        <v>0</v>
      </c>
      <c r="V7" s="902" t="s">
        <v>1284</v>
      </c>
      <c r="W7" s="903">
        <f t="shared" ref="W7:W14"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33" t="s">
        <v>1288</v>
      </c>
      <c r="Q8" s="3034"/>
      <c r="R8" s="902" t="s">
        <v>1284</v>
      </c>
      <c r="S8" s="903">
        <f t="shared" si="0"/>
        <v>0</v>
      </c>
      <c r="T8" s="902" t="s">
        <v>1284</v>
      </c>
      <c r="U8" s="903">
        <f t="shared" si="1"/>
        <v>0</v>
      </c>
      <c r="V8" s="902" t="s">
        <v>1284</v>
      </c>
      <c r="W8" s="903">
        <f t="shared" si="2"/>
        <v>0</v>
      </c>
      <c r="X8" s="904"/>
      <c r="Y8" s="3033" t="s">
        <v>1288</v>
      </c>
      <c r="Z8" s="3034"/>
      <c r="AA8" s="915" t="e">
        <f t="shared" ref="AA8:AA36" si="3">D8/F8</f>
        <v>#DIV/0!</v>
      </c>
      <c r="AB8" s="915" t="e">
        <f t="shared" ref="AB8:AB36" si="4">D8/H8</f>
        <v>#DIV/0!</v>
      </c>
      <c r="AC8" s="915" t="e">
        <f t="shared" ref="AC8:AC36" si="5">D8/J8</f>
        <v>#DIV/0!</v>
      </c>
    </row>
    <row r="9" spans="1:29" s="705" customFormat="1">
      <c r="A9" s="1163" t="s">
        <v>1289</v>
      </c>
      <c r="B9" s="1164" t="s">
        <v>1290</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26" t="s">
        <v>1291</v>
      </c>
      <c r="Q9" s="905" t="str">
        <f t="shared" ref="Q9:Q14" si="6">B9</f>
        <v>用途</v>
      </c>
      <c r="R9" s="902" t="s">
        <v>1284</v>
      </c>
      <c r="S9" s="903">
        <f t="shared" si="0"/>
        <v>100</v>
      </c>
      <c r="T9" s="902" t="s">
        <v>1284</v>
      </c>
      <c r="U9" s="903">
        <f t="shared" si="1"/>
        <v>100</v>
      </c>
      <c r="V9" s="902" t="s">
        <v>1284</v>
      </c>
      <c r="W9" s="903">
        <f t="shared" si="2"/>
        <v>100</v>
      </c>
      <c r="X9" s="904"/>
      <c r="Y9" s="2852" t="s">
        <v>1292</v>
      </c>
      <c r="Z9" s="916" t="str">
        <f t="shared" ref="Z9:Z14" si="7">Q9</f>
        <v>用途</v>
      </c>
      <c r="AA9" s="915">
        <f t="shared" si="3"/>
        <v>1</v>
      </c>
      <c r="AB9" s="915">
        <f t="shared" si="4"/>
        <v>1</v>
      </c>
      <c r="AC9" s="915">
        <f t="shared" si="5"/>
        <v>1</v>
      </c>
    </row>
    <row r="10" spans="1:29" s="706" customFormat="1" ht="27">
      <c r="A10" s="1166"/>
      <c r="B10" s="1167" t="s">
        <v>1293</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26"/>
      <c r="Q11" s="905">
        <f t="shared" si="6"/>
        <v>111</v>
      </c>
      <c r="R11" s="902" t="s">
        <v>1284</v>
      </c>
      <c r="S11" s="903">
        <f t="shared" si="0"/>
        <v>100</v>
      </c>
      <c r="T11" s="902" t="s">
        <v>1284</v>
      </c>
      <c r="U11" s="903">
        <f t="shared" si="1"/>
        <v>100</v>
      </c>
      <c r="V11" s="902" t="s">
        <v>1284</v>
      </c>
      <c r="W11" s="903">
        <f t="shared" si="2"/>
        <v>100</v>
      </c>
      <c r="X11" s="904"/>
      <c r="Y11" s="2852"/>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85.5">
      <c r="A14" s="724" t="s">
        <v>1296</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41" t="s">
        <v>1297</v>
      </c>
      <c r="Q14" s="494" t="str">
        <f t="shared" si="6"/>
        <v>交通便捷度</v>
      </c>
      <c r="R14" s="906" t="s">
        <v>1284</v>
      </c>
      <c r="S14" s="907">
        <f t="shared" si="0"/>
        <v>100</v>
      </c>
      <c r="T14" s="906" t="s">
        <v>1284</v>
      </c>
      <c r="U14" s="907">
        <f t="shared" si="1"/>
        <v>100</v>
      </c>
      <c r="V14" s="906" t="s">
        <v>1284</v>
      </c>
      <c r="W14" s="907">
        <f t="shared" si="2"/>
        <v>100</v>
      </c>
      <c r="X14" s="900"/>
      <c r="Y14" s="3041" t="s">
        <v>1297</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42"/>
      <c r="Q15" s="494"/>
      <c r="R15" s="906"/>
      <c r="S15" s="907"/>
      <c r="T15" s="906"/>
      <c r="U15" s="907"/>
      <c r="V15" s="906"/>
      <c r="W15" s="907"/>
      <c r="X15" s="900"/>
      <c r="Y15" s="3042"/>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42"/>
      <c r="Q16" s="494" t="str">
        <f>B16</f>
        <v>公共配套设施</v>
      </c>
      <c r="R16" s="906" t="s">
        <v>1284</v>
      </c>
      <c r="S16" s="907">
        <f>F16</f>
        <v>100</v>
      </c>
      <c r="T16" s="906" t="s">
        <v>1284</v>
      </c>
      <c r="U16" s="907">
        <f>H16</f>
        <v>100</v>
      </c>
      <c r="V16" s="906" t="s">
        <v>1284</v>
      </c>
      <c r="W16" s="907">
        <f>J16</f>
        <v>100</v>
      </c>
      <c r="X16" s="900"/>
      <c r="Y16" s="3042"/>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42"/>
      <c r="Q17" s="494"/>
      <c r="R17" s="906"/>
      <c r="S17" s="907"/>
      <c r="T17" s="906"/>
      <c r="U17" s="907"/>
      <c r="V17" s="906"/>
      <c r="W17" s="907"/>
      <c r="X17" s="900"/>
      <c r="Y17" s="3042"/>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42"/>
      <c r="Q18" s="494" t="str">
        <f>B18</f>
        <v>基础设施水平</v>
      </c>
      <c r="R18" s="906" t="s">
        <v>1284</v>
      </c>
      <c r="S18" s="907">
        <f>F18</f>
        <v>100</v>
      </c>
      <c r="T18" s="906" t="s">
        <v>1284</v>
      </c>
      <c r="U18" s="907">
        <f>H18</f>
        <v>100</v>
      </c>
      <c r="V18" s="906" t="s">
        <v>1284</v>
      </c>
      <c r="W18" s="907">
        <f>J18</f>
        <v>100</v>
      </c>
      <c r="X18" s="900"/>
      <c r="Y18" s="3042"/>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42"/>
      <c r="Q19" s="494"/>
      <c r="R19" s="906"/>
      <c r="S19" s="907"/>
      <c r="T19" s="906"/>
      <c r="U19" s="907"/>
      <c r="V19" s="906"/>
      <c r="W19" s="907"/>
      <c r="X19" s="900"/>
      <c r="Y19" s="3042"/>
      <c r="Z19" s="835"/>
      <c r="AA19" s="917">
        <v>1</v>
      </c>
      <c r="AB19" s="917">
        <v>1</v>
      </c>
      <c r="AC19" s="917">
        <v>1</v>
      </c>
    </row>
    <row r="20" spans="1:29" ht="57">
      <c r="A20" s="726"/>
      <c r="B20" s="770" t="s">
        <v>570</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42"/>
      <c r="Q20" s="494" t="str">
        <f>B20</f>
        <v>自然及人文环境</v>
      </c>
      <c r="R20" s="906" t="s">
        <v>1284</v>
      </c>
      <c r="S20" s="907">
        <f>F20</f>
        <v>100</v>
      </c>
      <c r="T20" s="906" t="s">
        <v>1284</v>
      </c>
      <c r="U20" s="907">
        <f>H20</f>
        <v>100</v>
      </c>
      <c r="V20" s="906" t="s">
        <v>1284</v>
      </c>
      <c r="W20" s="907">
        <f>J20</f>
        <v>100</v>
      </c>
      <c r="X20" s="900"/>
      <c r="Y20" s="3042"/>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42"/>
      <c r="Q21" s="494"/>
      <c r="R21" s="906"/>
      <c r="S21" s="907"/>
      <c r="T21" s="906"/>
      <c r="U21" s="907"/>
      <c r="V21" s="906"/>
      <c r="W21" s="907"/>
      <c r="X21" s="900"/>
      <c r="Y21" s="3042"/>
      <c r="Z21" s="835"/>
      <c r="AA21" s="917">
        <v>1</v>
      </c>
      <c r="AB21" s="917">
        <v>1</v>
      </c>
      <c r="AC21" s="917">
        <v>1</v>
      </c>
    </row>
    <row r="22" spans="1:29" ht="15">
      <c r="A22" s="726"/>
      <c r="B22" s="770" t="s">
        <v>1379</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42"/>
      <c r="Q22" s="494" t="str">
        <f>B22</f>
        <v>楼层</v>
      </c>
      <c r="R22" s="906" t="s">
        <v>1284</v>
      </c>
      <c r="S22" s="907">
        <f>F22</f>
        <v>100</v>
      </c>
      <c r="T22" s="906" t="s">
        <v>1284</v>
      </c>
      <c r="U22" s="907">
        <f>H22</f>
        <v>100</v>
      </c>
      <c r="V22" s="906" t="s">
        <v>1284</v>
      </c>
      <c r="W22" s="907">
        <f>J22</f>
        <v>100</v>
      </c>
      <c r="X22" s="900"/>
      <c r="Y22" s="3042"/>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42"/>
      <c r="Q23" s="494">
        <f>B23</f>
        <v>111</v>
      </c>
      <c r="R23" s="906" t="s">
        <v>1284</v>
      </c>
      <c r="S23" s="907">
        <f>F23</f>
        <v>100</v>
      </c>
      <c r="T23" s="906" t="s">
        <v>1284</v>
      </c>
      <c r="U23" s="907">
        <f>H23</f>
        <v>100</v>
      </c>
      <c r="V23" s="906" t="s">
        <v>1284</v>
      </c>
      <c r="W23" s="907">
        <f>J23</f>
        <v>100</v>
      </c>
      <c r="X23" s="900"/>
      <c r="Y23" s="3042"/>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42"/>
      <c r="Q24" s="494">
        <f t="shared" ref="Q24:Q36" si="11">B24</f>
        <v>111</v>
      </c>
      <c r="R24" s="906" t="s">
        <v>1284</v>
      </c>
      <c r="S24" s="907">
        <f>F24</f>
        <v>100</v>
      </c>
      <c r="T24" s="906" t="s">
        <v>1284</v>
      </c>
      <c r="U24" s="907">
        <f>H24</f>
        <v>100</v>
      </c>
      <c r="V24" s="906" t="s">
        <v>1284</v>
      </c>
      <c r="W24" s="907">
        <f>J24</f>
        <v>100</v>
      </c>
      <c r="X24" s="900"/>
      <c r="Y24" s="3042"/>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42"/>
      <c r="Q25" s="905">
        <f t="shared" si="11"/>
        <v>111</v>
      </c>
      <c r="R25" s="902" t="s">
        <v>1284</v>
      </c>
      <c r="S25" s="903">
        <f>F25</f>
        <v>100</v>
      </c>
      <c r="T25" s="902" t="s">
        <v>1284</v>
      </c>
      <c r="U25" s="903">
        <f>H25</f>
        <v>100</v>
      </c>
      <c r="V25" s="902" t="s">
        <v>1284</v>
      </c>
      <c r="W25" s="903">
        <f>J25</f>
        <v>100</v>
      </c>
      <c r="X25" s="904"/>
      <c r="Y25" s="3042"/>
      <c r="Z25" s="916">
        <f>Q25</f>
        <v>111</v>
      </c>
      <c r="AA25" s="917">
        <f t="shared" si="3"/>
        <v>1</v>
      </c>
      <c r="AB25" s="917">
        <f t="shared" si="4"/>
        <v>1</v>
      </c>
      <c r="AC25" s="917">
        <f t="shared" si="5"/>
        <v>1</v>
      </c>
    </row>
    <row r="26" spans="1:29" ht="28.5">
      <c r="A26" s="1192" t="s">
        <v>1308</v>
      </c>
      <c r="B26" s="1193" t="s">
        <v>1402</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65" t="s">
        <v>1311</v>
      </c>
      <c r="Q26" s="494" t="str">
        <f t="shared" si="11"/>
        <v>配套类型</v>
      </c>
      <c r="R26" s="906" t="s">
        <v>1284</v>
      </c>
      <c r="S26" s="907">
        <f t="shared" ref="S26:S36" si="12">F26</f>
        <v>100</v>
      </c>
      <c r="T26" s="906" t="s">
        <v>1284</v>
      </c>
      <c r="U26" s="907">
        <f t="shared" ref="U26:U36" si="13">H26</f>
        <v>100</v>
      </c>
      <c r="V26" s="906" t="s">
        <v>1284</v>
      </c>
      <c r="W26" s="907">
        <f t="shared" ref="W26:W36" si="14">J26</f>
        <v>100</v>
      </c>
      <c r="X26" s="900"/>
      <c r="Y26" s="3043" t="s">
        <v>1311</v>
      </c>
      <c r="Z26" s="835" t="str">
        <f t="shared" ref="Z26:Z36" si="15">Q26</f>
        <v>配套类型</v>
      </c>
      <c r="AA26" s="917">
        <f t="shared" si="3"/>
        <v>1</v>
      </c>
      <c r="AB26" s="917">
        <f t="shared" si="4"/>
        <v>1</v>
      </c>
      <c r="AC26" s="917">
        <f t="shared" si="5"/>
        <v>1</v>
      </c>
    </row>
    <row r="27" spans="1:29" s="707" customFormat="1" ht="15">
      <c r="A27" s="1195"/>
      <c r="B27" s="783" t="s">
        <v>1403</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43"/>
      <c r="Q27" s="1149" t="str">
        <f t="shared" si="11"/>
        <v>项目停车位配比</v>
      </c>
      <c r="R27" s="908" t="s">
        <v>1284</v>
      </c>
      <c r="S27" s="909">
        <f t="shared" si="12"/>
        <v>100</v>
      </c>
      <c r="T27" s="908" t="s">
        <v>1284</v>
      </c>
      <c r="U27" s="909">
        <f t="shared" si="13"/>
        <v>100</v>
      </c>
      <c r="V27" s="908" t="s">
        <v>1284</v>
      </c>
      <c r="W27" s="909">
        <f t="shared" si="14"/>
        <v>100</v>
      </c>
      <c r="X27" s="910"/>
      <c r="Y27" s="3043"/>
      <c r="Z27" s="918" t="str">
        <f t="shared" si="15"/>
        <v>项目停车位配比</v>
      </c>
      <c r="AA27" s="917">
        <f t="shared" si="3"/>
        <v>1</v>
      </c>
      <c r="AB27" s="917">
        <f t="shared" si="4"/>
        <v>1</v>
      </c>
      <c r="AC27" s="917">
        <f t="shared" si="5"/>
        <v>1</v>
      </c>
    </row>
    <row r="28" spans="1:29" ht="15">
      <c r="A28" s="1197"/>
      <c r="B28" s="783" t="s">
        <v>1315</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43"/>
      <c r="Q28" s="494" t="str">
        <f t="shared" si="11"/>
        <v>公共部分装修</v>
      </c>
      <c r="R28" s="906" t="s">
        <v>1284</v>
      </c>
      <c r="S28" s="907">
        <f t="shared" si="12"/>
        <v>100</v>
      </c>
      <c r="T28" s="906" t="s">
        <v>1284</v>
      </c>
      <c r="U28" s="907">
        <f t="shared" si="13"/>
        <v>100</v>
      </c>
      <c r="V28" s="906" t="s">
        <v>1284</v>
      </c>
      <c r="W28" s="907">
        <f t="shared" si="14"/>
        <v>100</v>
      </c>
      <c r="X28" s="900"/>
      <c r="Y28" s="3043"/>
      <c r="Z28" s="835" t="str">
        <f t="shared" si="15"/>
        <v>公共部分装修</v>
      </c>
      <c r="AA28" s="917">
        <f t="shared" si="3"/>
        <v>1</v>
      </c>
      <c r="AB28" s="917">
        <f t="shared" si="4"/>
        <v>1</v>
      </c>
      <c r="AC28" s="917">
        <f t="shared" si="5"/>
        <v>1</v>
      </c>
    </row>
    <row r="29" spans="1:29" ht="15">
      <c r="A29" s="1197"/>
      <c r="B29" s="783" t="s">
        <v>1404</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43"/>
      <c r="Q29" s="494" t="str">
        <f t="shared" si="11"/>
        <v>成新率</v>
      </c>
      <c r="R29" s="906" t="s">
        <v>1284</v>
      </c>
      <c r="S29" s="907" t="e">
        <f t="shared" si="12"/>
        <v>#N/A</v>
      </c>
      <c r="T29" s="906" t="s">
        <v>1284</v>
      </c>
      <c r="U29" s="907" t="e">
        <f t="shared" si="13"/>
        <v>#N/A</v>
      </c>
      <c r="V29" s="906" t="s">
        <v>1284</v>
      </c>
      <c r="W29" s="907" t="e">
        <f t="shared" si="14"/>
        <v>#N/A</v>
      </c>
      <c r="X29" s="900"/>
      <c r="Y29" s="3043"/>
      <c r="Z29" s="835" t="str">
        <f t="shared" si="15"/>
        <v>成新率</v>
      </c>
      <c r="AA29" s="917" t="e">
        <f t="shared" si="3"/>
        <v>#N/A</v>
      </c>
      <c r="AB29" s="917" t="e">
        <f t="shared" si="4"/>
        <v>#N/A</v>
      </c>
      <c r="AC29" s="917" t="e">
        <f t="shared" si="5"/>
        <v>#N/A</v>
      </c>
    </row>
    <row r="30" spans="1:29" ht="15">
      <c r="A30" s="1197"/>
      <c r="B30" s="783" t="s">
        <v>1405</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43"/>
      <c r="Q30" s="494" t="str">
        <f t="shared" si="11"/>
        <v>物业等级</v>
      </c>
      <c r="R30" s="906" t="s">
        <v>1284</v>
      </c>
      <c r="S30" s="907">
        <f t="shared" si="12"/>
        <v>100</v>
      </c>
      <c r="T30" s="906" t="s">
        <v>1284</v>
      </c>
      <c r="U30" s="907">
        <f t="shared" si="13"/>
        <v>100</v>
      </c>
      <c r="V30" s="906" t="s">
        <v>1284</v>
      </c>
      <c r="W30" s="907">
        <f t="shared" si="14"/>
        <v>100</v>
      </c>
      <c r="X30" s="900"/>
      <c r="Y30" s="3043"/>
      <c r="Z30" s="835" t="str">
        <f t="shared" si="15"/>
        <v>物业等级</v>
      </c>
      <c r="AA30" s="917">
        <f t="shared" si="3"/>
        <v>1</v>
      </c>
      <c r="AB30" s="917">
        <f t="shared" si="4"/>
        <v>1</v>
      </c>
      <c r="AC30" s="917">
        <f t="shared" si="5"/>
        <v>1</v>
      </c>
    </row>
    <row r="31" spans="1:29" s="705" customFormat="1" ht="15">
      <c r="A31" s="1198"/>
      <c r="B31" s="783" t="s">
        <v>1406</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43"/>
      <c r="Q31" s="905" t="str">
        <f t="shared" si="11"/>
        <v>停车位面积</v>
      </c>
      <c r="R31" s="902" t="s">
        <v>1284</v>
      </c>
      <c r="S31" s="903" t="e">
        <f t="shared" si="12"/>
        <v>#N/A</v>
      </c>
      <c r="T31" s="902" t="s">
        <v>1284</v>
      </c>
      <c r="U31" s="903" t="e">
        <f t="shared" si="13"/>
        <v>#N/A</v>
      </c>
      <c r="V31" s="902" t="s">
        <v>1284</v>
      </c>
      <c r="W31" s="903" t="e">
        <f t="shared" si="14"/>
        <v>#N/A</v>
      </c>
      <c r="X31" s="904"/>
      <c r="Y31" s="3043"/>
      <c r="Z31" s="916" t="str">
        <f t="shared" si="15"/>
        <v>停车位面积</v>
      </c>
      <c r="AA31" s="915" t="e">
        <f t="shared" si="3"/>
        <v>#N/A</v>
      </c>
      <c r="AB31" s="915" t="e">
        <f t="shared" si="4"/>
        <v>#N/A</v>
      </c>
      <c r="AC31" s="915" t="e">
        <f t="shared" si="5"/>
        <v>#N/A</v>
      </c>
    </row>
    <row r="32" spans="1:29" ht="15">
      <c r="A32" s="1197"/>
      <c r="B32" s="783" t="s">
        <v>1407</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43" t="s">
        <v>1311</v>
      </c>
      <c r="Q32" s="494" t="str">
        <f t="shared" si="11"/>
        <v>车位类型</v>
      </c>
      <c r="R32" s="906" t="s">
        <v>1284</v>
      </c>
      <c r="S32" s="907">
        <f t="shared" si="12"/>
        <v>100</v>
      </c>
      <c r="T32" s="906" t="s">
        <v>1284</v>
      </c>
      <c r="U32" s="907">
        <f t="shared" si="13"/>
        <v>100</v>
      </c>
      <c r="V32" s="906" t="s">
        <v>1284</v>
      </c>
      <c r="W32" s="907">
        <f t="shared" si="14"/>
        <v>100</v>
      </c>
      <c r="X32" s="900"/>
      <c r="Y32" s="3043" t="s">
        <v>1311</v>
      </c>
      <c r="Z32" s="835" t="str">
        <f t="shared" si="15"/>
        <v>车位类型</v>
      </c>
      <c r="AA32" s="917">
        <f t="shared" si="3"/>
        <v>1</v>
      </c>
      <c r="AB32" s="917">
        <f t="shared" si="4"/>
        <v>1</v>
      </c>
      <c r="AC32" s="917">
        <f t="shared" si="5"/>
        <v>1</v>
      </c>
    </row>
    <row r="33" spans="1:29" ht="15">
      <c r="A33" s="1197"/>
      <c r="B33" s="783" t="s">
        <v>1408</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43"/>
      <c r="Q33" s="494" t="str">
        <f t="shared" si="11"/>
        <v>是否直接入户</v>
      </c>
      <c r="R33" s="906" t="s">
        <v>1284</v>
      </c>
      <c r="S33" s="907">
        <f t="shared" si="12"/>
        <v>100</v>
      </c>
      <c r="T33" s="906" t="s">
        <v>1284</v>
      </c>
      <c r="U33" s="907">
        <f t="shared" si="13"/>
        <v>100</v>
      </c>
      <c r="V33" s="906" t="s">
        <v>1284</v>
      </c>
      <c r="W33" s="907">
        <f t="shared" si="14"/>
        <v>100</v>
      </c>
      <c r="X33" s="900"/>
      <c r="Y33" s="3043"/>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43"/>
      <c r="Q34" s="494">
        <f t="shared" si="11"/>
        <v>111</v>
      </c>
      <c r="R34" s="906" t="s">
        <v>1284</v>
      </c>
      <c r="S34" s="907">
        <f t="shared" si="12"/>
        <v>100</v>
      </c>
      <c r="T34" s="906" t="s">
        <v>1284</v>
      </c>
      <c r="U34" s="907">
        <f t="shared" si="13"/>
        <v>100</v>
      </c>
      <c r="V34" s="906" t="s">
        <v>1284</v>
      </c>
      <c r="W34" s="907">
        <f t="shared" si="14"/>
        <v>100</v>
      </c>
      <c r="X34" s="900"/>
      <c r="Y34" s="3043"/>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43"/>
      <c r="Q35" s="1149">
        <f t="shared" si="11"/>
        <v>111</v>
      </c>
      <c r="R35" s="908" t="s">
        <v>1284</v>
      </c>
      <c r="S35" s="909">
        <f t="shared" si="12"/>
        <v>100</v>
      </c>
      <c r="T35" s="908" t="s">
        <v>1284</v>
      </c>
      <c r="U35" s="909">
        <f t="shared" si="13"/>
        <v>100</v>
      </c>
      <c r="V35" s="908" t="s">
        <v>1284</v>
      </c>
      <c r="W35" s="909">
        <f t="shared" si="14"/>
        <v>100</v>
      </c>
      <c r="X35" s="910"/>
      <c r="Y35" s="3043"/>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43"/>
      <c r="Q36" s="494">
        <f t="shared" si="11"/>
        <v>111</v>
      </c>
      <c r="R36" s="906" t="s">
        <v>1284</v>
      </c>
      <c r="S36" s="907">
        <f t="shared" si="12"/>
        <v>100</v>
      </c>
      <c r="T36" s="906" t="s">
        <v>1284</v>
      </c>
      <c r="U36" s="907">
        <f t="shared" si="13"/>
        <v>100</v>
      </c>
      <c r="V36" s="906" t="s">
        <v>1284</v>
      </c>
      <c r="W36" s="907">
        <f t="shared" si="14"/>
        <v>100</v>
      </c>
      <c r="X36" s="900"/>
      <c r="Y36" s="3043"/>
      <c r="Z36" s="835">
        <f t="shared" si="15"/>
        <v>111</v>
      </c>
      <c r="AA36" s="917">
        <f t="shared" si="3"/>
        <v>1</v>
      </c>
      <c r="AB36" s="917">
        <f t="shared" si="4"/>
        <v>1</v>
      </c>
      <c r="AC36" s="917">
        <f t="shared" si="5"/>
        <v>1</v>
      </c>
    </row>
    <row r="37" spans="1:29" ht="15">
      <c r="A37" s="804" t="s">
        <v>1409</v>
      </c>
      <c r="B37" s="1200" t="s">
        <v>1410</v>
      </c>
      <c r="C37" s="1121" t="s">
        <v>121</v>
      </c>
      <c r="D37" s="1122"/>
      <c r="E37" s="1123"/>
      <c r="F37" s="1124"/>
      <c r="G37" s="1125"/>
      <c r="H37" s="1126"/>
      <c r="I37" s="1123"/>
      <c r="J37" s="1126"/>
      <c r="K37" s="1216"/>
      <c r="L37" s="1217"/>
      <c r="M37" s="851"/>
      <c r="N37" s="1099"/>
      <c r="O37" s="851"/>
      <c r="P37" s="3026" t="str">
        <f>A37</f>
        <v>成交单价</v>
      </c>
      <c r="Q37" s="3026"/>
      <c r="R37" s="3027">
        <f>E37</f>
        <v>0</v>
      </c>
      <c r="S37" s="3027"/>
      <c r="T37" s="3027">
        <f>G37</f>
        <v>0</v>
      </c>
      <c r="U37" s="3027"/>
      <c r="V37" s="3027">
        <f>I37</f>
        <v>0</v>
      </c>
      <c r="W37" s="3027"/>
      <c r="X37" s="851"/>
      <c r="Y37" s="919"/>
      <c r="Z37" s="851"/>
      <c r="AA37" s="851"/>
      <c r="AB37" s="851"/>
      <c r="AC37" s="851"/>
    </row>
    <row r="38" spans="1:29" ht="15">
      <c r="A38" s="812" t="s">
        <v>1411</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851"/>
      <c r="Y38" s="851"/>
      <c r="Z38" s="851"/>
      <c r="AA38" s="851"/>
      <c r="AB38" s="851"/>
      <c r="AC38" s="851"/>
    </row>
    <row r="39" spans="1:29" ht="15">
      <c r="A39" s="818" t="s">
        <v>1328</v>
      </c>
      <c r="B39" s="819"/>
      <c r="C39" s="1131" t="e">
        <f>R39</f>
        <v>#DIV/0!</v>
      </c>
      <c r="D39" s="1131"/>
      <c r="E39" s="1131"/>
      <c r="F39" s="1131"/>
      <c r="G39" s="1131"/>
      <c r="H39" s="1131"/>
      <c r="I39" s="1131"/>
      <c r="J39" s="1131"/>
      <c r="K39" s="1219"/>
      <c r="L39" s="1217"/>
      <c r="M39" s="851"/>
      <c r="N39" s="851"/>
      <c r="O39" s="851"/>
      <c r="P39" s="3030" t="str">
        <f>A39</f>
        <v>估价对象XX用房的比较价值（楼面单价，元/平方米）</v>
      </c>
      <c r="Q39" s="3031"/>
      <c r="R39" s="3032" t="e">
        <f>IF(E1="售价",ROUND(AVERAGE(R38:V38),0),ROUND(AVERAGE(R38:V38),1))</f>
        <v>#DIV/0!</v>
      </c>
      <c r="S39" s="3032"/>
      <c r="T39" s="3032"/>
      <c r="U39" s="3032"/>
      <c r="V39" s="3032"/>
      <c r="W39" s="3032"/>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1329</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1330</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1331</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1332</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1282</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1333</v>
      </c>
      <c r="B50" s="927"/>
      <c r="C50" s="928"/>
      <c r="D50" s="929"/>
      <c r="E50" s="929"/>
      <c r="F50" s="929"/>
      <c r="G50" s="929"/>
      <c r="H50" s="929"/>
      <c r="I50" s="929"/>
      <c r="J50" s="929"/>
      <c r="K50" s="929"/>
      <c r="L50" s="929"/>
      <c r="M50" s="978"/>
      <c r="N50" s="929"/>
      <c r="O50" s="1148"/>
      <c r="P50" s="911"/>
      <c r="Q50" s="911"/>
    </row>
    <row r="51" spans="1:17" s="705" customFormat="1" ht="15">
      <c r="A51" s="930" t="s">
        <v>1285</v>
      </c>
      <c r="B51" s="931"/>
      <c r="C51" s="932" t="s">
        <v>1286</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1334</v>
      </c>
      <c r="B53" s="937" t="s">
        <v>1290</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1293</v>
      </c>
      <c r="C55" s="942" t="s">
        <v>1335</v>
      </c>
      <c r="D55" s="942" t="s">
        <v>1336</v>
      </c>
      <c r="E55" s="942" t="s">
        <v>1337</v>
      </c>
      <c r="F55" s="942" t="s">
        <v>1338</v>
      </c>
      <c r="G55" s="942" t="s">
        <v>1339</v>
      </c>
      <c r="H55" s="942" t="s">
        <v>1340</v>
      </c>
      <c r="I55" s="942" t="s">
        <v>1341</v>
      </c>
      <c r="J55" s="942"/>
      <c r="K55" s="992"/>
      <c r="L55" s="993"/>
      <c r="M55" s="994"/>
      <c r="N55" s="1223"/>
      <c r="O55" s="1223"/>
      <c r="P55" s="989"/>
      <c r="Q55" s="911"/>
    </row>
    <row r="56" spans="1:17" ht="15">
      <c r="A56" s="938"/>
      <c r="B56" s="943"/>
      <c r="C56" s="944" t="s">
        <v>1386</v>
      </c>
      <c r="D56" s="944" t="s">
        <v>1386</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1296</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1342</v>
      </c>
      <c r="D67" s="942" t="s">
        <v>1343</v>
      </c>
      <c r="E67" s="942" t="s">
        <v>1344</v>
      </c>
      <c r="F67" s="942" t="s">
        <v>1345</v>
      </c>
      <c r="G67" s="942" t="s">
        <v>1346</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570</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1379</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1308</v>
      </c>
      <c r="B79" s="937" t="s">
        <v>1412</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1403</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1315</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1404</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1405</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1406</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1407</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1408</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 ca="1">ROUND(IF(D2="——",C37,IF(C2="万元",B2*10000/D3,B2/D3)),0)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6"/>
      <c r="F7" s="733">
        <f>SUMIF(46:46,YEAR(E7)&amp;"-"&amp;MONTH(E7),47:47)</f>
        <v>0</v>
      </c>
      <c r="G7" s="734"/>
      <c r="H7" s="733">
        <f>SUMIF(46:46,YEAR(G7)&amp;"-"&amp;MONTH(G7),47:47)</f>
        <v>0</v>
      </c>
      <c r="I7" s="734"/>
      <c r="J7" s="733">
        <f>SUMIF(46:46,YEAR(I7)&amp;"-"&amp;MONTH(I7),47:47)</f>
        <v>0</v>
      </c>
      <c r="K7" s="864"/>
      <c r="L7" s="865"/>
      <c r="M7" s="866"/>
      <c r="N7" s="866"/>
      <c r="O7" s="866"/>
      <c r="P7" s="3033" t="s">
        <v>1283</v>
      </c>
      <c r="Q7" s="3049"/>
      <c r="R7" s="902" t="s">
        <v>1284</v>
      </c>
      <c r="S7" s="903">
        <f t="shared" ref="S7:S14" si="0">F7</f>
        <v>0</v>
      </c>
      <c r="T7" s="902" t="s">
        <v>1284</v>
      </c>
      <c r="U7" s="903">
        <f t="shared" ref="U7:U14" si="1">H7</f>
        <v>0</v>
      </c>
      <c r="V7" s="902" t="s">
        <v>1284</v>
      </c>
      <c r="W7" s="903">
        <f t="shared" ref="W7:W14"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SUMIF(49:49,E8,50:50)-SUMIF(49:49,C8,50:50)+100</f>
        <v>0</v>
      </c>
      <c r="G8" s="737"/>
      <c r="H8" s="733">
        <f>SUMIF(49:49,G8,50:50)-SUMIF(49:49,C8,50:50)+100</f>
        <v>0</v>
      </c>
      <c r="I8" s="737"/>
      <c r="J8" s="733">
        <f>SUMIF(49:49,I8,50:50)-SUMIF(49:49,C8,50:50)+100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34" si="3">D8/F8</f>
        <v>#DIV/0!</v>
      </c>
      <c r="AB8" s="915" t="e">
        <f t="shared" ref="AB8:AB34" si="4">D8/H8</f>
        <v>#DIV/0!</v>
      </c>
      <c r="AC8" s="915" t="e">
        <f t="shared" ref="AC8:AC34" si="5">D8/J8</f>
        <v>#DIV/0!</v>
      </c>
    </row>
    <row r="9" spans="1:29" s="705" customFormat="1">
      <c r="A9" s="738" t="s">
        <v>1289</v>
      </c>
      <c r="B9" s="739" t="s">
        <v>1290</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26" t="s">
        <v>1291</v>
      </c>
      <c r="Q9" s="905" t="str">
        <f t="shared" ref="Q9:Q14" si="6">B9</f>
        <v>用途</v>
      </c>
      <c r="R9" s="902" t="s">
        <v>1284</v>
      </c>
      <c r="S9" s="903">
        <f t="shared" si="0"/>
        <v>100</v>
      </c>
      <c r="T9" s="902" t="s">
        <v>1284</v>
      </c>
      <c r="U9" s="903">
        <f t="shared" si="1"/>
        <v>100</v>
      </c>
      <c r="V9" s="902" t="s">
        <v>1284</v>
      </c>
      <c r="W9" s="903">
        <f t="shared" si="2"/>
        <v>100</v>
      </c>
      <c r="X9" s="904"/>
      <c r="Y9" s="2852" t="s">
        <v>1292</v>
      </c>
      <c r="Z9" s="916" t="str">
        <f t="shared" ref="Z9:Z14" si="7">Q9</f>
        <v>用途</v>
      </c>
      <c r="AA9" s="915">
        <f t="shared" si="3"/>
        <v>1</v>
      </c>
      <c r="AB9" s="915">
        <f t="shared" si="4"/>
        <v>1</v>
      </c>
      <c r="AC9" s="915">
        <f t="shared" si="5"/>
        <v>1</v>
      </c>
    </row>
    <row r="10" spans="1:29" s="706" customFormat="1" ht="27">
      <c r="A10" s="742"/>
      <c r="B10" s="743" t="s">
        <v>1293</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26"/>
      <c r="Q10" s="905" t="str">
        <f t="shared" si="6"/>
        <v>土地使用年限（年）</v>
      </c>
      <c r="R10" s="902" t="s">
        <v>1284</v>
      </c>
      <c r="S10" s="903">
        <f t="shared" si="0"/>
        <v>100</v>
      </c>
      <c r="T10" s="902" t="s">
        <v>1284</v>
      </c>
      <c r="U10" s="903">
        <f t="shared" si="1"/>
        <v>100</v>
      </c>
      <c r="V10" s="902" t="s">
        <v>1284</v>
      </c>
      <c r="W10" s="903">
        <f t="shared" si="2"/>
        <v>100</v>
      </c>
      <c r="X10" s="904"/>
      <c r="Y10" s="2852"/>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26"/>
      <c r="Q11" s="905">
        <f t="shared" si="6"/>
        <v>111</v>
      </c>
      <c r="R11" s="902" t="s">
        <v>1284</v>
      </c>
      <c r="S11" s="903">
        <f t="shared" si="0"/>
        <v>100</v>
      </c>
      <c r="T11" s="902" t="s">
        <v>1284</v>
      </c>
      <c r="U11" s="903">
        <f t="shared" si="1"/>
        <v>100</v>
      </c>
      <c r="V11" s="902" t="s">
        <v>1284</v>
      </c>
      <c r="W11" s="903">
        <f t="shared" si="2"/>
        <v>100</v>
      </c>
      <c r="X11" s="904"/>
      <c r="Y11" s="2852"/>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85.5">
      <c r="A14" s="760" t="s">
        <v>1296</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41" t="s">
        <v>1297</v>
      </c>
      <c r="Q14" s="494" t="str">
        <f t="shared" si="6"/>
        <v>交通便捷度</v>
      </c>
      <c r="R14" s="906" t="s">
        <v>1284</v>
      </c>
      <c r="S14" s="907">
        <f t="shared" si="0"/>
        <v>100</v>
      </c>
      <c r="T14" s="906" t="s">
        <v>1284</v>
      </c>
      <c r="U14" s="907">
        <f t="shared" si="1"/>
        <v>100</v>
      </c>
      <c r="V14" s="906" t="s">
        <v>1284</v>
      </c>
      <c r="W14" s="907">
        <f t="shared" si="2"/>
        <v>100</v>
      </c>
      <c r="X14" s="900"/>
      <c r="Y14" s="3041" t="s">
        <v>1297</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42"/>
      <c r="Q15" s="494"/>
      <c r="R15" s="906"/>
      <c r="S15" s="907"/>
      <c r="T15" s="906"/>
      <c r="U15" s="907"/>
      <c r="V15" s="906"/>
      <c r="W15" s="907"/>
      <c r="X15" s="900"/>
      <c r="Y15" s="3042"/>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42"/>
      <c r="Q16" s="494" t="str">
        <f>B16</f>
        <v>公共配套设施</v>
      </c>
      <c r="R16" s="906" t="s">
        <v>1284</v>
      </c>
      <c r="S16" s="907">
        <f>F16</f>
        <v>100</v>
      </c>
      <c r="T16" s="906" t="s">
        <v>1284</v>
      </c>
      <c r="U16" s="907">
        <f>H16</f>
        <v>100</v>
      </c>
      <c r="V16" s="906" t="s">
        <v>1284</v>
      </c>
      <c r="W16" s="907">
        <f>J16</f>
        <v>100</v>
      </c>
      <c r="X16" s="900"/>
      <c r="Y16" s="3042"/>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42"/>
      <c r="Q17" s="494"/>
      <c r="R17" s="906"/>
      <c r="S17" s="907"/>
      <c r="T17" s="906"/>
      <c r="U17" s="907"/>
      <c r="V17" s="906"/>
      <c r="W17" s="907"/>
      <c r="X17" s="900"/>
      <c r="Y17" s="3042"/>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42"/>
      <c r="Q18" s="494" t="str">
        <f>B18</f>
        <v>基础设施水平</v>
      </c>
      <c r="R18" s="906" t="s">
        <v>1284</v>
      </c>
      <c r="S18" s="907">
        <f>F18</f>
        <v>100</v>
      </c>
      <c r="T18" s="906" t="s">
        <v>1284</v>
      </c>
      <c r="U18" s="907">
        <f>H18</f>
        <v>100</v>
      </c>
      <c r="V18" s="906" t="s">
        <v>1284</v>
      </c>
      <c r="W18" s="907">
        <f>J18</f>
        <v>100</v>
      </c>
      <c r="X18" s="900"/>
      <c r="Y18" s="3042"/>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42"/>
      <c r="Q19" s="494"/>
      <c r="R19" s="906"/>
      <c r="S19" s="907"/>
      <c r="T19" s="906"/>
      <c r="U19" s="907"/>
      <c r="V19" s="906"/>
      <c r="W19" s="907"/>
      <c r="X19" s="900"/>
      <c r="Y19" s="3042"/>
      <c r="Z19" s="835"/>
      <c r="AA19" s="917">
        <v>1</v>
      </c>
      <c r="AB19" s="917">
        <v>1</v>
      </c>
      <c r="AC19" s="917">
        <v>1</v>
      </c>
    </row>
    <row r="20" spans="1:29" ht="57">
      <c r="A20" s="746"/>
      <c r="B20" s="1103" t="s">
        <v>570</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42"/>
      <c r="Q20" s="494" t="str">
        <f>B20</f>
        <v>自然及人文环境</v>
      </c>
      <c r="R20" s="906" t="s">
        <v>1284</v>
      </c>
      <c r="S20" s="907">
        <f>F20</f>
        <v>100</v>
      </c>
      <c r="T20" s="906" t="s">
        <v>1284</v>
      </c>
      <c r="U20" s="907">
        <f>H20</f>
        <v>100</v>
      </c>
      <c r="V20" s="906" t="s">
        <v>1284</v>
      </c>
      <c r="W20" s="907">
        <f>J20</f>
        <v>100</v>
      </c>
      <c r="X20" s="900"/>
      <c r="Y20" s="3042"/>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42"/>
      <c r="Q21" s="494"/>
      <c r="R21" s="906"/>
      <c r="S21" s="907"/>
      <c r="T21" s="906"/>
      <c r="U21" s="907"/>
      <c r="V21" s="906"/>
      <c r="W21" s="907"/>
      <c r="X21" s="900"/>
      <c r="Y21" s="3042"/>
      <c r="Z21" s="835"/>
      <c r="AA21" s="917">
        <v>1</v>
      </c>
      <c r="AB21" s="917">
        <v>1</v>
      </c>
      <c r="AC21" s="917">
        <v>1</v>
      </c>
    </row>
    <row r="22" spans="1:29" ht="15">
      <c r="A22" s="746"/>
      <c r="B22" s="1103" t="s">
        <v>1379</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42"/>
      <c r="Q22" s="494" t="str">
        <f>B22</f>
        <v>楼层</v>
      </c>
      <c r="R22" s="906" t="s">
        <v>1284</v>
      </c>
      <c r="S22" s="907">
        <f>F22</f>
        <v>100</v>
      </c>
      <c r="T22" s="906" t="s">
        <v>1284</v>
      </c>
      <c r="U22" s="907">
        <f>H22</f>
        <v>100</v>
      </c>
      <c r="V22" s="906" t="s">
        <v>1284</v>
      </c>
      <c r="W22" s="907">
        <f>J22</f>
        <v>100</v>
      </c>
      <c r="X22" s="900"/>
      <c r="Y22" s="3042"/>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42"/>
      <c r="Q23" s="494">
        <f>B23</f>
        <v>111</v>
      </c>
      <c r="R23" s="906" t="s">
        <v>1284</v>
      </c>
      <c r="S23" s="907">
        <f>F23</f>
        <v>100</v>
      </c>
      <c r="T23" s="906" t="s">
        <v>1284</v>
      </c>
      <c r="U23" s="907">
        <f>H23</f>
        <v>100</v>
      </c>
      <c r="V23" s="906" t="s">
        <v>1284</v>
      </c>
      <c r="W23" s="907">
        <f>J23</f>
        <v>100</v>
      </c>
      <c r="X23" s="900"/>
      <c r="Y23" s="3042"/>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42"/>
      <c r="Q24" s="494">
        <f t="shared" ref="Q24:Q34" si="11">B24</f>
        <v>111</v>
      </c>
      <c r="R24" s="906" t="s">
        <v>1284</v>
      </c>
      <c r="S24" s="907">
        <f>F24</f>
        <v>100</v>
      </c>
      <c r="T24" s="906" t="s">
        <v>1284</v>
      </c>
      <c r="U24" s="907">
        <f>H24</f>
        <v>100</v>
      </c>
      <c r="V24" s="906" t="s">
        <v>1284</v>
      </c>
      <c r="W24" s="907">
        <f>J24</f>
        <v>100</v>
      </c>
      <c r="X24" s="900"/>
      <c r="Y24" s="3042"/>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42"/>
      <c r="Q25" s="905">
        <f t="shared" si="11"/>
        <v>111</v>
      </c>
      <c r="R25" s="902" t="s">
        <v>1284</v>
      </c>
      <c r="S25" s="903">
        <f>F25</f>
        <v>100</v>
      </c>
      <c r="T25" s="902" t="s">
        <v>1284</v>
      </c>
      <c r="U25" s="903">
        <f>H25</f>
        <v>100</v>
      </c>
      <c r="V25" s="902" t="s">
        <v>1284</v>
      </c>
      <c r="W25" s="903">
        <f>J25</f>
        <v>100</v>
      </c>
      <c r="X25" s="904"/>
      <c r="Y25" s="3042"/>
      <c r="Z25" s="916">
        <f>Q25</f>
        <v>111</v>
      </c>
      <c r="AA25" s="917">
        <f t="shared" si="3"/>
        <v>1</v>
      </c>
      <c r="AB25" s="917">
        <f t="shared" si="4"/>
        <v>1</v>
      </c>
      <c r="AC25" s="917">
        <f t="shared" si="5"/>
        <v>1</v>
      </c>
    </row>
    <row r="26" spans="1:29" ht="28.5">
      <c r="A26" s="1109" t="s">
        <v>1308</v>
      </c>
      <c r="B26" s="739" t="s">
        <v>1315</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65" t="s">
        <v>1311</v>
      </c>
      <c r="Q26" s="494" t="str">
        <f t="shared" si="11"/>
        <v>公共部分装修</v>
      </c>
      <c r="R26" s="906" t="s">
        <v>1284</v>
      </c>
      <c r="S26" s="907">
        <f t="shared" ref="S26:S34" si="12">F26</f>
        <v>100</v>
      </c>
      <c r="T26" s="906" t="s">
        <v>1284</v>
      </c>
      <c r="U26" s="907">
        <f t="shared" ref="U26:U34" si="13">H26</f>
        <v>100</v>
      </c>
      <c r="V26" s="906" t="s">
        <v>1284</v>
      </c>
      <c r="W26" s="907">
        <f t="shared" ref="W26:W34" si="14">J26</f>
        <v>100</v>
      </c>
      <c r="X26" s="900"/>
      <c r="Y26" s="3043" t="s">
        <v>1311</v>
      </c>
      <c r="Z26" s="835" t="str">
        <f t="shared" ref="Z26:Z34" si="15">Q26</f>
        <v>公共部分装修</v>
      </c>
      <c r="AA26" s="917">
        <f t="shared" si="3"/>
        <v>1</v>
      </c>
      <c r="AB26" s="917">
        <f t="shared" si="4"/>
        <v>1</v>
      </c>
      <c r="AC26" s="917">
        <f t="shared" si="5"/>
        <v>1</v>
      </c>
    </row>
    <row r="27" spans="1:29" s="707" customFormat="1" ht="15">
      <c r="A27" s="802"/>
      <c r="B27" s="743" t="s">
        <v>1404</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43"/>
      <c r="Q27" s="1149" t="str">
        <f t="shared" si="11"/>
        <v>成新率</v>
      </c>
      <c r="R27" s="908" t="s">
        <v>1284</v>
      </c>
      <c r="S27" s="909" t="e">
        <f t="shared" si="12"/>
        <v>#N/A</v>
      </c>
      <c r="T27" s="908" t="s">
        <v>1284</v>
      </c>
      <c r="U27" s="909" t="e">
        <f t="shared" si="13"/>
        <v>#N/A</v>
      </c>
      <c r="V27" s="908" t="s">
        <v>1284</v>
      </c>
      <c r="W27" s="909" t="e">
        <f t="shared" si="14"/>
        <v>#N/A</v>
      </c>
      <c r="X27" s="910"/>
      <c r="Y27" s="3043"/>
      <c r="Z27" s="918" t="str">
        <f t="shared" si="15"/>
        <v>成新率</v>
      </c>
      <c r="AA27" s="917" t="e">
        <f t="shared" si="3"/>
        <v>#N/A</v>
      </c>
      <c r="AB27" s="917" t="e">
        <f t="shared" si="4"/>
        <v>#N/A</v>
      </c>
      <c r="AC27" s="917" t="e">
        <f t="shared" si="5"/>
        <v>#N/A</v>
      </c>
    </row>
    <row r="28" spans="1:29" ht="15">
      <c r="A28" s="794"/>
      <c r="B28" s="743" t="s">
        <v>1405</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43"/>
      <c r="Q28" s="494" t="str">
        <f t="shared" si="11"/>
        <v>物业等级</v>
      </c>
      <c r="R28" s="906" t="s">
        <v>1284</v>
      </c>
      <c r="S28" s="907">
        <f t="shared" si="12"/>
        <v>100</v>
      </c>
      <c r="T28" s="906" t="s">
        <v>1284</v>
      </c>
      <c r="U28" s="907">
        <f t="shared" si="13"/>
        <v>100</v>
      </c>
      <c r="V28" s="906" t="s">
        <v>1284</v>
      </c>
      <c r="W28" s="907">
        <f t="shared" si="14"/>
        <v>100</v>
      </c>
      <c r="X28" s="900"/>
      <c r="Y28" s="3043"/>
      <c r="Z28" s="835" t="str">
        <f t="shared" si="15"/>
        <v>物业等级</v>
      </c>
      <c r="AA28" s="917">
        <f t="shared" si="3"/>
        <v>1</v>
      </c>
      <c r="AB28" s="917">
        <f t="shared" si="4"/>
        <v>1</v>
      </c>
      <c r="AC28" s="917">
        <f t="shared" si="5"/>
        <v>1</v>
      </c>
    </row>
    <row r="29" spans="1:29" ht="15">
      <c r="A29" s="794"/>
      <c r="B29" s="743" t="s">
        <v>1413</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43"/>
      <c r="Q29" s="494" t="str">
        <f t="shared" si="11"/>
        <v>有无电梯</v>
      </c>
      <c r="R29" s="906" t="s">
        <v>1284</v>
      </c>
      <c r="S29" s="907">
        <f t="shared" si="12"/>
        <v>100</v>
      </c>
      <c r="T29" s="906" t="s">
        <v>1284</v>
      </c>
      <c r="U29" s="907">
        <f t="shared" si="13"/>
        <v>100</v>
      </c>
      <c r="V29" s="906" t="s">
        <v>1284</v>
      </c>
      <c r="W29" s="907">
        <f t="shared" si="14"/>
        <v>100</v>
      </c>
      <c r="X29" s="900"/>
      <c r="Y29" s="3043"/>
      <c r="Z29" s="835" t="str">
        <f t="shared" si="15"/>
        <v>有无电梯</v>
      </c>
      <c r="AA29" s="917">
        <f t="shared" si="3"/>
        <v>1</v>
      </c>
      <c r="AB29" s="917">
        <f t="shared" si="4"/>
        <v>1</v>
      </c>
      <c r="AC29" s="917">
        <f t="shared" si="5"/>
        <v>1</v>
      </c>
    </row>
    <row r="30" spans="1:29" ht="15">
      <c r="A30" s="794"/>
      <c r="B30" s="743" t="s">
        <v>803</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43"/>
      <c r="Q30" s="494" t="str">
        <f t="shared" si="11"/>
        <v>建筑面积</v>
      </c>
      <c r="R30" s="906" t="s">
        <v>1284</v>
      </c>
      <c r="S30" s="907" t="e">
        <f t="shared" si="12"/>
        <v>#N/A</v>
      </c>
      <c r="T30" s="906" t="s">
        <v>1284</v>
      </c>
      <c r="U30" s="907" t="e">
        <f t="shared" si="13"/>
        <v>#N/A</v>
      </c>
      <c r="V30" s="906" t="s">
        <v>1284</v>
      </c>
      <c r="W30" s="907" t="e">
        <f t="shared" si="14"/>
        <v>#N/A</v>
      </c>
      <c r="X30" s="900"/>
      <c r="Y30" s="3043"/>
      <c r="Z30" s="835" t="str">
        <f t="shared" si="15"/>
        <v>建筑面积</v>
      </c>
      <c r="AA30" s="917" t="e">
        <f t="shared" si="3"/>
        <v>#N/A</v>
      </c>
      <c r="AB30" s="917" t="e">
        <f t="shared" si="4"/>
        <v>#N/A</v>
      </c>
      <c r="AC30" s="917" t="e">
        <f t="shared" si="5"/>
        <v>#N/A</v>
      </c>
    </row>
    <row r="31" spans="1:29" s="705" customFormat="1" ht="15">
      <c r="A31" s="799"/>
      <c r="B31" s="743" t="s">
        <v>1414</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43"/>
      <c r="Q31" s="905" t="str">
        <f t="shared" si="11"/>
        <v>是否封闭</v>
      </c>
      <c r="R31" s="902" t="s">
        <v>1284</v>
      </c>
      <c r="S31" s="903">
        <f t="shared" si="12"/>
        <v>100</v>
      </c>
      <c r="T31" s="902" t="s">
        <v>1284</v>
      </c>
      <c r="U31" s="903">
        <f t="shared" si="13"/>
        <v>100</v>
      </c>
      <c r="V31" s="902" t="s">
        <v>1284</v>
      </c>
      <c r="W31" s="903">
        <f t="shared" si="14"/>
        <v>100</v>
      </c>
      <c r="X31" s="904"/>
      <c r="Y31" s="3043"/>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43" t="s">
        <v>1311</v>
      </c>
      <c r="Q32" s="494">
        <f t="shared" si="11"/>
        <v>111</v>
      </c>
      <c r="R32" s="906" t="s">
        <v>1284</v>
      </c>
      <c r="S32" s="907">
        <f t="shared" si="12"/>
        <v>100</v>
      </c>
      <c r="T32" s="906" t="s">
        <v>1284</v>
      </c>
      <c r="U32" s="907">
        <f t="shared" si="13"/>
        <v>100</v>
      </c>
      <c r="V32" s="906" t="s">
        <v>1284</v>
      </c>
      <c r="W32" s="907">
        <f t="shared" si="14"/>
        <v>100</v>
      </c>
      <c r="X32" s="900"/>
      <c r="Y32" s="3043" t="s">
        <v>1311</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43"/>
      <c r="Q33" s="494">
        <f t="shared" si="11"/>
        <v>111</v>
      </c>
      <c r="R33" s="906" t="s">
        <v>1284</v>
      </c>
      <c r="S33" s="907">
        <f t="shared" si="12"/>
        <v>100</v>
      </c>
      <c r="T33" s="906" t="s">
        <v>1284</v>
      </c>
      <c r="U33" s="907">
        <f t="shared" si="13"/>
        <v>100</v>
      </c>
      <c r="V33" s="906" t="s">
        <v>1284</v>
      </c>
      <c r="W33" s="907">
        <f t="shared" si="14"/>
        <v>100</v>
      </c>
      <c r="X33" s="900"/>
      <c r="Y33" s="3043"/>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43"/>
      <c r="Q34" s="494">
        <f t="shared" si="11"/>
        <v>111</v>
      </c>
      <c r="R34" s="906" t="s">
        <v>1284</v>
      </c>
      <c r="S34" s="907">
        <f t="shared" si="12"/>
        <v>100</v>
      </c>
      <c r="T34" s="906" t="s">
        <v>1284</v>
      </c>
      <c r="U34" s="907">
        <f t="shared" si="13"/>
        <v>100</v>
      </c>
      <c r="V34" s="906" t="s">
        <v>1284</v>
      </c>
      <c r="W34" s="907">
        <f t="shared" si="14"/>
        <v>100</v>
      </c>
      <c r="X34" s="900"/>
      <c r="Y34" s="3043"/>
      <c r="Z34" s="835">
        <f t="shared" si="15"/>
        <v>111</v>
      </c>
      <c r="AA34" s="917">
        <f t="shared" si="3"/>
        <v>1</v>
      </c>
      <c r="AB34" s="917">
        <f t="shared" si="4"/>
        <v>1</v>
      </c>
      <c r="AC34" s="917">
        <f t="shared" si="5"/>
        <v>1</v>
      </c>
    </row>
    <row r="35" spans="1:29" ht="15">
      <c r="A35" s="804" t="s">
        <v>1326</v>
      </c>
      <c r="B35" s="1120"/>
      <c r="C35" s="1121" t="s">
        <v>121</v>
      </c>
      <c r="D35" s="1122"/>
      <c r="E35" s="1123"/>
      <c r="F35" s="1124"/>
      <c r="G35" s="1125"/>
      <c r="H35" s="1126"/>
      <c r="I35" s="1123"/>
      <c r="J35" s="1126"/>
      <c r="K35" s="886"/>
      <c r="L35" s="887"/>
      <c r="M35" s="821"/>
      <c r="N35" s="863"/>
      <c r="O35" s="821"/>
      <c r="P35" s="3026" t="str">
        <f>A35</f>
        <v>成交单价（元/平方米）</v>
      </c>
      <c r="Q35" s="3026"/>
      <c r="R35" s="3027">
        <f>E35</f>
        <v>0</v>
      </c>
      <c r="S35" s="3027"/>
      <c r="T35" s="3027">
        <f>G35</f>
        <v>0</v>
      </c>
      <c r="U35" s="3027"/>
      <c r="V35" s="3027">
        <f>I35</f>
        <v>0</v>
      </c>
      <c r="W35" s="3027"/>
      <c r="X35" s="851"/>
      <c r="Y35" s="919"/>
      <c r="Z35" s="851"/>
      <c r="AA35" s="851"/>
      <c r="AB35" s="851"/>
      <c r="AC35" s="851"/>
    </row>
    <row r="36" spans="1:29" ht="15">
      <c r="A36" s="812" t="s">
        <v>1327</v>
      </c>
      <c r="B36" s="1127"/>
      <c r="C36" s="1128" t="e">
        <f>R37</f>
        <v>#DIV/0!</v>
      </c>
      <c r="D36" s="1129"/>
      <c r="E36" s="1130" t="e">
        <f>R36</f>
        <v>#DIV/0!</v>
      </c>
      <c r="F36" s="1130"/>
      <c r="G36" s="1128" t="e">
        <f>T36</f>
        <v>#DIV/0!</v>
      </c>
      <c r="H36" s="1129"/>
      <c r="I36" s="1130" t="e">
        <f>V36</f>
        <v>#DIV/0!</v>
      </c>
      <c r="J36" s="1129"/>
      <c r="K36" s="888"/>
      <c r="L36" s="887"/>
      <c r="M36" s="821"/>
      <c r="N36" s="863"/>
      <c r="O36" s="821"/>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851"/>
      <c r="Y36" s="851"/>
      <c r="Z36" s="851"/>
      <c r="AA36" s="851"/>
      <c r="AB36" s="851"/>
      <c r="AC36" s="851"/>
    </row>
    <row r="37" spans="1:29" ht="15">
      <c r="A37" s="818" t="s">
        <v>1328</v>
      </c>
      <c r="B37" s="819"/>
      <c r="C37" s="1131" t="e">
        <f>R37</f>
        <v>#DIV/0!</v>
      </c>
      <c r="D37" s="1131"/>
      <c r="E37" s="1131"/>
      <c r="F37" s="1131"/>
      <c r="G37" s="1131"/>
      <c r="H37" s="1131"/>
      <c r="I37" s="1131"/>
      <c r="J37" s="1131"/>
      <c r="K37" s="889"/>
      <c r="L37" s="887"/>
      <c r="M37" s="821"/>
      <c r="N37" s="821"/>
      <c r="O37" s="821"/>
      <c r="P37" s="3030" t="str">
        <f>A37</f>
        <v>估价对象XX用房的比较价值（楼面单价，元/平方米）</v>
      </c>
      <c r="Q37" s="3031"/>
      <c r="R37" s="3032" t="e">
        <f>IF(E1="售价",ROUND(AVERAGE(R36:V36),0),ROUND(AVERAGE(R36:V36),1))</f>
        <v>#DIV/0!</v>
      </c>
      <c r="S37" s="3032"/>
      <c r="T37" s="3032"/>
      <c r="U37" s="3032"/>
      <c r="V37" s="3032"/>
      <c r="W37" s="3032"/>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1329</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1330</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1331</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1332</v>
      </c>
      <c r="B45" s="851"/>
      <c r="C45" s="852"/>
      <c r="D45" s="852"/>
      <c r="E45" s="852"/>
      <c r="F45" s="853"/>
      <c r="G45" s="853"/>
      <c r="H45" s="852"/>
      <c r="I45" s="852"/>
      <c r="J45" s="852"/>
      <c r="K45" s="1145"/>
      <c r="L45" s="1146"/>
      <c r="M45" s="852"/>
      <c r="N45" s="852"/>
      <c r="O45" s="852"/>
      <c r="P45" s="899"/>
      <c r="Q45" s="911"/>
    </row>
    <row r="46" spans="1:29" s="710" customFormat="1" ht="15">
      <c r="A46" s="1132" t="s">
        <v>1282</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1333</v>
      </c>
      <c r="B48" s="927"/>
      <c r="C48" s="928"/>
      <c r="D48" s="929"/>
      <c r="E48" s="929"/>
      <c r="F48" s="929"/>
      <c r="G48" s="929"/>
      <c r="H48" s="929"/>
      <c r="I48" s="929"/>
      <c r="J48" s="929"/>
      <c r="K48" s="929"/>
      <c r="L48" s="929"/>
      <c r="M48" s="978"/>
      <c r="N48" s="929"/>
      <c r="O48" s="1148"/>
      <c r="P48" s="911"/>
      <c r="Q48" s="911"/>
    </row>
    <row r="49" spans="1:17" s="705" customFormat="1" ht="15">
      <c r="A49" s="930" t="s">
        <v>1285</v>
      </c>
      <c r="B49" s="931"/>
      <c r="C49" s="932" t="s">
        <v>1286</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1334</v>
      </c>
      <c r="B51" s="937" t="s">
        <v>1290</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1293</v>
      </c>
      <c r="C53" s="942" t="s">
        <v>1335</v>
      </c>
      <c r="D53" s="942" t="s">
        <v>1336</v>
      </c>
      <c r="E53" s="942" t="s">
        <v>1337</v>
      </c>
      <c r="F53" s="942" t="s">
        <v>1338</v>
      </c>
      <c r="G53" s="942" t="s">
        <v>1339</v>
      </c>
      <c r="H53" s="942" t="s">
        <v>1340</v>
      </c>
      <c r="I53" s="942" t="s">
        <v>1341</v>
      </c>
      <c r="J53" s="942"/>
      <c r="K53" s="992"/>
      <c r="L53" s="993"/>
      <c r="M53" s="994"/>
      <c r="N53" s="988"/>
      <c r="O53" s="988"/>
      <c r="P53" s="989"/>
      <c r="Q53" s="911"/>
    </row>
    <row r="54" spans="1:17" ht="15">
      <c r="A54" s="938"/>
      <c r="B54" s="943"/>
      <c r="C54" s="944" t="s">
        <v>1386</v>
      </c>
      <c r="D54" s="944" t="s">
        <v>1386</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1296</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1342</v>
      </c>
      <c r="D65" s="942" t="s">
        <v>1343</v>
      </c>
      <c r="E65" s="942" t="s">
        <v>1344</v>
      </c>
      <c r="F65" s="942" t="s">
        <v>1345</v>
      </c>
      <c r="G65" s="942" t="s">
        <v>1346</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570</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1379</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1308</v>
      </c>
      <c r="B77" s="937" t="s">
        <v>1315</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1404</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1405</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1413</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803</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1414</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1415</v>
      </c>
      <c r="B1" s="715"/>
      <c r="C1" s="716" t="s">
        <v>1416</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830</v>
      </c>
      <c r="B2" s="719" t="e">
        <f>F66</f>
        <v>#DIV/0!</v>
      </c>
      <c r="C2" s="720" t="s">
        <v>1417</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30"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30"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30" s="705" customFormat="1" ht="15">
      <c r="A7" s="730" t="s">
        <v>1282</v>
      </c>
      <c r="B7" s="731"/>
      <c r="C7" s="732">
        <f>'数据-取费表'!B2</f>
        <v>43695</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30" s="705" customFormat="1" ht="15">
      <c r="A8" s="730" t="s">
        <v>1285</v>
      </c>
      <c r="B8" s="731"/>
      <c r="C8" s="737" t="s">
        <v>1286</v>
      </c>
      <c r="D8" s="733">
        <v>100</v>
      </c>
      <c r="E8" s="737"/>
      <c r="F8" s="735">
        <f>SUMIF(73:73,E8,74:74)-SUMIF(73:73,C8,74:74)+100</f>
        <v>0</v>
      </c>
      <c r="G8" s="737"/>
      <c r="H8" s="733">
        <f>SUMIF(73:73,G8,74:74)-SUMIF(73:73,C8,74:74)+100</f>
        <v>0</v>
      </c>
      <c r="I8" s="737"/>
      <c r="J8" s="733">
        <f>SUMIF(73:73,I8,74:74)-SUMIF(73:73,C8,74:74)+100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5" si="3">D8/F8</f>
        <v>#DIV/0!</v>
      </c>
      <c r="AB8" s="915" t="e">
        <f t="shared" ref="AB8:AB45" si="4">D8/H8</f>
        <v>#DIV/0!</v>
      </c>
      <c r="AC8" s="915" t="e">
        <f t="shared" ref="AC8:AC45" si="5">D8/J8</f>
        <v>#DIV/0!</v>
      </c>
    </row>
    <row r="9" spans="1:30" s="705" customFormat="1">
      <c r="A9" s="738" t="s">
        <v>1289</v>
      </c>
      <c r="B9" s="739" t="s">
        <v>1290</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30" s="706" customFormat="1" ht="27">
      <c r="A10" s="742"/>
      <c r="B10" s="743" t="s">
        <v>1293</v>
      </c>
      <c r="C10" s="744"/>
      <c r="D10" s="745">
        <v>100</v>
      </c>
      <c r="E10" s="1037"/>
      <c r="F10" s="745">
        <f>ROUND(100/'数据-取费表'!B14,0)</f>
        <v>114</v>
      </c>
      <c r="G10" s="1038"/>
      <c r="H10" s="745">
        <f>ROUND(100/'数据-取费表'!B14,0)</f>
        <v>114</v>
      </c>
      <c r="I10" s="1038"/>
      <c r="J10" s="745">
        <f>ROUND(100/'数据-取费表'!B14,0)</f>
        <v>114</v>
      </c>
      <c r="K10" s="868"/>
      <c r="L10" s="869"/>
      <c r="M10" s="870"/>
      <c r="N10" s="870"/>
      <c r="O10" s="871"/>
      <c r="P10" s="3026"/>
      <c r="Q10" s="905" t="str">
        <f t="shared" si="6"/>
        <v>土地使用年限（年）</v>
      </c>
      <c r="R10" s="902" t="s">
        <v>1284</v>
      </c>
      <c r="S10" s="903">
        <f t="shared" si="0"/>
        <v>114</v>
      </c>
      <c r="T10" s="902" t="s">
        <v>1284</v>
      </c>
      <c r="U10" s="903">
        <f t="shared" si="1"/>
        <v>114</v>
      </c>
      <c r="V10" s="902" t="s">
        <v>1284</v>
      </c>
      <c r="W10" s="903">
        <f t="shared" si="2"/>
        <v>114</v>
      </c>
      <c r="X10" s="904"/>
      <c r="Y10" s="2852"/>
      <c r="Z10" s="916" t="str">
        <f t="shared" si="7"/>
        <v>土地使用年限（年）</v>
      </c>
      <c r="AA10" s="915">
        <f t="shared" si="3"/>
        <v>0.8771929824561403</v>
      </c>
      <c r="AB10" s="915">
        <f t="shared" si="4"/>
        <v>0.8771929824561403</v>
      </c>
      <c r="AC10" s="915">
        <f t="shared" si="5"/>
        <v>0.8771929824561403</v>
      </c>
    </row>
    <row r="11" spans="1:30" ht="15">
      <c r="A11" s="746"/>
      <c r="B11" s="743" t="s">
        <v>1295</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30" s="705" customFormat="1" ht="15">
      <c r="A12" s="749"/>
      <c r="B12" s="750" t="s">
        <v>1418</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26"/>
      <c r="Q12" s="905" t="str">
        <f t="shared" si="6"/>
        <v>配建</v>
      </c>
      <c r="R12" s="902" t="s">
        <v>1284</v>
      </c>
      <c r="S12" s="903">
        <f t="shared" si="0"/>
        <v>100</v>
      </c>
      <c r="T12" s="902" t="s">
        <v>1284</v>
      </c>
      <c r="U12" s="903">
        <f t="shared" si="1"/>
        <v>100</v>
      </c>
      <c r="V12" s="902" t="s">
        <v>1284</v>
      </c>
      <c r="W12" s="903">
        <f t="shared" si="2"/>
        <v>100</v>
      </c>
      <c r="X12" s="904"/>
      <c r="Y12" s="2852"/>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30" ht="99.75">
      <c r="A15" s="724" t="s">
        <v>1296</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41" t="s">
        <v>1297</v>
      </c>
      <c r="Q15" s="494" t="str">
        <f t="shared" si="6"/>
        <v>居住社区成熟度</v>
      </c>
      <c r="R15" s="906" t="s">
        <v>1284</v>
      </c>
      <c r="S15" s="907">
        <f t="shared" si="0"/>
        <v>100</v>
      </c>
      <c r="T15" s="906" t="s">
        <v>1284</v>
      </c>
      <c r="U15" s="907">
        <f t="shared" si="1"/>
        <v>100</v>
      </c>
      <c r="V15" s="906" t="s">
        <v>1284</v>
      </c>
      <c r="W15" s="907">
        <f t="shared" si="2"/>
        <v>100</v>
      </c>
      <c r="X15" s="900"/>
      <c r="Y15" s="3041" t="s">
        <v>1297</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42"/>
      <c r="Q16" s="494"/>
      <c r="R16" s="906"/>
      <c r="S16" s="907"/>
      <c r="T16" s="906"/>
      <c r="U16" s="907"/>
      <c r="V16" s="906"/>
      <c r="W16" s="907"/>
      <c r="X16" s="900"/>
      <c r="Y16" s="3042"/>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42"/>
      <c r="Q17" s="494" t="str">
        <f>B17</f>
        <v>商业繁华度</v>
      </c>
      <c r="R17" s="906" t="s">
        <v>1284</v>
      </c>
      <c r="S17" s="907">
        <f>F17</f>
        <v>100</v>
      </c>
      <c r="T17" s="906" t="s">
        <v>1284</v>
      </c>
      <c r="U17" s="907">
        <f>H17</f>
        <v>100</v>
      </c>
      <c r="V17" s="906" t="s">
        <v>1284</v>
      </c>
      <c r="W17" s="907">
        <f>J17</f>
        <v>100</v>
      </c>
      <c r="X17" s="900"/>
      <c r="Y17" s="3042"/>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42"/>
      <c r="Q18" s="494"/>
      <c r="R18" s="906"/>
      <c r="S18" s="907"/>
      <c r="T18" s="906"/>
      <c r="U18" s="907"/>
      <c r="V18" s="906"/>
      <c r="W18" s="907"/>
      <c r="X18" s="900"/>
      <c r="Y18" s="3042"/>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42"/>
      <c r="Q19" s="494" t="str">
        <f>B19</f>
        <v>办公集聚程度</v>
      </c>
      <c r="R19" s="906" t="s">
        <v>1284</v>
      </c>
      <c r="S19" s="907">
        <f>F19</f>
        <v>100</v>
      </c>
      <c r="T19" s="906" t="s">
        <v>1284</v>
      </c>
      <c r="U19" s="907">
        <f>H19</f>
        <v>100</v>
      </c>
      <c r="V19" s="906" t="s">
        <v>1284</v>
      </c>
      <c r="W19" s="907">
        <f>J19</f>
        <v>100</v>
      </c>
      <c r="X19" s="900"/>
      <c r="Y19" s="3042"/>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42"/>
      <c r="Q20" s="494"/>
      <c r="R20" s="906"/>
      <c r="S20" s="907"/>
      <c r="T20" s="906"/>
      <c r="U20" s="907"/>
      <c r="V20" s="906"/>
      <c r="W20" s="907"/>
      <c r="X20" s="900"/>
      <c r="Y20" s="3042"/>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42"/>
      <c r="Q21" s="494" t="str">
        <f>B21</f>
        <v>交通便捷度</v>
      </c>
      <c r="R21" s="906" t="s">
        <v>1284</v>
      </c>
      <c r="S21" s="907">
        <f>F21</f>
        <v>100</v>
      </c>
      <c r="T21" s="906" t="s">
        <v>1284</v>
      </c>
      <c r="U21" s="907">
        <f>H21</f>
        <v>100</v>
      </c>
      <c r="V21" s="906" t="s">
        <v>1284</v>
      </c>
      <c r="W21" s="907">
        <f>J21</f>
        <v>100</v>
      </c>
      <c r="X21" s="900"/>
      <c r="Y21" s="3042"/>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42"/>
      <c r="Q22" s="494"/>
      <c r="R22" s="906"/>
      <c r="S22" s="907"/>
      <c r="T22" s="906"/>
      <c r="U22" s="907"/>
      <c r="V22" s="906"/>
      <c r="W22" s="907"/>
      <c r="X22" s="900"/>
      <c r="Y22" s="3042"/>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42"/>
      <c r="Q23" s="494" t="str">
        <f t="shared" ref="Q23:Q38" si="8">B23</f>
        <v>区域土地利用方向</v>
      </c>
      <c r="R23" s="906" t="s">
        <v>1284</v>
      </c>
      <c r="S23" s="907">
        <f>F23</f>
        <v>100</v>
      </c>
      <c r="T23" s="906" t="s">
        <v>1284</v>
      </c>
      <c r="U23" s="907">
        <f>H23</f>
        <v>100</v>
      </c>
      <c r="V23" s="906" t="s">
        <v>1284</v>
      </c>
      <c r="W23" s="907">
        <f>J23</f>
        <v>100</v>
      </c>
      <c r="X23" s="900"/>
      <c r="Y23" s="3042"/>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42"/>
      <c r="Q24" s="494"/>
      <c r="R24" s="906"/>
      <c r="S24" s="907"/>
      <c r="T24" s="906"/>
      <c r="U24" s="907"/>
      <c r="V24" s="906"/>
      <c r="W24" s="907"/>
      <c r="X24" s="900"/>
      <c r="Y24" s="3042"/>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42"/>
      <c r="Q25" s="494" t="str">
        <f t="shared" si="8"/>
        <v>自然及人文环境状况</v>
      </c>
      <c r="R25" s="906" t="s">
        <v>1284</v>
      </c>
      <c r="S25" s="907">
        <f>F25</f>
        <v>100</v>
      </c>
      <c r="T25" s="906" t="s">
        <v>1284</v>
      </c>
      <c r="U25" s="907">
        <f>H25</f>
        <v>100</v>
      </c>
      <c r="V25" s="906" t="s">
        <v>1284</v>
      </c>
      <c r="W25" s="907">
        <f>J25</f>
        <v>100</v>
      </c>
      <c r="X25" s="900"/>
      <c r="Y25" s="3042"/>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42"/>
      <c r="Q26" s="494"/>
      <c r="R26" s="906"/>
      <c r="S26" s="907"/>
      <c r="T26" s="906"/>
      <c r="U26" s="907"/>
      <c r="V26" s="906"/>
      <c r="W26" s="907"/>
      <c r="X26" s="900"/>
      <c r="Y26" s="3042"/>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42"/>
      <c r="Q27" s="905" t="str">
        <f t="shared" ref="Q27" si="9">B27</f>
        <v>公共配套设施</v>
      </c>
      <c r="R27" s="902" t="s">
        <v>1284</v>
      </c>
      <c r="S27" s="903">
        <f>F27</f>
        <v>100</v>
      </c>
      <c r="T27" s="902" t="s">
        <v>1284</v>
      </c>
      <c r="U27" s="903">
        <f>H27</f>
        <v>100</v>
      </c>
      <c r="V27" s="902" t="s">
        <v>1284</v>
      </c>
      <c r="W27" s="903">
        <f>J27</f>
        <v>100</v>
      </c>
      <c r="X27" s="900"/>
      <c r="Y27" s="3042"/>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42"/>
      <c r="Q28" s="494"/>
      <c r="R28" s="906"/>
      <c r="S28" s="907"/>
      <c r="T28" s="906"/>
      <c r="U28" s="907"/>
      <c r="V28" s="906"/>
      <c r="W28" s="907"/>
      <c r="X28" s="900"/>
      <c r="Y28" s="3042"/>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42"/>
      <c r="Q29" s="905" t="str">
        <f t="shared" si="8"/>
        <v>基础设施水平</v>
      </c>
      <c r="R29" s="902" t="s">
        <v>1284</v>
      </c>
      <c r="S29" s="903">
        <f>F29</f>
        <v>100</v>
      </c>
      <c r="T29" s="902" t="s">
        <v>1284</v>
      </c>
      <c r="U29" s="903">
        <f>H29</f>
        <v>100</v>
      </c>
      <c r="V29" s="902" t="s">
        <v>1284</v>
      </c>
      <c r="W29" s="903">
        <f>J29</f>
        <v>100</v>
      </c>
      <c r="X29" s="904"/>
      <c r="Y29" s="3042"/>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42"/>
      <c r="Q30" s="905"/>
      <c r="R30" s="902"/>
      <c r="S30" s="903"/>
      <c r="T30" s="902"/>
      <c r="U30" s="903"/>
      <c r="V30" s="902"/>
      <c r="W30" s="903"/>
      <c r="X30" s="904"/>
      <c r="Y30" s="3042"/>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42"/>
      <c r="Q31" s="494" t="str">
        <f t="shared" si="8"/>
        <v>临街状况</v>
      </c>
      <c r="R31" s="906" t="s">
        <v>1284</v>
      </c>
      <c r="S31" s="907">
        <f t="shared" ref="S31:S45" si="10">F31</f>
        <v>100</v>
      </c>
      <c r="T31" s="906" t="s">
        <v>1284</v>
      </c>
      <c r="U31" s="907">
        <f t="shared" ref="U31:U45" si="11">H31</f>
        <v>100</v>
      </c>
      <c r="V31" s="906" t="s">
        <v>1284</v>
      </c>
      <c r="W31" s="907">
        <f t="shared" ref="W31:W45" si="12">J31</f>
        <v>100</v>
      </c>
      <c r="X31" s="900"/>
      <c r="Y31" s="3042"/>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42"/>
      <c r="Q32" s="494" t="str">
        <f t="shared" si="8"/>
        <v>毗邻道路的类型与等级</v>
      </c>
      <c r="R32" s="906" t="s">
        <v>1284</v>
      </c>
      <c r="S32" s="907">
        <f t="shared" si="10"/>
        <v>100</v>
      </c>
      <c r="T32" s="906" t="s">
        <v>1284</v>
      </c>
      <c r="U32" s="907">
        <f t="shared" si="11"/>
        <v>100</v>
      </c>
      <c r="V32" s="906" t="s">
        <v>1284</v>
      </c>
      <c r="W32" s="907">
        <f t="shared" si="12"/>
        <v>100</v>
      </c>
      <c r="X32" s="900"/>
      <c r="Y32" s="3042"/>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42"/>
      <c r="Q33" s="494"/>
      <c r="R33" s="906"/>
      <c r="S33" s="907"/>
      <c r="T33" s="906"/>
      <c r="U33" s="907"/>
      <c r="V33" s="906"/>
      <c r="W33" s="907"/>
      <c r="X33" s="900"/>
      <c r="Y33" s="3042"/>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42"/>
      <c r="Q34" s="494" t="str">
        <f t="shared" si="8"/>
        <v>土地级别</v>
      </c>
      <c r="R34" s="906" t="s">
        <v>1284</v>
      </c>
      <c r="S34" s="907">
        <f t="shared" si="10"/>
        <v>100</v>
      </c>
      <c r="T34" s="906" t="s">
        <v>1284</v>
      </c>
      <c r="U34" s="907">
        <f t="shared" si="11"/>
        <v>100</v>
      </c>
      <c r="V34" s="906" t="s">
        <v>1284</v>
      </c>
      <c r="W34" s="907">
        <f t="shared" si="12"/>
        <v>100</v>
      </c>
      <c r="X34" s="900"/>
      <c r="Y34" s="3042"/>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42"/>
      <c r="Q35" s="494">
        <f t="shared" si="8"/>
        <v>111</v>
      </c>
      <c r="R35" s="906" t="s">
        <v>1284</v>
      </c>
      <c r="S35" s="907">
        <f t="shared" si="10"/>
        <v>100</v>
      </c>
      <c r="T35" s="906" t="s">
        <v>1284</v>
      </c>
      <c r="U35" s="907">
        <f t="shared" si="11"/>
        <v>100</v>
      </c>
      <c r="V35" s="906" t="s">
        <v>1284</v>
      </c>
      <c r="W35" s="907">
        <f t="shared" si="12"/>
        <v>100</v>
      </c>
      <c r="X35" s="900"/>
      <c r="Y35" s="3042"/>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65" t="s">
        <v>1311</v>
      </c>
      <c r="Q36" s="494">
        <f t="shared" si="8"/>
        <v>111</v>
      </c>
      <c r="R36" s="906" t="s">
        <v>1284</v>
      </c>
      <c r="S36" s="907">
        <f t="shared" si="10"/>
        <v>100</v>
      </c>
      <c r="T36" s="906" t="s">
        <v>1284</v>
      </c>
      <c r="U36" s="907">
        <f t="shared" si="11"/>
        <v>100</v>
      </c>
      <c r="V36" s="906" t="s">
        <v>1284</v>
      </c>
      <c r="W36" s="907">
        <f t="shared" si="12"/>
        <v>100</v>
      </c>
      <c r="X36" s="900"/>
      <c r="Y36" s="3043" t="s">
        <v>1311</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43"/>
      <c r="Q37" s="494">
        <f t="shared" si="8"/>
        <v>111</v>
      </c>
      <c r="R37" s="908" t="s">
        <v>1284</v>
      </c>
      <c r="S37" s="909">
        <f t="shared" si="10"/>
        <v>100</v>
      </c>
      <c r="T37" s="908" t="s">
        <v>1284</v>
      </c>
      <c r="U37" s="909">
        <f t="shared" si="11"/>
        <v>100</v>
      </c>
      <c r="V37" s="908" t="s">
        <v>1284</v>
      </c>
      <c r="W37" s="909">
        <f t="shared" si="12"/>
        <v>100</v>
      </c>
      <c r="X37" s="910"/>
      <c r="Y37" s="3043"/>
      <c r="Z37" s="918">
        <f t="shared" si="13"/>
        <v>111</v>
      </c>
      <c r="AA37" s="917">
        <f t="shared" si="3"/>
        <v>1</v>
      </c>
      <c r="AB37" s="917">
        <f t="shared" si="4"/>
        <v>1</v>
      </c>
      <c r="AC37" s="917">
        <f t="shared" si="5"/>
        <v>1</v>
      </c>
    </row>
    <row r="38" spans="1:29" ht="15">
      <c r="A38" s="724" t="s">
        <v>1308</v>
      </c>
      <c r="B38" s="795" t="s">
        <v>1419</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43"/>
      <c r="Q38" s="494" t="str">
        <f t="shared" si="8"/>
        <v>宗地面积</v>
      </c>
      <c r="R38" s="906" t="s">
        <v>1284</v>
      </c>
      <c r="S38" s="907" t="e">
        <f t="shared" si="10"/>
        <v>#N/A</v>
      </c>
      <c r="T38" s="906" t="s">
        <v>1284</v>
      </c>
      <c r="U38" s="907" t="e">
        <f t="shared" si="11"/>
        <v>#N/A</v>
      </c>
      <c r="V38" s="906" t="s">
        <v>1284</v>
      </c>
      <c r="W38" s="907" t="e">
        <f t="shared" si="12"/>
        <v>#N/A</v>
      </c>
      <c r="X38" s="900"/>
      <c r="Y38" s="3043"/>
      <c r="Z38" s="835" t="str">
        <f t="shared" si="13"/>
        <v>宗地面积</v>
      </c>
      <c r="AA38" s="917" t="e">
        <f t="shared" si="3"/>
        <v>#N/A</v>
      </c>
      <c r="AB38" s="917" t="e">
        <f t="shared" si="4"/>
        <v>#N/A</v>
      </c>
      <c r="AC38" s="917" t="e">
        <f t="shared" si="5"/>
        <v>#N/A</v>
      </c>
    </row>
    <row r="39" spans="1:29" ht="15">
      <c r="A39" s="794"/>
      <c r="B39" s="743" t="s">
        <v>1420</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43"/>
      <c r="Q39" s="494" t="str">
        <f t="shared" ref="Q39:Q45" si="14">B39</f>
        <v>宗地形状</v>
      </c>
      <c r="R39" s="906" t="s">
        <v>1284</v>
      </c>
      <c r="S39" s="907">
        <f t="shared" si="10"/>
        <v>100</v>
      </c>
      <c r="T39" s="906" t="s">
        <v>1284</v>
      </c>
      <c r="U39" s="907">
        <f t="shared" si="11"/>
        <v>100</v>
      </c>
      <c r="V39" s="906" t="s">
        <v>1284</v>
      </c>
      <c r="W39" s="907">
        <f t="shared" si="12"/>
        <v>100</v>
      </c>
      <c r="X39" s="900"/>
      <c r="Y39" s="3043"/>
      <c r="Z39" s="835" t="str">
        <f t="shared" si="13"/>
        <v>宗地形状</v>
      </c>
      <c r="AA39" s="917">
        <f t="shared" si="3"/>
        <v>1</v>
      </c>
      <c r="AB39" s="917">
        <f t="shared" si="4"/>
        <v>1</v>
      </c>
      <c r="AC39" s="917">
        <f t="shared" si="5"/>
        <v>1</v>
      </c>
    </row>
    <row r="40" spans="1:29" ht="15">
      <c r="A40" s="794"/>
      <c r="B40" s="743" t="s">
        <v>1421</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43"/>
      <c r="Q40" s="494" t="str">
        <f t="shared" si="14"/>
        <v>临街宽度及深度</v>
      </c>
      <c r="R40" s="906" t="s">
        <v>1284</v>
      </c>
      <c r="S40" s="907">
        <f t="shared" si="10"/>
        <v>100</v>
      </c>
      <c r="T40" s="906" t="s">
        <v>1284</v>
      </c>
      <c r="U40" s="907">
        <f t="shared" si="11"/>
        <v>100</v>
      </c>
      <c r="V40" s="906" t="s">
        <v>1284</v>
      </c>
      <c r="W40" s="907">
        <f t="shared" si="12"/>
        <v>100</v>
      </c>
      <c r="X40" s="900"/>
      <c r="Y40" s="3043"/>
      <c r="Z40" s="835" t="str">
        <f t="shared" si="13"/>
        <v>临街宽度及深度</v>
      </c>
      <c r="AA40" s="917">
        <f t="shared" si="3"/>
        <v>1</v>
      </c>
      <c r="AB40" s="917">
        <f t="shared" si="4"/>
        <v>1</v>
      </c>
      <c r="AC40" s="917">
        <f t="shared" si="5"/>
        <v>1</v>
      </c>
    </row>
    <row r="41" spans="1:29" s="705" customFormat="1" ht="15">
      <c r="A41" s="799"/>
      <c r="B41" s="743" t="s">
        <v>1422</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43"/>
      <c r="Q41" s="494" t="str">
        <f t="shared" si="14"/>
        <v>宗地开发程度</v>
      </c>
      <c r="R41" s="902" t="s">
        <v>1284</v>
      </c>
      <c r="S41" s="903">
        <f t="shared" si="10"/>
        <v>100</v>
      </c>
      <c r="T41" s="902" t="s">
        <v>1284</v>
      </c>
      <c r="U41" s="903">
        <f t="shared" si="11"/>
        <v>100</v>
      </c>
      <c r="V41" s="902" t="s">
        <v>1284</v>
      </c>
      <c r="W41" s="903">
        <f t="shared" si="12"/>
        <v>100</v>
      </c>
      <c r="X41" s="904"/>
      <c r="Y41" s="3043"/>
      <c r="Z41" s="916" t="str">
        <f t="shared" si="13"/>
        <v>宗地开发程度</v>
      </c>
      <c r="AA41" s="915">
        <f t="shared" si="3"/>
        <v>1</v>
      </c>
      <c r="AB41" s="915">
        <f t="shared" si="4"/>
        <v>1</v>
      </c>
      <c r="AC41" s="915">
        <f t="shared" si="5"/>
        <v>1</v>
      </c>
    </row>
    <row r="42" spans="1:29" ht="15">
      <c r="A42" s="794"/>
      <c r="B42" s="743" t="s">
        <v>1423</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43" t="s">
        <v>1311</v>
      </c>
      <c r="Q42" s="494" t="str">
        <f t="shared" si="14"/>
        <v>工程地质条件</v>
      </c>
      <c r="R42" s="906" t="s">
        <v>1284</v>
      </c>
      <c r="S42" s="907">
        <f t="shared" si="10"/>
        <v>100</v>
      </c>
      <c r="T42" s="906" t="s">
        <v>1284</v>
      </c>
      <c r="U42" s="907">
        <f t="shared" si="11"/>
        <v>100</v>
      </c>
      <c r="V42" s="906" t="s">
        <v>1284</v>
      </c>
      <c r="W42" s="907">
        <f t="shared" si="12"/>
        <v>100</v>
      </c>
      <c r="X42" s="900"/>
      <c r="Y42" s="3043" t="s">
        <v>1311</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43"/>
      <c r="Q43" s="494">
        <f t="shared" si="14"/>
        <v>111</v>
      </c>
      <c r="R43" s="906" t="s">
        <v>1284</v>
      </c>
      <c r="S43" s="907">
        <f t="shared" si="10"/>
        <v>100</v>
      </c>
      <c r="T43" s="906" t="s">
        <v>1284</v>
      </c>
      <c r="U43" s="907">
        <f t="shared" si="11"/>
        <v>100</v>
      </c>
      <c r="V43" s="906" t="s">
        <v>1284</v>
      </c>
      <c r="W43" s="907">
        <f t="shared" si="12"/>
        <v>100</v>
      </c>
      <c r="X43" s="900"/>
      <c r="Y43" s="3043"/>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43"/>
      <c r="Q44" s="494">
        <f t="shared" si="14"/>
        <v>111</v>
      </c>
      <c r="R44" s="906" t="s">
        <v>1284</v>
      </c>
      <c r="S44" s="907">
        <f t="shared" si="10"/>
        <v>100</v>
      </c>
      <c r="T44" s="906" t="s">
        <v>1284</v>
      </c>
      <c r="U44" s="907">
        <f t="shared" si="11"/>
        <v>100</v>
      </c>
      <c r="V44" s="906" t="s">
        <v>1284</v>
      </c>
      <c r="W44" s="907">
        <f t="shared" si="12"/>
        <v>100</v>
      </c>
      <c r="X44" s="900"/>
      <c r="Y44" s="3043"/>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43"/>
      <c r="Q45" s="494">
        <f t="shared" si="14"/>
        <v>111</v>
      </c>
      <c r="R45" s="908" t="s">
        <v>1284</v>
      </c>
      <c r="S45" s="909">
        <f t="shared" si="10"/>
        <v>100</v>
      </c>
      <c r="T45" s="908" t="s">
        <v>1284</v>
      </c>
      <c r="U45" s="909">
        <f t="shared" si="11"/>
        <v>100</v>
      </c>
      <c r="V45" s="908" t="s">
        <v>1284</v>
      </c>
      <c r="W45" s="909">
        <f t="shared" si="12"/>
        <v>100</v>
      </c>
      <c r="X45" s="910"/>
      <c r="Y45" s="3043"/>
      <c r="Z45" s="918">
        <f t="shared" si="13"/>
        <v>111</v>
      </c>
      <c r="AA45" s="917">
        <f t="shared" si="3"/>
        <v>1</v>
      </c>
      <c r="AB45" s="917">
        <f t="shared" si="4"/>
        <v>1</v>
      </c>
      <c r="AC45" s="917">
        <f t="shared" si="5"/>
        <v>1</v>
      </c>
    </row>
    <row r="46" spans="1:29" ht="15">
      <c r="A46" s="804" t="s">
        <v>1409</v>
      </c>
      <c r="B46" s="805" t="s">
        <v>1424</v>
      </c>
      <c r="C46" s="806" t="s">
        <v>121</v>
      </c>
      <c r="D46" s="807"/>
      <c r="E46" s="808"/>
      <c r="F46" s="809"/>
      <c r="G46" s="810"/>
      <c r="H46" s="811"/>
      <c r="I46" s="808"/>
      <c r="J46" s="811"/>
      <c r="K46" s="886"/>
      <c r="L46" s="887"/>
      <c r="M46" s="821"/>
      <c r="N46" s="863"/>
      <c r="O46" s="821"/>
      <c r="P46" s="3026" t="str">
        <f>A46</f>
        <v>成交单价</v>
      </c>
      <c r="Q46" s="3026"/>
      <c r="R46" s="3025">
        <f>E46</f>
        <v>0</v>
      </c>
      <c r="S46" s="3025"/>
      <c r="T46" s="3025">
        <f>G46</f>
        <v>0</v>
      </c>
      <c r="U46" s="3025"/>
      <c r="V46" s="3025">
        <f>I46</f>
        <v>0</v>
      </c>
      <c r="W46" s="3025"/>
      <c r="X46" s="851"/>
      <c r="Y46" s="919"/>
      <c r="Z46" s="851"/>
      <c r="AA46" s="851"/>
      <c r="AB46" s="851"/>
      <c r="AC46" s="851"/>
    </row>
    <row r="47" spans="1:29" ht="15">
      <c r="A47" s="812" t="s">
        <v>1327</v>
      </c>
      <c r="B47" s="813"/>
      <c r="C47" s="814" t="e">
        <f>R48</f>
        <v>#DIV/0!</v>
      </c>
      <c r="D47" s="815"/>
      <c r="E47" s="814" t="e">
        <f>R47</f>
        <v>#DIV/0!</v>
      </c>
      <c r="F47" s="816"/>
      <c r="G47" s="817" t="e">
        <f>T47</f>
        <v>#DIV/0!</v>
      </c>
      <c r="H47" s="815"/>
      <c r="I47" s="814" t="e">
        <f>V47</f>
        <v>#DIV/0!</v>
      </c>
      <c r="J47" s="815"/>
      <c r="K47" s="888"/>
      <c r="L47" s="887"/>
      <c r="M47" s="821"/>
      <c r="N47" s="821"/>
      <c r="O47" s="821"/>
      <c r="P47" s="3026" t="str">
        <f>A47</f>
        <v>比较价值（元/平方米）</v>
      </c>
      <c r="Q47" s="3026"/>
      <c r="R47" s="3066" t="e">
        <f>ROUND(PRODUCT(R46,AA7:AA45),0)</f>
        <v>#DIV/0!</v>
      </c>
      <c r="S47" s="3066"/>
      <c r="T47" s="3066" t="e">
        <f>ROUND(PRODUCT(T46,AB7:AB45),0)</f>
        <v>#DIV/0!</v>
      </c>
      <c r="U47" s="3066"/>
      <c r="V47" s="3066" t="e">
        <f>ROUND(PRODUCT(V46,AC7:AC45),0)</f>
        <v>#DIV/0!</v>
      </c>
      <c r="W47" s="3066"/>
      <c r="X47" s="851"/>
      <c r="Y47" s="851"/>
      <c r="Z47" s="851"/>
      <c r="AA47" s="851"/>
      <c r="AB47" s="851"/>
      <c r="AC47" s="851"/>
    </row>
    <row r="48" spans="1:29" ht="15">
      <c r="A48" s="818" t="s">
        <v>1328</v>
      </c>
      <c r="B48" s="819"/>
      <c r="C48" s="820" t="e">
        <f>R48</f>
        <v>#DIV/0!</v>
      </c>
      <c r="D48" s="820"/>
      <c r="E48" s="820"/>
      <c r="F48" s="820"/>
      <c r="G48" s="820"/>
      <c r="H48" s="820"/>
      <c r="I48" s="820"/>
      <c r="J48" s="820"/>
      <c r="K48" s="889"/>
      <c r="L48" s="887"/>
      <c r="M48" s="821"/>
      <c r="N48" s="821"/>
      <c r="O48" s="821"/>
      <c r="P48" s="3030" t="str">
        <f>A48</f>
        <v>估价对象XX用房的比较价值（楼面单价，元/平方米）</v>
      </c>
      <c r="Q48" s="3031"/>
      <c r="R48" s="3067" t="e">
        <f>ROUND(AVERAGE(R47:V47),0)</f>
        <v>#DIV/0!</v>
      </c>
      <c r="S48" s="3067"/>
      <c r="T48" s="3067"/>
      <c r="U48" s="3067"/>
      <c r="V48" s="3067"/>
      <c r="W48" s="3067"/>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1329</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1330</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1331</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1425</v>
      </c>
      <c r="B55" s="830" t="s">
        <v>1426</v>
      </c>
      <c r="C55" s="831" t="s">
        <v>1427</v>
      </c>
      <c r="D55" s="832" t="s">
        <v>1428</v>
      </c>
      <c r="E55" s="833" t="s">
        <v>1429</v>
      </c>
      <c r="F55" s="834" t="s">
        <v>1430</v>
      </c>
      <c r="G55" s="1061" t="s">
        <v>1431</v>
      </c>
      <c r="H55" s="1061" t="str">
        <f>项目基本情况!G8</f>
        <v>浙江省杭州市</v>
      </c>
      <c r="I55" s="1066" t="s">
        <v>1432</v>
      </c>
      <c r="J55" s="1067"/>
      <c r="K55" s="892"/>
      <c r="L55" s="892"/>
      <c r="M55" s="821"/>
      <c r="N55" s="821"/>
      <c r="O55" s="821"/>
    </row>
    <row r="56" spans="1:15" s="709" customFormat="1">
      <c r="A56" s="836" t="s">
        <v>1433</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1434</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1435</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1436</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1437</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1438</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1439</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1440</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1441</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1442</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1443</v>
      </c>
      <c r="B66" s="846" t="s">
        <v>1386</v>
      </c>
      <c r="C66" s="846" t="s">
        <v>1386</v>
      </c>
      <c r="D66" s="846" t="s">
        <v>1386</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1332</v>
      </c>
      <c r="B69" s="851"/>
      <c r="C69" s="852"/>
      <c r="D69" s="852"/>
      <c r="E69" s="852"/>
      <c r="F69" s="853"/>
      <c r="G69" s="853"/>
      <c r="H69" s="852"/>
      <c r="I69" s="896"/>
      <c r="J69" s="896"/>
      <c r="K69" s="897"/>
      <c r="L69" s="898"/>
      <c r="M69" s="896"/>
      <c r="N69" s="896"/>
      <c r="O69" s="896"/>
      <c r="P69" s="899"/>
      <c r="Q69" s="911"/>
    </row>
    <row r="70" spans="1:17" s="1035" customFormat="1" ht="15">
      <c r="A70" s="920" t="s">
        <v>1444</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1445</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1333</v>
      </c>
      <c r="B72" s="927"/>
      <c r="C72" s="928"/>
      <c r="D72" s="929"/>
      <c r="E72" s="929"/>
      <c r="F72" s="929"/>
      <c r="G72" s="929"/>
      <c r="H72" s="929"/>
      <c r="I72" s="929"/>
      <c r="J72" s="929"/>
      <c r="K72" s="929"/>
      <c r="L72" s="929"/>
      <c r="M72" s="978"/>
      <c r="N72" s="929"/>
      <c r="O72" s="979"/>
      <c r="P72" s="911"/>
      <c r="Q72" s="911"/>
    </row>
    <row r="73" spans="1:17" s="705" customFormat="1" ht="15">
      <c r="A73" s="930" t="s">
        <v>1285</v>
      </c>
      <c r="B73" s="931"/>
      <c r="C73" s="932" t="s">
        <v>1286</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1334</v>
      </c>
      <c r="B75" s="937" t="s">
        <v>1290</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1293</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1295</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1296</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1342</v>
      </c>
      <c r="D102" s="942" t="s">
        <v>1343</v>
      </c>
      <c r="E102" s="942" t="s">
        <v>1344</v>
      </c>
      <c r="F102" s="942" t="s">
        <v>1345</v>
      </c>
      <c r="G102" s="942" t="s">
        <v>1346</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1446</v>
      </c>
      <c r="D104" s="942" t="s">
        <v>1447</v>
      </c>
      <c r="E104" s="942" t="s">
        <v>1448</v>
      </c>
      <c r="F104" s="942" t="s">
        <v>1449</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1308</v>
      </c>
      <c r="B116" s="937" t="s">
        <v>1419</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1420</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1421</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1422</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1423</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1415</v>
      </c>
      <c r="B1" s="715"/>
      <c r="C1" s="716" t="s">
        <v>1392</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830</v>
      </c>
      <c r="B2" s="719" t="e">
        <f>F61</f>
        <v>#DIV/0!</v>
      </c>
      <c r="C2" s="720" t="s">
        <v>1417</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50" t="s">
        <v>1270</v>
      </c>
      <c r="D4" s="3051"/>
      <c r="E4" s="3052" t="s">
        <v>1271</v>
      </c>
      <c r="F4" s="3053"/>
      <c r="G4" s="3050" t="s">
        <v>1272</v>
      </c>
      <c r="H4" s="3051"/>
      <c r="I4" s="3050" t="s">
        <v>1273</v>
      </c>
      <c r="J4" s="3051"/>
      <c r="K4" s="861" t="s">
        <v>1274</v>
      </c>
      <c r="L4" s="862"/>
      <c r="M4" s="863"/>
      <c r="N4" s="863"/>
      <c r="O4" s="863"/>
      <c r="P4" s="3013" t="s">
        <v>1275</v>
      </c>
      <c r="Q4" s="3014"/>
      <c r="R4" s="3019" t="s">
        <v>1271</v>
      </c>
      <c r="S4" s="3020"/>
      <c r="T4" s="3019" t="s">
        <v>1272</v>
      </c>
      <c r="U4" s="3020"/>
      <c r="V4" s="3025" t="s">
        <v>1273</v>
      </c>
      <c r="W4" s="3025"/>
      <c r="X4" s="900"/>
      <c r="Y4" s="3019" t="s">
        <v>1275</v>
      </c>
      <c r="Z4" s="3020"/>
      <c r="AA4" s="3010" t="s">
        <v>1271</v>
      </c>
      <c r="AB4" s="3011" t="s">
        <v>1272</v>
      </c>
      <c r="AC4" s="3010" t="s">
        <v>1273</v>
      </c>
    </row>
    <row r="5" spans="1:29" ht="15">
      <c r="A5" s="726"/>
      <c r="B5" s="727"/>
      <c r="C5" s="3054" t="s">
        <v>1276</v>
      </c>
      <c r="D5" s="3055"/>
      <c r="E5" s="3056" t="s">
        <v>1277</v>
      </c>
      <c r="F5" s="3057"/>
      <c r="G5" s="3054" t="s">
        <v>1278</v>
      </c>
      <c r="H5" s="3055"/>
      <c r="I5" s="3054" t="s">
        <v>1279</v>
      </c>
      <c r="J5" s="3055"/>
      <c r="K5" s="861"/>
      <c r="L5" s="862"/>
      <c r="M5" s="863"/>
      <c r="N5" s="863"/>
      <c r="O5" s="863"/>
      <c r="P5" s="3015"/>
      <c r="Q5" s="3016"/>
      <c r="R5" s="3021"/>
      <c r="S5" s="3022"/>
      <c r="T5" s="3021"/>
      <c r="U5" s="3022"/>
      <c r="V5" s="3025"/>
      <c r="W5" s="3025"/>
      <c r="X5" s="900"/>
      <c r="Y5" s="3021"/>
      <c r="Z5" s="3022"/>
      <c r="AA5" s="3011"/>
      <c r="AB5" s="3011"/>
      <c r="AC5" s="3011"/>
    </row>
    <row r="6" spans="1:29" ht="15">
      <c r="A6" s="728"/>
      <c r="B6" s="729"/>
      <c r="C6" s="3045" t="s">
        <v>1280</v>
      </c>
      <c r="D6" s="3046"/>
      <c r="E6" s="3047" t="s">
        <v>1280</v>
      </c>
      <c r="F6" s="3048"/>
      <c r="G6" s="3045" t="s">
        <v>1280</v>
      </c>
      <c r="H6" s="3046"/>
      <c r="I6" s="3045" t="s">
        <v>1280</v>
      </c>
      <c r="J6" s="3046"/>
      <c r="K6" s="861" t="s">
        <v>1281</v>
      </c>
      <c r="L6" s="862"/>
      <c r="M6" s="863"/>
      <c r="N6" s="863"/>
      <c r="O6" s="863"/>
      <c r="P6" s="3017"/>
      <c r="Q6" s="3018"/>
      <c r="R6" s="3021"/>
      <c r="S6" s="3022"/>
      <c r="T6" s="3023"/>
      <c r="U6" s="3024"/>
      <c r="V6" s="3025"/>
      <c r="W6" s="3025"/>
      <c r="X6" s="900"/>
      <c r="Y6" s="3023"/>
      <c r="Z6" s="3024"/>
      <c r="AA6" s="3012"/>
      <c r="AB6" s="3012"/>
      <c r="AC6" s="3012"/>
    </row>
    <row r="7" spans="1:29" s="705" customFormat="1" ht="15">
      <c r="A7" s="730" t="s">
        <v>1282</v>
      </c>
      <c r="B7" s="731"/>
      <c r="C7" s="732">
        <f>'数据-取费表'!B2</f>
        <v>43695</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33" t="s">
        <v>1283</v>
      </c>
      <c r="Q7" s="3049"/>
      <c r="R7" s="902" t="s">
        <v>1284</v>
      </c>
      <c r="S7" s="903">
        <f t="shared" ref="S7:S15" si="0">F7</f>
        <v>0</v>
      </c>
      <c r="T7" s="902" t="s">
        <v>1284</v>
      </c>
      <c r="U7" s="903">
        <f t="shared" ref="U7:U15" si="1">H7</f>
        <v>0</v>
      </c>
      <c r="V7" s="902" t="s">
        <v>1284</v>
      </c>
      <c r="W7" s="903">
        <f t="shared" ref="W7:W15" si="2">J7</f>
        <v>0</v>
      </c>
      <c r="X7" s="904"/>
      <c r="Y7" s="3033" t="s">
        <v>1283</v>
      </c>
      <c r="Z7" s="3034"/>
      <c r="AA7" s="915" t="e">
        <f>D7/F7</f>
        <v>#DIV/0!</v>
      </c>
      <c r="AB7" s="915" t="e">
        <f>D7/H7</f>
        <v>#DIV/0!</v>
      </c>
      <c r="AC7" s="915" t="e">
        <f>D7/J7</f>
        <v>#DIV/0!</v>
      </c>
    </row>
    <row r="8" spans="1:29" s="705" customFormat="1" ht="15">
      <c r="A8" s="730" t="s">
        <v>1285</v>
      </c>
      <c r="B8" s="731"/>
      <c r="C8" s="737" t="s">
        <v>1286</v>
      </c>
      <c r="D8" s="733">
        <v>100</v>
      </c>
      <c r="E8" s="737"/>
      <c r="F8" s="735">
        <f>SUMIF(68:68,E8,69:69)-SUMIF(68:68,C8,69:69)+100</f>
        <v>0</v>
      </c>
      <c r="G8" s="737"/>
      <c r="H8" s="733">
        <f>SUMIF(68:68,G8,69:69)-SUMIF(68:68,C8,69:69)+100</f>
        <v>0</v>
      </c>
      <c r="I8" s="737"/>
      <c r="J8" s="733">
        <f>SUMIF(68:68,I8,69:69)-SUMIF(68:68,C8,69:69)+100</f>
        <v>0</v>
      </c>
      <c r="K8" s="864"/>
      <c r="L8" s="865"/>
      <c r="M8" s="866"/>
      <c r="N8" s="866"/>
      <c r="O8" s="866"/>
      <c r="P8" s="3033" t="s">
        <v>1288</v>
      </c>
      <c r="Q8" s="3034"/>
      <c r="R8" s="902" t="s">
        <v>1284</v>
      </c>
      <c r="S8" s="903">
        <f t="shared" si="0"/>
        <v>0</v>
      </c>
      <c r="T8" s="902" t="s">
        <v>1284</v>
      </c>
      <c r="U8" s="903">
        <f t="shared" si="1"/>
        <v>0</v>
      </c>
      <c r="V8" s="902" t="s">
        <v>1284</v>
      </c>
      <c r="W8" s="903">
        <f t="shared" si="2"/>
        <v>0</v>
      </c>
      <c r="X8" s="904"/>
      <c r="Y8" s="3033" t="s">
        <v>1288</v>
      </c>
      <c r="Z8" s="3034"/>
      <c r="AA8" s="915" t="e">
        <f t="shared" ref="AA8:AA40" si="3">D8/F8</f>
        <v>#DIV/0!</v>
      </c>
      <c r="AB8" s="915" t="e">
        <f t="shared" ref="AB8:AB40" si="4">D8/H8</f>
        <v>#DIV/0!</v>
      </c>
      <c r="AC8" s="915" t="e">
        <f t="shared" ref="AC8:AC40" si="5">D8/J8</f>
        <v>#DIV/0!</v>
      </c>
    </row>
    <row r="9" spans="1:29" s="705" customFormat="1">
      <c r="A9" s="738" t="s">
        <v>1289</v>
      </c>
      <c r="B9" s="739" t="s">
        <v>1290</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26" t="s">
        <v>1291</v>
      </c>
      <c r="Q9" s="905" t="str">
        <f t="shared" ref="Q9:Q15" si="6">B9</f>
        <v>用途</v>
      </c>
      <c r="R9" s="902" t="s">
        <v>1284</v>
      </c>
      <c r="S9" s="903">
        <f t="shared" si="0"/>
        <v>100</v>
      </c>
      <c r="T9" s="902" t="s">
        <v>1284</v>
      </c>
      <c r="U9" s="903">
        <f t="shared" si="1"/>
        <v>100</v>
      </c>
      <c r="V9" s="902" t="s">
        <v>1284</v>
      </c>
      <c r="W9" s="903">
        <f t="shared" si="2"/>
        <v>100</v>
      </c>
      <c r="X9" s="904"/>
      <c r="Y9" s="2852" t="s">
        <v>1292</v>
      </c>
      <c r="Z9" s="916" t="str">
        <f t="shared" ref="Z9:Z15" si="7">Q9</f>
        <v>用途</v>
      </c>
      <c r="AA9" s="915">
        <f t="shared" si="3"/>
        <v>1</v>
      </c>
      <c r="AB9" s="915">
        <f t="shared" si="4"/>
        <v>1</v>
      </c>
      <c r="AC9" s="915">
        <f t="shared" si="5"/>
        <v>1</v>
      </c>
    </row>
    <row r="10" spans="1:29" s="706" customFormat="1" ht="27">
      <c r="A10" s="742"/>
      <c r="B10" s="743" t="s">
        <v>1293</v>
      </c>
      <c r="C10" s="744"/>
      <c r="D10" s="745">
        <v>100</v>
      </c>
      <c r="E10" s="744"/>
      <c r="F10" s="745">
        <f>ROUND(100/'数据-取费表'!B14,0)</f>
        <v>114</v>
      </c>
      <c r="G10" s="744"/>
      <c r="H10" s="745">
        <f>ROUND(100/'数据-取费表'!B14,0)</f>
        <v>114</v>
      </c>
      <c r="I10" s="744"/>
      <c r="J10" s="745">
        <f>ROUND(100/'数据-取费表'!B14,0)</f>
        <v>114</v>
      </c>
      <c r="K10" s="868"/>
      <c r="L10" s="869"/>
      <c r="M10" s="870"/>
      <c r="N10" s="870"/>
      <c r="O10" s="871"/>
      <c r="P10" s="3026"/>
      <c r="Q10" s="905" t="str">
        <f t="shared" si="6"/>
        <v>土地使用年限（年）</v>
      </c>
      <c r="R10" s="902" t="s">
        <v>1284</v>
      </c>
      <c r="S10" s="903">
        <f t="shared" si="0"/>
        <v>114</v>
      </c>
      <c r="T10" s="902" t="s">
        <v>1284</v>
      </c>
      <c r="U10" s="903">
        <f t="shared" si="1"/>
        <v>114</v>
      </c>
      <c r="V10" s="902" t="s">
        <v>1284</v>
      </c>
      <c r="W10" s="903">
        <f t="shared" si="2"/>
        <v>114</v>
      </c>
      <c r="X10" s="904"/>
      <c r="Y10" s="2852"/>
      <c r="Z10" s="916" t="str">
        <f t="shared" si="7"/>
        <v>土地使用年限（年）</v>
      </c>
      <c r="AA10" s="915">
        <f t="shared" si="3"/>
        <v>0.8771929824561403</v>
      </c>
      <c r="AB10" s="915">
        <f t="shared" si="4"/>
        <v>0.8771929824561403</v>
      </c>
      <c r="AC10" s="915">
        <f t="shared" si="5"/>
        <v>0.8771929824561403</v>
      </c>
    </row>
    <row r="11" spans="1:29" ht="15">
      <c r="A11" s="746"/>
      <c r="B11" s="743" t="s">
        <v>1295</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26"/>
      <c r="Q11" s="905" t="str">
        <f t="shared" si="6"/>
        <v>容积率</v>
      </c>
      <c r="R11" s="902" t="s">
        <v>1284</v>
      </c>
      <c r="S11" s="903" t="e">
        <f t="shared" si="0"/>
        <v>#N/A</v>
      </c>
      <c r="T11" s="902" t="s">
        <v>1284</v>
      </c>
      <c r="U11" s="903" t="e">
        <f t="shared" si="1"/>
        <v>#N/A</v>
      </c>
      <c r="V11" s="902" t="s">
        <v>1284</v>
      </c>
      <c r="W11" s="903" t="e">
        <f t="shared" si="2"/>
        <v>#N/A</v>
      </c>
      <c r="X11" s="904"/>
      <c r="Y11" s="2852"/>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26"/>
      <c r="Q12" s="905">
        <f t="shared" si="6"/>
        <v>111</v>
      </c>
      <c r="R12" s="902" t="s">
        <v>1284</v>
      </c>
      <c r="S12" s="903">
        <f t="shared" si="0"/>
        <v>100</v>
      </c>
      <c r="T12" s="902" t="s">
        <v>1284</v>
      </c>
      <c r="U12" s="903">
        <f t="shared" si="1"/>
        <v>100</v>
      </c>
      <c r="V12" s="902" t="s">
        <v>1284</v>
      </c>
      <c r="W12" s="903">
        <f t="shared" si="2"/>
        <v>100</v>
      </c>
      <c r="X12" s="904"/>
      <c r="Y12" s="2852"/>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26"/>
      <c r="Q13" s="905">
        <f t="shared" si="6"/>
        <v>111</v>
      </c>
      <c r="R13" s="902" t="s">
        <v>1284</v>
      </c>
      <c r="S13" s="903">
        <f t="shared" si="0"/>
        <v>100</v>
      </c>
      <c r="T13" s="902" t="s">
        <v>1284</v>
      </c>
      <c r="U13" s="903">
        <f t="shared" si="1"/>
        <v>100</v>
      </c>
      <c r="V13" s="902" t="s">
        <v>1284</v>
      </c>
      <c r="W13" s="903">
        <f t="shared" si="2"/>
        <v>100</v>
      </c>
      <c r="X13" s="904"/>
      <c r="Y13" s="2852"/>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26"/>
      <c r="Q14" s="905">
        <f t="shared" si="6"/>
        <v>111</v>
      </c>
      <c r="R14" s="902" t="s">
        <v>1284</v>
      </c>
      <c r="S14" s="903">
        <f t="shared" si="0"/>
        <v>100</v>
      </c>
      <c r="T14" s="902" t="s">
        <v>1284</v>
      </c>
      <c r="U14" s="903">
        <f t="shared" si="1"/>
        <v>100</v>
      </c>
      <c r="V14" s="902" t="s">
        <v>1284</v>
      </c>
      <c r="W14" s="903">
        <f t="shared" si="2"/>
        <v>100</v>
      </c>
      <c r="X14" s="904"/>
      <c r="Y14" s="2852"/>
      <c r="Z14" s="916">
        <f t="shared" si="7"/>
        <v>111</v>
      </c>
      <c r="AA14" s="915">
        <f t="shared" si="3"/>
        <v>1</v>
      </c>
      <c r="AB14" s="915">
        <f t="shared" si="4"/>
        <v>1</v>
      </c>
      <c r="AC14" s="915">
        <f t="shared" si="5"/>
        <v>1</v>
      </c>
    </row>
    <row r="15" spans="1:29" ht="57">
      <c r="A15" s="760" t="s">
        <v>1296</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41" t="s">
        <v>1297</v>
      </c>
      <c r="Q15" s="494" t="str">
        <f t="shared" si="6"/>
        <v>产业集聚程度</v>
      </c>
      <c r="R15" s="906" t="s">
        <v>1284</v>
      </c>
      <c r="S15" s="907">
        <f t="shared" si="0"/>
        <v>100</v>
      </c>
      <c r="T15" s="906" t="s">
        <v>1284</v>
      </c>
      <c r="U15" s="907">
        <f t="shared" si="1"/>
        <v>100</v>
      </c>
      <c r="V15" s="906" t="s">
        <v>1284</v>
      </c>
      <c r="W15" s="907">
        <f t="shared" si="2"/>
        <v>100</v>
      </c>
      <c r="X15" s="900"/>
      <c r="Y15" s="3041" t="s">
        <v>1297</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42"/>
      <c r="Q16" s="494"/>
      <c r="R16" s="906"/>
      <c r="S16" s="907"/>
      <c r="T16" s="906"/>
      <c r="U16" s="907"/>
      <c r="V16" s="906"/>
      <c r="W16" s="907"/>
      <c r="X16" s="900"/>
      <c r="Y16" s="3042"/>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42"/>
      <c r="Q17" s="494" t="str">
        <f>B17</f>
        <v>交通便捷度</v>
      </c>
      <c r="R17" s="906" t="s">
        <v>1284</v>
      </c>
      <c r="S17" s="907">
        <f>F17</f>
        <v>100</v>
      </c>
      <c r="T17" s="906" t="s">
        <v>1284</v>
      </c>
      <c r="U17" s="907">
        <f>H17</f>
        <v>100</v>
      </c>
      <c r="V17" s="906" t="s">
        <v>1284</v>
      </c>
      <c r="W17" s="907">
        <f>J17</f>
        <v>100</v>
      </c>
      <c r="X17" s="900"/>
      <c r="Y17" s="3042"/>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42"/>
      <c r="Q18" s="494"/>
      <c r="R18" s="906"/>
      <c r="S18" s="907"/>
      <c r="T18" s="906"/>
      <c r="U18" s="907"/>
      <c r="V18" s="906"/>
      <c r="W18" s="907"/>
      <c r="X18" s="900"/>
      <c r="Y18" s="3042"/>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42"/>
      <c r="Q19" s="494" t="str">
        <f t="shared" ref="Q19:Q34" si="8">B19</f>
        <v>区域土地利用方向</v>
      </c>
      <c r="R19" s="906" t="s">
        <v>1284</v>
      </c>
      <c r="S19" s="907">
        <f>F19</f>
        <v>100</v>
      </c>
      <c r="T19" s="906" t="s">
        <v>1284</v>
      </c>
      <c r="U19" s="907">
        <f>H19</f>
        <v>100</v>
      </c>
      <c r="V19" s="906" t="s">
        <v>1284</v>
      </c>
      <c r="W19" s="907">
        <f>J19</f>
        <v>100</v>
      </c>
      <c r="X19" s="900"/>
      <c r="Y19" s="3042"/>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42"/>
      <c r="Q20" s="494"/>
      <c r="R20" s="906"/>
      <c r="S20" s="907"/>
      <c r="T20" s="906"/>
      <c r="U20" s="907"/>
      <c r="V20" s="906"/>
      <c r="W20" s="907"/>
      <c r="X20" s="900"/>
      <c r="Y20" s="3042"/>
      <c r="Z20" s="835"/>
      <c r="AA20" s="917"/>
      <c r="AB20" s="917"/>
      <c r="AC20" s="917"/>
    </row>
    <row r="21" spans="1:29" ht="71.25">
      <c r="A21" s="726"/>
      <c r="B21" s="770" t="s">
        <v>568</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42"/>
      <c r="Q21" s="494" t="str">
        <f t="shared" si="8"/>
        <v>环境状况</v>
      </c>
      <c r="R21" s="906" t="s">
        <v>1284</v>
      </c>
      <c r="S21" s="907">
        <f>F21</f>
        <v>100</v>
      </c>
      <c r="T21" s="906" t="s">
        <v>1284</v>
      </c>
      <c r="U21" s="907">
        <f>H21</f>
        <v>100</v>
      </c>
      <c r="V21" s="906" t="s">
        <v>1284</v>
      </c>
      <c r="W21" s="907">
        <f>J21</f>
        <v>100</v>
      </c>
      <c r="X21" s="900"/>
      <c r="Y21" s="3042"/>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42"/>
      <c r="Q22" s="494"/>
      <c r="R22" s="906"/>
      <c r="S22" s="907"/>
      <c r="T22" s="906"/>
      <c r="U22" s="907"/>
      <c r="V22" s="906"/>
      <c r="W22" s="907"/>
      <c r="X22" s="900"/>
      <c r="Y22" s="3042"/>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42"/>
      <c r="Q23" s="905" t="str">
        <f t="shared" si="8"/>
        <v>公共配套设施</v>
      </c>
      <c r="R23" s="902" t="s">
        <v>1284</v>
      </c>
      <c r="S23" s="903">
        <f>F23</f>
        <v>100</v>
      </c>
      <c r="T23" s="902" t="s">
        <v>1284</v>
      </c>
      <c r="U23" s="903">
        <f>H23</f>
        <v>100</v>
      </c>
      <c r="V23" s="902" t="s">
        <v>1284</v>
      </c>
      <c r="W23" s="903">
        <f>J23</f>
        <v>100</v>
      </c>
      <c r="X23" s="904"/>
      <c r="Y23" s="3042"/>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42"/>
      <c r="Q24" s="905"/>
      <c r="R24" s="902"/>
      <c r="S24" s="903"/>
      <c r="T24" s="902"/>
      <c r="U24" s="903"/>
      <c r="V24" s="902"/>
      <c r="W24" s="903"/>
      <c r="X24" s="904"/>
      <c r="Y24" s="3042"/>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42"/>
      <c r="Q25" s="905" t="str">
        <f t="shared" ref="Q25" si="9">B25</f>
        <v>基础设施水平</v>
      </c>
      <c r="R25" s="902" t="s">
        <v>1284</v>
      </c>
      <c r="S25" s="903">
        <f>F25</f>
        <v>100</v>
      </c>
      <c r="T25" s="902" t="s">
        <v>1284</v>
      </c>
      <c r="U25" s="903">
        <f>H25</f>
        <v>100</v>
      </c>
      <c r="V25" s="902" t="s">
        <v>1284</v>
      </c>
      <c r="W25" s="903">
        <f>J25</f>
        <v>100</v>
      </c>
      <c r="X25" s="904"/>
      <c r="Y25" s="3042"/>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42"/>
      <c r="Q26" s="905"/>
      <c r="R26" s="902"/>
      <c r="S26" s="903"/>
      <c r="T26" s="902"/>
      <c r="U26" s="903"/>
      <c r="V26" s="902"/>
      <c r="W26" s="903"/>
      <c r="X26" s="904"/>
      <c r="Y26" s="3042"/>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42"/>
      <c r="Q27" s="494" t="str">
        <f t="shared" si="8"/>
        <v>临街状况</v>
      </c>
      <c r="R27" s="906" t="s">
        <v>1284</v>
      </c>
      <c r="S27" s="907">
        <f t="shared" ref="S27:S40" si="10">F27</f>
        <v>100</v>
      </c>
      <c r="T27" s="906" t="s">
        <v>1284</v>
      </c>
      <c r="U27" s="907">
        <f t="shared" ref="U27:U40" si="11">H27</f>
        <v>100</v>
      </c>
      <c r="V27" s="906" t="s">
        <v>1284</v>
      </c>
      <c r="W27" s="907">
        <f t="shared" ref="W27:W40" si="12">J27</f>
        <v>100</v>
      </c>
      <c r="X27" s="900"/>
      <c r="Y27" s="3042"/>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42"/>
      <c r="Q28" s="494" t="str">
        <f t="shared" si="8"/>
        <v>毗邻道路的类型与等级</v>
      </c>
      <c r="R28" s="906" t="s">
        <v>1284</v>
      </c>
      <c r="S28" s="907">
        <f t="shared" si="10"/>
        <v>100</v>
      </c>
      <c r="T28" s="906" t="s">
        <v>1284</v>
      </c>
      <c r="U28" s="907">
        <f t="shared" si="11"/>
        <v>100</v>
      </c>
      <c r="V28" s="906" t="s">
        <v>1284</v>
      </c>
      <c r="W28" s="907">
        <f t="shared" si="12"/>
        <v>100</v>
      </c>
      <c r="X28" s="900"/>
      <c r="Y28" s="3042"/>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42"/>
      <c r="Q29" s="494"/>
      <c r="R29" s="906"/>
      <c r="S29" s="907"/>
      <c r="T29" s="906"/>
      <c r="U29" s="907"/>
      <c r="V29" s="906"/>
      <c r="W29" s="907"/>
      <c r="X29" s="900"/>
      <c r="Y29" s="3042"/>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42"/>
      <c r="Q30" s="494" t="str">
        <f t="shared" si="8"/>
        <v>土地级别</v>
      </c>
      <c r="R30" s="906" t="s">
        <v>1284</v>
      </c>
      <c r="S30" s="907">
        <f t="shared" si="10"/>
        <v>100</v>
      </c>
      <c r="T30" s="906" t="s">
        <v>1284</v>
      </c>
      <c r="U30" s="907">
        <f t="shared" si="11"/>
        <v>100</v>
      </c>
      <c r="V30" s="906" t="s">
        <v>1284</v>
      </c>
      <c r="W30" s="907">
        <f t="shared" si="12"/>
        <v>100</v>
      </c>
      <c r="X30" s="900"/>
      <c r="Y30" s="3042"/>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42"/>
      <c r="Q31" s="494">
        <f t="shared" si="8"/>
        <v>111</v>
      </c>
      <c r="R31" s="906" t="s">
        <v>1284</v>
      </c>
      <c r="S31" s="907">
        <f t="shared" si="10"/>
        <v>100</v>
      </c>
      <c r="T31" s="906" t="s">
        <v>1284</v>
      </c>
      <c r="U31" s="907">
        <f t="shared" si="11"/>
        <v>100</v>
      </c>
      <c r="V31" s="906" t="s">
        <v>1284</v>
      </c>
      <c r="W31" s="907">
        <f t="shared" si="12"/>
        <v>100</v>
      </c>
      <c r="X31" s="900"/>
      <c r="Y31" s="3042"/>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65" t="s">
        <v>1311</v>
      </c>
      <c r="Q32" s="494">
        <f t="shared" si="8"/>
        <v>111</v>
      </c>
      <c r="R32" s="906" t="s">
        <v>1284</v>
      </c>
      <c r="S32" s="907">
        <f t="shared" si="10"/>
        <v>100</v>
      </c>
      <c r="T32" s="906" t="s">
        <v>1284</v>
      </c>
      <c r="U32" s="907">
        <f t="shared" si="11"/>
        <v>100</v>
      </c>
      <c r="V32" s="906" t="s">
        <v>1284</v>
      </c>
      <c r="W32" s="907">
        <f t="shared" si="12"/>
        <v>100</v>
      </c>
      <c r="X32" s="900"/>
      <c r="Y32" s="3043" t="s">
        <v>1311</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43"/>
      <c r="Q33" s="494">
        <f t="shared" si="8"/>
        <v>111</v>
      </c>
      <c r="R33" s="908" t="s">
        <v>1284</v>
      </c>
      <c r="S33" s="909">
        <f t="shared" si="10"/>
        <v>100</v>
      </c>
      <c r="T33" s="908" t="s">
        <v>1284</v>
      </c>
      <c r="U33" s="909">
        <f t="shared" si="11"/>
        <v>100</v>
      </c>
      <c r="V33" s="908" t="s">
        <v>1284</v>
      </c>
      <c r="W33" s="909">
        <f t="shared" si="12"/>
        <v>100</v>
      </c>
      <c r="X33" s="910"/>
      <c r="Y33" s="3043"/>
      <c r="Z33" s="918">
        <f t="shared" si="13"/>
        <v>111</v>
      </c>
      <c r="AA33" s="917">
        <f t="shared" si="3"/>
        <v>1</v>
      </c>
      <c r="AB33" s="917">
        <f t="shared" si="4"/>
        <v>1</v>
      </c>
      <c r="AC33" s="917">
        <f t="shared" si="5"/>
        <v>1</v>
      </c>
    </row>
    <row r="34" spans="1:29" ht="15">
      <c r="A34" s="794" t="s">
        <v>1308</v>
      </c>
      <c r="B34" s="795" t="s">
        <v>1419</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43"/>
      <c r="Q34" s="494" t="str">
        <f t="shared" si="8"/>
        <v>宗地面积</v>
      </c>
      <c r="R34" s="906" t="s">
        <v>1284</v>
      </c>
      <c r="S34" s="907" t="e">
        <f t="shared" si="10"/>
        <v>#N/A</v>
      </c>
      <c r="T34" s="906" t="s">
        <v>1284</v>
      </c>
      <c r="U34" s="907" t="e">
        <f t="shared" si="11"/>
        <v>#N/A</v>
      </c>
      <c r="V34" s="906" t="s">
        <v>1284</v>
      </c>
      <c r="W34" s="907" t="e">
        <f t="shared" si="12"/>
        <v>#N/A</v>
      </c>
      <c r="X34" s="900"/>
      <c r="Y34" s="3043"/>
      <c r="Z34" s="835" t="str">
        <f t="shared" si="13"/>
        <v>宗地面积</v>
      </c>
      <c r="AA34" s="917" t="e">
        <f t="shared" si="3"/>
        <v>#N/A</v>
      </c>
      <c r="AB34" s="917" t="e">
        <f t="shared" si="4"/>
        <v>#N/A</v>
      </c>
      <c r="AC34" s="917" t="e">
        <f t="shared" si="5"/>
        <v>#N/A</v>
      </c>
    </row>
    <row r="35" spans="1:29" ht="15">
      <c r="A35" s="794"/>
      <c r="B35" s="743" t="s">
        <v>1420</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43"/>
      <c r="Q35" s="494" t="str">
        <f t="shared" ref="Q35:Q40" si="14">B35</f>
        <v>宗地形状</v>
      </c>
      <c r="R35" s="906" t="s">
        <v>1284</v>
      </c>
      <c r="S35" s="907">
        <f t="shared" si="10"/>
        <v>100</v>
      </c>
      <c r="T35" s="906" t="s">
        <v>1284</v>
      </c>
      <c r="U35" s="907">
        <f t="shared" si="11"/>
        <v>100</v>
      </c>
      <c r="V35" s="906" t="s">
        <v>1284</v>
      </c>
      <c r="W35" s="907">
        <f t="shared" si="12"/>
        <v>100</v>
      </c>
      <c r="X35" s="900"/>
      <c r="Y35" s="3043"/>
      <c r="Z35" s="835" t="str">
        <f t="shared" si="13"/>
        <v>宗地形状</v>
      </c>
      <c r="AA35" s="917">
        <f t="shared" si="3"/>
        <v>1</v>
      </c>
      <c r="AB35" s="917">
        <f t="shared" si="4"/>
        <v>1</v>
      </c>
      <c r="AC35" s="917">
        <f t="shared" si="5"/>
        <v>1</v>
      </c>
    </row>
    <row r="36" spans="1:29" s="705" customFormat="1" ht="15">
      <c r="A36" s="799"/>
      <c r="B36" s="743" t="s">
        <v>1422</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43"/>
      <c r="Q36" s="494" t="str">
        <f t="shared" si="14"/>
        <v>宗地开发程度</v>
      </c>
      <c r="R36" s="902" t="s">
        <v>1284</v>
      </c>
      <c r="S36" s="903">
        <f t="shared" si="10"/>
        <v>100</v>
      </c>
      <c r="T36" s="902" t="s">
        <v>1284</v>
      </c>
      <c r="U36" s="903">
        <f t="shared" si="11"/>
        <v>100</v>
      </c>
      <c r="V36" s="902" t="s">
        <v>1284</v>
      </c>
      <c r="W36" s="903">
        <f t="shared" si="12"/>
        <v>100</v>
      </c>
      <c r="X36" s="904"/>
      <c r="Y36" s="3043"/>
      <c r="Z36" s="916" t="str">
        <f t="shared" si="13"/>
        <v>宗地开发程度</v>
      </c>
      <c r="AA36" s="915">
        <f t="shared" si="3"/>
        <v>1</v>
      </c>
      <c r="AB36" s="915">
        <f t="shared" si="4"/>
        <v>1</v>
      </c>
      <c r="AC36" s="915">
        <f t="shared" si="5"/>
        <v>1</v>
      </c>
    </row>
    <row r="37" spans="1:29" ht="15">
      <c r="A37" s="794"/>
      <c r="B37" s="743" t="s">
        <v>1423</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43" t="s">
        <v>1311</v>
      </c>
      <c r="Q37" s="494" t="str">
        <f t="shared" si="14"/>
        <v>工程地质条件</v>
      </c>
      <c r="R37" s="906" t="s">
        <v>1284</v>
      </c>
      <c r="S37" s="907">
        <f t="shared" si="10"/>
        <v>100</v>
      </c>
      <c r="T37" s="906" t="s">
        <v>1284</v>
      </c>
      <c r="U37" s="907">
        <f t="shared" si="11"/>
        <v>100</v>
      </c>
      <c r="V37" s="906" t="s">
        <v>1284</v>
      </c>
      <c r="W37" s="907">
        <f t="shared" si="12"/>
        <v>100</v>
      </c>
      <c r="X37" s="900"/>
      <c r="Y37" s="3043" t="s">
        <v>1311</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43"/>
      <c r="Q38" s="494">
        <f t="shared" si="14"/>
        <v>111</v>
      </c>
      <c r="R38" s="906" t="s">
        <v>1284</v>
      </c>
      <c r="S38" s="907">
        <f t="shared" si="10"/>
        <v>100</v>
      </c>
      <c r="T38" s="906" t="s">
        <v>1284</v>
      </c>
      <c r="U38" s="907">
        <f t="shared" si="11"/>
        <v>100</v>
      </c>
      <c r="V38" s="906" t="s">
        <v>1284</v>
      </c>
      <c r="W38" s="907">
        <f t="shared" si="12"/>
        <v>100</v>
      </c>
      <c r="X38" s="900"/>
      <c r="Y38" s="3043"/>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43"/>
      <c r="Q39" s="494">
        <f t="shared" si="14"/>
        <v>111</v>
      </c>
      <c r="R39" s="906" t="s">
        <v>1284</v>
      </c>
      <c r="S39" s="907">
        <f t="shared" si="10"/>
        <v>100</v>
      </c>
      <c r="T39" s="906" t="s">
        <v>1284</v>
      </c>
      <c r="U39" s="907">
        <f t="shared" si="11"/>
        <v>100</v>
      </c>
      <c r="V39" s="906" t="s">
        <v>1284</v>
      </c>
      <c r="W39" s="907">
        <f t="shared" si="12"/>
        <v>100</v>
      </c>
      <c r="X39" s="900"/>
      <c r="Y39" s="3043"/>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43"/>
      <c r="Q40" s="494">
        <f t="shared" si="14"/>
        <v>111</v>
      </c>
      <c r="R40" s="908" t="s">
        <v>1284</v>
      </c>
      <c r="S40" s="909">
        <f t="shared" si="10"/>
        <v>100</v>
      </c>
      <c r="T40" s="908" t="s">
        <v>1284</v>
      </c>
      <c r="U40" s="909">
        <f t="shared" si="11"/>
        <v>100</v>
      </c>
      <c r="V40" s="908" t="s">
        <v>1284</v>
      </c>
      <c r="W40" s="909">
        <f t="shared" si="12"/>
        <v>100</v>
      </c>
      <c r="X40" s="910"/>
      <c r="Y40" s="3043"/>
      <c r="Z40" s="918">
        <f t="shared" si="13"/>
        <v>111</v>
      </c>
      <c r="AA40" s="917">
        <f t="shared" si="3"/>
        <v>1</v>
      </c>
      <c r="AB40" s="917">
        <f t="shared" si="4"/>
        <v>1</v>
      </c>
      <c r="AC40" s="917">
        <f t="shared" si="5"/>
        <v>1</v>
      </c>
    </row>
    <row r="41" spans="1:29" ht="15">
      <c r="A41" s="804" t="s">
        <v>1409</v>
      </c>
      <c r="B41" s="805" t="s">
        <v>1450</v>
      </c>
      <c r="C41" s="806" t="s">
        <v>121</v>
      </c>
      <c r="D41" s="807"/>
      <c r="E41" s="808"/>
      <c r="F41" s="809"/>
      <c r="G41" s="810"/>
      <c r="H41" s="811"/>
      <c r="I41" s="808"/>
      <c r="J41" s="811"/>
      <c r="K41" s="886"/>
      <c r="L41" s="887"/>
      <c r="M41" s="863"/>
      <c r="N41" s="863"/>
      <c r="O41" s="821"/>
      <c r="P41" s="3026" t="str">
        <f>A41</f>
        <v>成交单价</v>
      </c>
      <c r="Q41" s="3026"/>
      <c r="R41" s="3025">
        <f>E41</f>
        <v>0</v>
      </c>
      <c r="S41" s="3025"/>
      <c r="T41" s="3025">
        <f>G41</f>
        <v>0</v>
      </c>
      <c r="U41" s="3025"/>
      <c r="V41" s="3025">
        <f>I41</f>
        <v>0</v>
      </c>
      <c r="W41" s="3025"/>
      <c r="X41" s="851"/>
      <c r="Y41" s="919"/>
      <c r="Z41" s="851"/>
      <c r="AA41" s="851"/>
      <c r="AB41" s="851"/>
      <c r="AC41" s="851"/>
    </row>
    <row r="42" spans="1:29" ht="15">
      <c r="A42" s="812" t="s">
        <v>1327</v>
      </c>
      <c r="B42" s="813"/>
      <c r="C42" s="814" t="e">
        <f>R43</f>
        <v>#DIV/0!</v>
      </c>
      <c r="D42" s="815"/>
      <c r="E42" s="814" t="e">
        <f>R42</f>
        <v>#DIV/0!</v>
      </c>
      <c r="F42" s="816"/>
      <c r="G42" s="817" t="e">
        <f>T42</f>
        <v>#DIV/0!</v>
      </c>
      <c r="H42" s="815"/>
      <c r="I42" s="814" t="e">
        <f>V42</f>
        <v>#DIV/0!</v>
      </c>
      <c r="J42" s="815"/>
      <c r="K42" s="888"/>
      <c r="L42" s="887"/>
      <c r="M42" s="863"/>
      <c r="N42" s="863"/>
      <c r="O42" s="821"/>
      <c r="P42" s="3026" t="str">
        <f>A42</f>
        <v>比较价值（元/平方米）</v>
      </c>
      <c r="Q42" s="3026"/>
      <c r="R42" s="3066" t="e">
        <f>ROUND(PRODUCT(R41,AA7:AA40),0)</f>
        <v>#DIV/0!</v>
      </c>
      <c r="S42" s="3066"/>
      <c r="T42" s="3066" t="e">
        <f>ROUND(PRODUCT(T41,AB7:AB40),0)</f>
        <v>#DIV/0!</v>
      </c>
      <c r="U42" s="3066"/>
      <c r="V42" s="3066" t="e">
        <f>ROUND(PRODUCT(V41,AC7:AC40),0)</f>
        <v>#DIV/0!</v>
      </c>
      <c r="W42" s="3066"/>
      <c r="X42" s="851"/>
      <c r="Y42" s="851"/>
      <c r="Z42" s="851"/>
      <c r="AA42" s="851"/>
      <c r="AB42" s="851"/>
      <c r="AC42" s="851"/>
    </row>
    <row r="43" spans="1:29" ht="15">
      <c r="A43" s="818" t="s">
        <v>1328</v>
      </c>
      <c r="B43" s="819"/>
      <c r="C43" s="820" t="e">
        <f>R43</f>
        <v>#DIV/0!</v>
      </c>
      <c r="D43" s="820"/>
      <c r="E43" s="820"/>
      <c r="F43" s="820"/>
      <c r="G43" s="820"/>
      <c r="H43" s="820"/>
      <c r="I43" s="820"/>
      <c r="J43" s="820"/>
      <c r="K43" s="889"/>
      <c r="L43" s="887"/>
      <c r="M43" s="863"/>
      <c r="N43" s="863"/>
      <c r="O43" s="821"/>
      <c r="P43" s="3030" t="str">
        <f>A43</f>
        <v>估价对象XX用房的比较价值（楼面单价，元/平方米）</v>
      </c>
      <c r="Q43" s="3031"/>
      <c r="R43" s="3067" t="e">
        <f>ROUND(AVERAGE(R42:V42),0)</f>
        <v>#DIV/0!</v>
      </c>
      <c r="S43" s="3067"/>
      <c r="T43" s="3067"/>
      <c r="U43" s="3067"/>
      <c r="V43" s="3067"/>
      <c r="W43" s="3067"/>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1425</v>
      </c>
      <c r="B50" s="830" t="s">
        <v>1426</v>
      </c>
      <c r="C50" s="831" t="s">
        <v>1427</v>
      </c>
      <c r="D50" s="832" t="s">
        <v>1428</v>
      </c>
      <c r="E50" s="833" t="s">
        <v>1429</v>
      </c>
      <c r="F50" s="834" t="s">
        <v>1430</v>
      </c>
      <c r="G50" s="835" t="s">
        <v>1451</v>
      </c>
      <c r="H50" s="835" t="str">
        <f>项目基本情况!G8</f>
        <v>浙江省杭州市</v>
      </c>
      <c r="I50" s="895" t="s">
        <v>1432</v>
      </c>
      <c r="J50" s="891"/>
      <c r="K50" s="892"/>
      <c r="L50" s="892"/>
      <c r="M50" s="821"/>
      <c r="N50" s="821"/>
      <c r="O50" s="821"/>
    </row>
    <row r="51" spans="1:17" s="709" customFormat="1">
      <c r="A51" s="836" t="s">
        <v>1433</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1434</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1435</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1436</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1437</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1438</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1439</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1440</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1441</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1442</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1443</v>
      </c>
      <c r="B61" s="846" t="s">
        <v>1386</v>
      </c>
      <c r="C61" s="846" t="s">
        <v>1386</v>
      </c>
      <c r="D61" s="846" t="s">
        <v>1386</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1332</v>
      </c>
      <c r="B64" s="851"/>
      <c r="C64" s="852"/>
      <c r="D64" s="852"/>
      <c r="E64" s="852"/>
      <c r="F64" s="853"/>
      <c r="G64" s="853"/>
      <c r="H64" s="852"/>
      <c r="I64" s="896"/>
      <c r="J64" s="896"/>
      <c r="K64" s="897"/>
      <c r="L64" s="898"/>
      <c r="M64" s="896"/>
      <c r="N64" s="896"/>
      <c r="O64" s="896"/>
      <c r="P64" s="899"/>
      <c r="Q64" s="911"/>
    </row>
    <row r="65" spans="1:17" s="710" customFormat="1" ht="15">
      <c r="A65" s="920" t="s">
        <v>1444</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559</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1333</v>
      </c>
      <c r="B67" s="927"/>
      <c r="C67" s="928"/>
      <c r="D67" s="929"/>
      <c r="E67" s="929"/>
      <c r="F67" s="929"/>
      <c r="G67" s="929"/>
      <c r="H67" s="929"/>
      <c r="I67" s="929"/>
      <c r="J67" s="929"/>
      <c r="K67" s="929"/>
      <c r="L67" s="929"/>
      <c r="M67" s="978"/>
      <c r="N67" s="929"/>
      <c r="O67" s="979"/>
      <c r="P67" s="911"/>
      <c r="Q67" s="911"/>
    </row>
    <row r="68" spans="1:17" s="705" customFormat="1" ht="15">
      <c r="A68" s="930" t="s">
        <v>1285</v>
      </c>
      <c r="B68" s="931"/>
      <c r="C68" s="932" t="s">
        <v>1286</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1334</v>
      </c>
      <c r="B70" s="937" t="s">
        <v>1290</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1293</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1295</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1296</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1342</v>
      </c>
      <c r="D93" s="942" t="s">
        <v>1343</v>
      </c>
      <c r="E93" s="942" t="s">
        <v>1344</v>
      </c>
      <c r="F93" s="942" t="s">
        <v>1345</v>
      </c>
      <c r="G93" s="942" t="s">
        <v>1346</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1446</v>
      </c>
      <c r="D95" s="942" t="s">
        <v>1447</v>
      </c>
      <c r="E95" s="942" t="s">
        <v>1448</v>
      </c>
      <c r="F95" s="942" t="s">
        <v>1449</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1308</v>
      </c>
      <c r="B107" s="937" t="s">
        <v>1419</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1420</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1422</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1423</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中粮粮油浙江有限公司：</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受贵公司委托，我公司对浙江省杭州市房地产进行了预评估。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2706"/>
      <c r="C6" s="2706"/>
      <c r="D6" s="2706"/>
      <c r="E6" s="2706"/>
      <c r="F6" s="2706"/>
      <c r="G6" s="2706"/>
    </row>
    <row r="7" spans="1:7" ht="18.75">
      <c r="A7" s="2707" t="s">
        <v>80</v>
      </c>
    </row>
    <row r="8" spans="1:7" ht="18">
      <c r="A8" s="2708" t="str">
        <f>IF(项目基本情况!D4="抵押",IF(项目基本情况!B4=项目基本情况!B5,定义!C51,定义!B51),定义!D51)</f>
        <v>为估价委托人了解估价对象房地产市场价值提供参考依据。</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2019年8月18日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c r="B13" s="2706"/>
      <c r="C13" s="2706"/>
      <c r="D13" s="2706"/>
      <c r="E13" s="2706"/>
      <c r="F13" s="2706"/>
      <c r="G13" s="2706"/>
    </row>
    <row r="14" spans="1:7" ht="18">
      <c r="A14" s="2708" t="str">
        <f>IF(项目基本情况!D5="房地产市场价值","——",IF(项目基本情况!F5="房地产抵押价值",定义!C54,IF(项目基本情况!F5="已注销",定义!C55,定义!C56)))</f>
        <v>——</v>
      </c>
      <c r="B14" s="2713"/>
      <c r="C14" s="2713"/>
      <c r="D14" s="2713"/>
      <c r="E14" s="2713"/>
      <c r="F14" s="2713"/>
      <c r="G14" s="2713"/>
    </row>
    <row r="15" spans="1:7" ht="56.25">
      <c r="A15" s="2706" t="s">
        <v>84</v>
      </c>
      <c r="B15" s="2706"/>
      <c r="C15" s="2706"/>
      <c r="D15" s="2706"/>
      <c r="E15" s="2706"/>
      <c r="F15" s="2706"/>
      <c r="G15" s="2706"/>
    </row>
    <row r="16" spans="1:7" ht="18">
      <c r="A16" s="2709" t="str">
        <f>IF(项目基本情况!D5="房地产市场价值","——",IF(项目基本情况!G5="——","",定义!C57))</f>
        <v>——</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1452</v>
      </c>
      <c r="B1" s="399"/>
      <c r="C1" s="400" t="s">
        <v>1268</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1453</v>
      </c>
      <c r="S1" s="646" t="s">
        <v>1454</v>
      </c>
      <c r="T1" s="646" t="s">
        <v>1455</v>
      </c>
      <c r="U1" s="646" t="s">
        <v>1456</v>
      </c>
      <c r="V1" s="646" t="s">
        <v>1457</v>
      </c>
      <c r="W1" s="647"/>
      <c r="X1" s="647"/>
      <c r="Y1" s="647"/>
      <c r="Z1" s="647"/>
      <c r="AA1" s="647"/>
      <c r="AB1" s="647"/>
      <c r="AC1" s="654"/>
      <c r="AD1" s="655"/>
      <c r="AE1" s="655"/>
      <c r="AF1" s="655"/>
      <c r="AG1" s="655"/>
      <c r="AH1" s="655"/>
      <c r="AI1" s="655"/>
      <c r="AJ1" s="665"/>
    </row>
    <row r="2" spans="1:36" ht="24.75">
      <c r="A2" s="402" t="s">
        <v>830</v>
      </c>
      <c r="B2" s="403" t="e">
        <f>C26</f>
        <v>#DIV/0!</v>
      </c>
      <c r="C2" s="404" t="s">
        <v>1417</v>
      </c>
      <c r="D2" s="405" t="s">
        <v>1458</v>
      </c>
      <c r="E2" s="406"/>
      <c r="F2" s="405" t="s">
        <v>1459</v>
      </c>
      <c r="G2" s="407">
        <f>项目基本情况!F9</f>
        <v>0</v>
      </c>
      <c r="H2" s="408" t="s">
        <v>1460</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831</v>
      </c>
      <c r="B3" s="403" t="e">
        <f>ROUND(B2/D1,0)</f>
        <v>#DIV/0!</v>
      </c>
      <c r="C3" s="404" t="s">
        <v>832</v>
      </c>
      <c r="D3" s="405" t="s">
        <v>1461</v>
      </c>
      <c r="E3" s="410"/>
      <c r="F3" s="411" t="s">
        <v>1462</v>
      </c>
      <c r="G3" s="412">
        <f>项目基本情况!C15</f>
        <v>0</v>
      </c>
      <c r="H3" s="413" t="s">
        <v>1463</v>
      </c>
      <c r="I3" s="576"/>
      <c r="J3" s="572" t="s">
        <v>1464</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084"/>
      <c r="B4" s="3085"/>
      <c r="C4" s="3085"/>
      <c r="D4" s="3086"/>
      <c r="E4" s="3086"/>
      <c r="F4" s="3086"/>
      <c r="G4" s="3086"/>
      <c r="H4" s="3086"/>
      <c r="I4" s="3086"/>
      <c r="J4" s="3087"/>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1465</v>
      </c>
      <c r="B5" s="415" t="s">
        <v>1466</v>
      </c>
      <c r="C5" s="416" t="e">
        <f>ROUND(IF(E2="商业",C6*C7+C16,(IF(E2="住宅",C6*C12+C16,C6+C16))),0)</f>
        <v>#DIV/0!</v>
      </c>
      <c r="D5" s="417" t="e">
        <f>ROUND(C6+C16,0)</f>
        <v>#DIV/0!</v>
      </c>
      <c r="E5" s="417"/>
      <c r="F5" s="418"/>
      <c r="G5" s="419"/>
      <c r="H5" s="419"/>
      <c r="I5" s="419"/>
      <c r="J5" s="577"/>
      <c r="K5" s="578"/>
      <c r="L5" s="573" t="s">
        <v>1467</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1468</v>
      </c>
      <c r="C6" s="422">
        <f>SUMIF(L1:L12,G2,M1:M12)</f>
        <v>0</v>
      </c>
      <c r="D6" s="423" t="s">
        <v>1469</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69" t="str">
        <f>IF(E2="商业",IF(C8="不临58条商业街","",2),"")</f>
        <v/>
      </c>
      <c r="B7" s="426" t="s">
        <v>1470</v>
      </c>
      <c r="C7" s="427" t="e">
        <f>IF(C8="不临58条商业街",1,ROUND(1+(1.6*E8+1.2*E9+0.8*E10+0.4*E11)*C9,4))</f>
        <v>#DIV/0!</v>
      </c>
      <c r="D7" s="428" t="s">
        <v>1471</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1472</v>
      </c>
      <c r="X7" s="650">
        <f>G2</f>
        <v>0</v>
      </c>
      <c r="Y7" s="650" t="s">
        <v>1462</v>
      </c>
      <c r="Z7" s="658">
        <f>G3</f>
        <v>0</v>
      </c>
      <c r="AA7" s="647"/>
      <c r="AB7" s="647"/>
      <c r="AC7" s="654"/>
      <c r="AD7" s="655"/>
      <c r="AE7" s="655"/>
      <c r="AF7" s="655"/>
      <c r="AG7" s="655"/>
      <c r="AH7" s="655"/>
      <c r="AI7" s="655"/>
      <c r="AJ7" s="665"/>
    </row>
    <row r="8" spans="1:36" ht="15">
      <c r="A8" s="3070"/>
      <c r="B8" s="413" t="s">
        <v>1473</v>
      </c>
      <c r="C8" s="433"/>
      <c r="D8" s="434" t="s">
        <v>1474</v>
      </c>
      <c r="E8" s="435" t="e">
        <f>ROUND(C11/E7,4)</f>
        <v>#DIV/0!</v>
      </c>
      <c r="F8" s="436" t="s">
        <v>1475</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088" t="s">
        <v>1476</v>
      </c>
      <c r="X8" s="3089"/>
      <c r="Y8" s="659" t="s">
        <v>1477</v>
      </c>
      <c r="Z8" s="659" t="s">
        <v>1478</v>
      </c>
      <c r="AA8" s="659" t="s">
        <v>1479</v>
      </c>
      <c r="AB8" s="659" t="s">
        <v>1480</v>
      </c>
      <c r="AC8" s="659" t="s">
        <v>1481</v>
      </c>
      <c r="AD8" s="659" t="s">
        <v>1482</v>
      </c>
      <c r="AE8" s="659" t="s">
        <v>1483</v>
      </c>
      <c r="AF8" s="659" t="s">
        <v>1484</v>
      </c>
      <c r="AG8" s="659" t="s">
        <v>1485</v>
      </c>
      <c r="AH8" s="659" t="s">
        <v>1486</v>
      </c>
      <c r="AI8" s="659" t="s">
        <v>1487</v>
      </c>
      <c r="AJ8" s="659" t="s">
        <v>1488</v>
      </c>
    </row>
    <row r="9" spans="1:36" ht="15">
      <c r="A9" s="3070"/>
      <c r="B9" s="413" t="s">
        <v>1489</v>
      </c>
      <c r="C9" s="438">
        <f>SUMIF(修正!C59:C119,C8,修正!E59:E119)</f>
        <v>0</v>
      </c>
      <c r="D9" s="439" t="s">
        <v>1490</v>
      </c>
      <c r="E9" s="439" t="e">
        <f>ROUND(C11/E7,4)</f>
        <v>#DIV/0!</v>
      </c>
      <c r="F9" s="436" t="s">
        <v>1491</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093" t="s">
        <v>1492</v>
      </c>
      <c r="X9" s="651" t="s">
        <v>1493</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70"/>
      <c r="B10" s="413" t="s">
        <v>1494</v>
      </c>
      <c r="C10" s="439">
        <f>SUMIF(修正!C59:C119,C8,修正!F59:F119)</f>
        <v>0</v>
      </c>
      <c r="D10" s="439" t="s">
        <v>1495</v>
      </c>
      <c r="E10" s="439" t="e">
        <f>ROUND(C11/E7,4)</f>
        <v>#DIV/0!</v>
      </c>
      <c r="F10" s="436" t="s">
        <v>1496</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093"/>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70"/>
      <c r="B11" s="440" t="s">
        <v>1497</v>
      </c>
      <c r="C11" s="441">
        <f>C10/4</f>
        <v>0</v>
      </c>
      <c r="D11" s="441" t="s">
        <v>1498</v>
      </c>
      <c r="E11" s="441" t="e">
        <f>ROUND(C11/E7,4)</f>
        <v>#DIV/0!</v>
      </c>
      <c r="F11" s="442" t="s">
        <v>1499</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093" t="s">
        <v>1500</v>
      </c>
      <c r="X11" s="652" t="s">
        <v>1462</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69" t="str">
        <f>IF(E2="住宅",2,"")</f>
        <v/>
      </c>
      <c r="B12" s="444" t="s">
        <v>1501</v>
      </c>
      <c r="C12" s="427">
        <f>ROUND(C15*D15*E15*F15*G15*H15*I15*J15,4)</f>
        <v>1.32</v>
      </c>
      <c r="D12" s="445" t="s">
        <v>1502</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093"/>
      <c r="X12" s="653" t="s">
        <v>1503</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71"/>
      <c r="B13" s="448" t="s">
        <v>1504</v>
      </c>
      <c r="C13" s="449" t="s">
        <v>1505</v>
      </c>
      <c r="D13" s="450" t="s">
        <v>1506</v>
      </c>
      <c r="E13" s="450" t="s">
        <v>1507</v>
      </c>
      <c r="F13" s="451" t="s">
        <v>1508</v>
      </c>
      <c r="G13" s="452" t="s">
        <v>1509</v>
      </c>
      <c r="H13" s="452" t="s">
        <v>1509</v>
      </c>
      <c r="I13" s="452" t="s">
        <v>1509</v>
      </c>
      <c r="J13" s="588" t="s">
        <v>1509</v>
      </c>
      <c r="L13" s="396"/>
      <c r="M13" s="396"/>
      <c r="N13" s="396"/>
      <c r="O13" s="396"/>
      <c r="P13" s="396"/>
      <c r="Q13" s="396"/>
      <c r="R13" s="646">
        <v>12</v>
      </c>
      <c r="S13" s="648"/>
      <c r="T13" s="646" t="e">
        <f t="shared" si="0"/>
        <v>#DIV/0!</v>
      </c>
      <c r="U13" s="648"/>
      <c r="V13" s="646" t="e">
        <f t="shared" si="1"/>
        <v>#DIV/0!</v>
      </c>
      <c r="W13" s="3093"/>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71"/>
      <c r="B14" s="453"/>
      <c r="C14" s="454" t="s">
        <v>1510</v>
      </c>
      <c r="D14" s="455" t="s">
        <v>1511</v>
      </c>
      <c r="E14" s="455" t="s">
        <v>1511</v>
      </c>
      <c r="F14" s="456" t="s">
        <v>1512</v>
      </c>
      <c r="G14" s="457" t="s">
        <v>1513</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72"/>
      <c r="B15" s="459" t="s">
        <v>1239</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73" t="b">
        <f>IF(E2="办公",2,IF(E2="工业",2,IF(E2="住宅",3,IF(E2="商业",IF(C8="不临58条商业街",2,3)))))</f>
        <v>0</v>
      </c>
      <c r="B16" s="462" t="s">
        <v>1514</v>
      </c>
      <c r="C16" s="463" t="e">
        <f>ROUND(IF(F17="与级别开发程度一致",0,(G17-E17)/C17),0)</f>
        <v>#DIV/0!</v>
      </c>
      <c r="D16" s="3090" t="s">
        <v>1515</v>
      </c>
      <c r="E16" s="3091"/>
      <c r="F16" s="3090" t="s">
        <v>1516</v>
      </c>
      <c r="G16" s="3091"/>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74"/>
      <c r="B17" s="466" t="s">
        <v>1517</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1518</v>
      </c>
      <c r="B18" s="472" t="s">
        <v>1519</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1520</v>
      </c>
      <c r="B19" s="476" t="s">
        <v>1521</v>
      </c>
      <c r="C19" s="477">
        <f>ROUND(IF(H19="按公示增长率计算",SUMPRODUCT((地价!A3:A27=YEAR(G19)&amp;"-"&amp;ROUNDUP(MONTH(G19)/3,0))*(地价!X2:AB2=E2)*(地价!X3:AB27)),IF(H19="地价指数",M20/M19,(1+I19)^O19)),4)</f>
        <v>0</v>
      </c>
      <c r="D19" s="478" t="s">
        <v>1522</v>
      </c>
      <c r="E19" s="479">
        <v>41640</v>
      </c>
      <c r="F19" s="478" t="s">
        <v>1523</v>
      </c>
      <c r="G19" s="480">
        <f>'数据-取费表'!B2</f>
        <v>43695</v>
      </c>
      <c r="H19" s="481" t="s">
        <v>1524</v>
      </c>
      <c r="I19" s="598" t="str">
        <f>IF(H19="季度增幅（自定义）",SUMIF(N21:N24,E2,O21:O24),"")</f>
        <v/>
      </c>
      <c r="J19" s="599"/>
      <c r="K19" s="597"/>
      <c r="L19" s="600" t="s">
        <v>1525</v>
      </c>
      <c r="M19" s="601">
        <f>ROUND(SUMIF(地价!B2:F2,E2,地价!B27:F27),0)</f>
        <v>0</v>
      </c>
      <c r="N19" s="602" t="s">
        <v>1526</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1527</v>
      </c>
      <c r="B20" s="483" t="s">
        <v>1528</v>
      </c>
      <c r="C20" s="484" t="e">
        <f>ROUND(POWER(1+G20,J20-I20)*(POWER(1+G20,I20)-1)/(POWER(1+G20,J20)-1),4)</f>
        <v>#DIV/0!</v>
      </c>
      <c r="D20" s="485" t="s">
        <v>1529</v>
      </c>
      <c r="E20" s="486">
        <f ca="1">存贷款利率!D4/100</f>
        <v>4.3499999999999997E-2</v>
      </c>
      <c r="F20" s="485" t="s">
        <v>1530</v>
      </c>
      <c r="G20" s="487">
        <f>SUMIF(M26:P26,E2,M28:P28)</f>
        <v>0</v>
      </c>
      <c r="H20" s="485" t="s">
        <v>1531</v>
      </c>
      <c r="I20" s="464">
        <f>'数据-取费表'!B13</f>
        <v>39</v>
      </c>
      <c r="J20" s="604">
        <f>IF(E2="住宅",70,IF(E2="商业",40,50))</f>
        <v>50</v>
      </c>
      <c r="K20" s="597"/>
      <c r="L20" s="605" t="s">
        <v>1532</v>
      </c>
      <c r="M20" s="606">
        <f>ROUND(SUMPRODUCT((地价!A4:A27=YEAR(G19)&amp;"-"&amp;ROUNDUP(MONTH(G19)/3,0))*(地价!B2:F2=E2)*(地价!B4:F27)),0)</f>
        <v>0</v>
      </c>
      <c r="N20" s="607" t="s">
        <v>1533</v>
      </c>
      <c r="O20" s="608" t="s">
        <v>1534</v>
      </c>
      <c r="P20" s="609" t="s">
        <v>1535</v>
      </c>
      <c r="R20" s="396"/>
      <c r="S20" s="396"/>
      <c r="T20" s="396"/>
      <c r="U20" s="396"/>
      <c r="V20" s="396"/>
      <c r="W20" s="396"/>
      <c r="X20" s="396"/>
      <c r="Y20" s="396"/>
      <c r="Z20" s="396"/>
      <c r="AA20" s="396"/>
      <c r="AB20" s="396"/>
      <c r="AC20" s="396"/>
      <c r="AD20" s="396"/>
      <c r="AE20" s="597"/>
      <c r="AF20" s="597"/>
    </row>
    <row r="21" spans="1:37" s="391" customFormat="1" ht="14.25">
      <c r="A21" s="488" t="s">
        <v>1536</v>
      </c>
      <c r="B21" s="489" t="s">
        <v>1537</v>
      </c>
      <c r="C21" s="490" t="b">
        <f>IF(B21="容积率修正",IF(G3&lt;=10,D22,J22),C23)</f>
        <v>0</v>
      </c>
      <c r="D21" s="491"/>
      <c r="E21" s="491"/>
      <c r="F21" s="491"/>
      <c r="G21" s="491"/>
      <c r="H21" s="491"/>
      <c r="I21" s="491"/>
      <c r="J21" s="610"/>
      <c r="K21" s="597"/>
      <c r="N21" s="611" t="s">
        <v>1538</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1539</v>
      </c>
      <c r="C22" s="494" t="s">
        <v>1540</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1541</v>
      </c>
      <c r="J22" s="614" t="str">
        <f>IF(G3&gt;10,D113,"——")</f>
        <v>——</v>
      </c>
      <c r="K22" s="597"/>
      <c r="N22" s="611" t="s">
        <v>1542</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1543</v>
      </c>
      <c r="C23" s="495" t="e">
        <f>ROUND(IF(G3&gt;1,IF(I3&lt;7,SUMPRODUCT((B93:B98=I3)*(C92:N92=G2)*(C93:N98)),SUMIF(C92:N92,G2,C100:N100)),IF(I3&lt;7,SUMPRODUCT((B102:B107=I3)*(C92:N92=G2)*(C102:N107)),SUMIF(C92:N92,G2,C109:N109))),4)</f>
        <v>#DIV/0!</v>
      </c>
      <c r="D23" s="458"/>
      <c r="E23" s="458"/>
      <c r="F23" s="496"/>
      <c r="G23" s="497"/>
      <c r="H23" s="498"/>
      <c r="I23" s="615"/>
      <c r="J23" s="616"/>
      <c r="N23" s="611" t="s">
        <v>1544</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1545</v>
      </c>
      <c r="B24" s="500" t="s">
        <v>1546</v>
      </c>
      <c r="C24" s="501">
        <f>SUMIF(A46:A88,E2,B46:B88)</f>
        <v>0</v>
      </c>
      <c r="D24" s="502"/>
      <c r="E24" s="503"/>
      <c r="F24" s="503"/>
      <c r="G24" s="503"/>
      <c r="H24" s="503"/>
      <c r="I24" s="503"/>
      <c r="J24" s="617"/>
      <c r="K24" s="597"/>
      <c r="N24" s="618" t="s">
        <v>1547</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1548</v>
      </c>
      <c r="B25" s="504" t="s">
        <v>1549</v>
      </c>
      <c r="C25" s="505"/>
      <c r="D25" s="431"/>
      <c r="E25" s="431"/>
      <c r="F25" s="506"/>
      <c r="G25" s="431"/>
      <c r="H25" s="431"/>
      <c r="I25" s="431"/>
      <c r="J25" s="581"/>
      <c r="L25" s="396"/>
      <c r="M25" s="396"/>
      <c r="N25" s="621" t="s">
        <v>1550</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1551</v>
      </c>
      <c r="C26" s="508" t="e">
        <f>E29+SUM(E33:E39)</f>
        <v>#DIV/0!</v>
      </c>
      <c r="D26" s="509"/>
      <c r="E26" s="458"/>
      <c r="F26" s="510"/>
      <c r="G26" s="458"/>
      <c r="H26" s="458"/>
      <c r="I26" s="458"/>
      <c r="J26" s="623"/>
      <c r="L26" s="624" t="s">
        <v>1552</v>
      </c>
      <c r="M26" s="434" t="s">
        <v>1553</v>
      </c>
      <c r="N26" s="434" t="s">
        <v>1554</v>
      </c>
      <c r="O26" s="434" t="s">
        <v>1555</v>
      </c>
      <c r="P26" s="625" t="s">
        <v>1556</v>
      </c>
      <c r="Q26" s="396"/>
      <c r="R26" s="396"/>
      <c r="S26" s="396"/>
      <c r="T26" s="396"/>
      <c r="U26" s="396"/>
      <c r="V26" s="396"/>
      <c r="W26" s="396"/>
      <c r="X26" s="396"/>
      <c r="Y26" s="396"/>
      <c r="Z26" s="396"/>
      <c r="AA26" s="396"/>
      <c r="AB26" s="396"/>
      <c r="AC26" s="396"/>
      <c r="AD26" s="396"/>
      <c r="AE26" s="541"/>
      <c r="AF26" s="541"/>
    </row>
    <row r="27" spans="1:37" ht="15">
      <c r="A27" s="507"/>
      <c r="B27" s="511" t="s">
        <v>1557</v>
      </c>
      <c r="C27" s="512" t="e">
        <f>E30+SUM(I33:I39)</f>
        <v>#DIV/0!</v>
      </c>
      <c r="D27" s="513"/>
      <c r="E27" s="514"/>
      <c r="F27" s="515"/>
      <c r="G27" s="514"/>
      <c r="H27" s="514"/>
      <c r="I27" s="514"/>
      <c r="J27" s="626"/>
      <c r="L27" s="627" t="s">
        <v>1558</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1559</v>
      </c>
      <c r="C28" s="517" t="s">
        <v>1560</v>
      </c>
      <c r="D28" s="517" t="s">
        <v>1561</v>
      </c>
      <c r="E28" s="518" t="s">
        <v>1562</v>
      </c>
      <c r="F28" s="519"/>
      <c r="G28" s="447"/>
      <c r="H28" s="447"/>
      <c r="I28" s="447"/>
      <c r="J28" s="584"/>
      <c r="L28" s="629" t="s">
        <v>1530</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1563</v>
      </c>
      <c r="C29" s="508" t="e">
        <f>ROUND(C5*C18*C19*C20*C21*C24,0)</f>
        <v>#DIV/0!</v>
      </c>
      <c r="D29" s="521"/>
      <c r="E29" s="522" t="e">
        <f>ROUND(C29*D29,0)</f>
        <v>#DIV/0!</v>
      </c>
      <c r="F29" s="523" t="s">
        <v>1564</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1565</v>
      </c>
      <c r="C30" s="460" t="e">
        <f>ROUND(IF(E2="工业",C29*M39,C29*M38),0)</f>
        <v>#DIV/0!</v>
      </c>
      <c r="D30" s="527"/>
      <c r="E30" s="522" t="e">
        <f>ROUND(C30*D30,0)</f>
        <v>#DIV/0!</v>
      </c>
      <c r="F30" s="528" t="s">
        <v>1566</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1567</v>
      </c>
      <c r="C31" s="532" t="s">
        <v>1568</v>
      </c>
      <c r="D31" s="447"/>
      <c r="E31" s="532"/>
      <c r="F31" s="532"/>
      <c r="G31" s="445" t="s">
        <v>1566</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1560</v>
      </c>
      <c r="D32" s="535" t="s">
        <v>1561</v>
      </c>
      <c r="E32" s="535" t="s">
        <v>1562</v>
      </c>
      <c r="F32" s="536" t="s">
        <v>1569</v>
      </c>
      <c r="G32" s="495" t="s">
        <v>1560</v>
      </c>
      <c r="H32" s="495" t="s">
        <v>1561</v>
      </c>
      <c r="I32" s="495" t="s">
        <v>1562</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75" t="s">
        <v>1570</v>
      </c>
      <c r="B33" s="537" t="s">
        <v>1571</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76"/>
      <c r="B34" s="449" t="s">
        <v>1572</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76"/>
      <c r="B35" s="449" t="s">
        <v>1573</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77"/>
      <c r="B36" s="449" t="s">
        <v>1574</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1575</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1576</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1577</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1578</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1579</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1556</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1580</v>
      </c>
      <c r="C41" s="536" t="e">
        <f>ROUND(POWER(1+E41,H41-G41)*(POWER(1+E41,G41)-1)/(POWER(1+E41,H41)-1),4)</f>
        <v>#DIV/0!</v>
      </c>
      <c r="D41" s="439" t="s">
        <v>1530</v>
      </c>
      <c r="E41" s="340">
        <f>G20</f>
        <v>0</v>
      </c>
      <c r="F41" s="439" t="s">
        <v>1531</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1581</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1582</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1583</v>
      </c>
      <c r="B47" s="335" t="s">
        <v>1584</v>
      </c>
      <c r="C47" s="335" t="s">
        <v>1585</v>
      </c>
      <c r="D47" s="335" t="s">
        <v>1586</v>
      </c>
      <c r="E47" s="336" t="s">
        <v>1587</v>
      </c>
      <c r="F47" s="554" t="s">
        <v>1588</v>
      </c>
      <c r="G47" s="335" t="s">
        <v>1239</v>
      </c>
      <c r="H47" s="555" t="s">
        <v>1589</v>
      </c>
      <c r="I47" s="335" t="s">
        <v>1590</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1591</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1592</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1593</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1594</v>
      </c>
      <c r="B51" s="562" t="s">
        <v>1595</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1596</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1597</v>
      </c>
      <c r="B53" s="563" t="s">
        <v>1598</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1599</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1600</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1601</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1602</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1583</v>
      </c>
      <c r="B58" s="561"/>
      <c r="C58" s="335" t="s">
        <v>1585</v>
      </c>
      <c r="D58" s="335" t="s">
        <v>1586</v>
      </c>
      <c r="E58" s="336" t="s">
        <v>1587</v>
      </c>
      <c r="F58" s="554" t="s">
        <v>1588</v>
      </c>
      <c r="G58" s="335" t="s">
        <v>1239</v>
      </c>
      <c r="H58" s="555" t="s">
        <v>1589</v>
      </c>
      <c r="I58" s="335" t="s">
        <v>1590</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1603</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1592</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1593</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1594</v>
      </c>
      <c r="B62" s="562" t="s">
        <v>1595</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1596</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1597</v>
      </c>
      <c r="B64" s="563" t="s">
        <v>1598</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1599</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1600</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1601</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1604</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1583</v>
      </c>
      <c r="B69" s="561"/>
      <c r="C69" s="335" t="s">
        <v>1585</v>
      </c>
      <c r="D69" s="335" t="s">
        <v>1586</v>
      </c>
      <c r="E69" s="336" t="s">
        <v>1587</v>
      </c>
      <c r="F69" s="554" t="s">
        <v>1588</v>
      </c>
      <c r="G69" s="335" t="s">
        <v>1239</v>
      </c>
      <c r="H69" s="555" t="s">
        <v>1589</v>
      </c>
      <c r="I69" s="335" t="s">
        <v>1590</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1605</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1592</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1593</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1606</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1599</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1600</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1597</v>
      </c>
      <c r="B76" s="563" t="s">
        <v>1598</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1601</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1607</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1608</v>
      </c>
      <c r="B79" s="568">
        <f>1+E81</f>
        <v>1</v>
      </c>
      <c r="C79" s="331"/>
      <c r="D79" s="331"/>
      <c r="E79" s="332"/>
      <c r="F79" s="552"/>
      <c r="G79" s="548"/>
      <c r="H79" s="548"/>
      <c r="I79" s="548"/>
      <c r="J79" s="547"/>
      <c r="K79" s="547"/>
      <c r="L79" s="547"/>
      <c r="M79" s="547"/>
      <c r="N79" s="547"/>
      <c r="Z79" s="395"/>
      <c r="AA79" s="393"/>
      <c r="AG79" s="397"/>
      <c r="AK79" s="393"/>
    </row>
    <row r="80" spans="1:37" ht="24.75">
      <c r="A80" s="553" t="s">
        <v>1583</v>
      </c>
      <c r="B80" s="561"/>
      <c r="C80" s="335" t="s">
        <v>1585</v>
      </c>
      <c r="D80" s="335" t="s">
        <v>1586</v>
      </c>
      <c r="E80" s="336" t="s">
        <v>1587</v>
      </c>
      <c r="F80" s="554" t="s">
        <v>1588</v>
      </c>
      <c r="G80" s="335" t="s">
        <v>1239</v>
      </c>
      <c r="H80" s="555" t="s">
        <v>1589</v>
      </c>
      <c r="I80" s="335" t="s">
        <v>1590</v>
      </c>
      <c r="J80" s="367" t="s">
        <v>228</v>
      </c>
      <c r="K80" s="367" t="s">
        <v>240</v>
      </c>
      <c r="L80" s="367" t="s">
        <v>251</v>
      </c>
      <c r="M80" s="367" t="s">
        <v>261</v>
      </c>
      <c r="N80" s="367" t="s">
        <v>268</v>
      </c>
      <c r="Z80" s="395"/>
      <c r="AA80" s="393"/>
      <c r="AG80" s="397"/>
      <c r="AK80" s="393"/>
    </row>
    <row r="81" spans="1:37" ht="38.25">
      <c r="A81" s="553" t="s">
        <v>1609</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1592</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1593</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1606</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1599</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1600</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1597</v>
      </c>
      <c r="B87" s="563" t="s">
        <v>1598</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1610</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092" t="s">
        <v>1611</v>
      </c>
      <c r="B90" s="3092"/>
      <c r="C90" s="3092"/>
      <c r="D90" s="3092"/>
      <c r="E90" s="3092"/>
      <c r="F90" s="3092"/>
      <c r="G90" s="3092"/>
      <c r="H90" s="3092"/>
      <c r="I90" s="3092"/>
      <c r="J90" s="3092"/>
      <c r="K90" s="675"/>
      <c r="L90" s="675"/>
      <c r="M90" s="675"/>
      <c r="N90" s="675"/>
    </row>
    <row r="91" spans="1:37">
      <c r="A91" s="3078" t="s">
        <v>1612</v>
      </c>
      <c r="B91" s="3078" t="s">
        <v>1613</v>
      </c>
      <c r="C91" s="523" t="s">
        <v>1614</v>
      </c>
      <c r="D91" s="524"/>
      <c r="E91" s="524"/>
      <c r="F91" s="524"/>
      <c r="G91" s="524"/>
      <c r="H91" s="524"/>
      <c r="I91" s="524"/>
      <c r="J91" s="697"/>
      <c r="K91" s="698"/>
      <c r="L91" s="698"/>
      <c r="M91" s="698"/>
      <c r="N91" s="698"/>
    </row>
    <row r="92" spans="1:37">
      <c r="A92" s="3078"/>
      <c r="B92" s="3078"/>
      <c r="C92" s="522" t="s">
        <v>1477</v>
      </c>
      <c r="D92" s="522" t="s">
        <v>1478</v>
      </c>
      <c r="E92" s="522" t="s">
        <v>1479</v>
      </c>
      <c r="F92" s="522" t="s">
        <v>1480</v>
      </c>
      <c r="G92" s="522" t="s">
        <v>1481</v>
      </c>
      <c r="H92" s="522" t="s">
        <v>1482</v>
      </c>
      <c r="I92" s="522" t="s">
        <v>1483</v>
      </c>
      <c r="J92" s="522" t="s">
        <v>1484</v>
      </c>
      <c r="K92" s="522" t="s">
        <v>1485</v>
      </c>
      <c r="L92" s="522" t="s">
        <v>1486</v>
      </c>
      <c r="M92" s="522" t="s">
        <v>1487</v>
      </c>
      <c r="N92" s="522" t="s">
        <v>1488</v>
      </c>
    </row>
    <row r="93" spans="1:37">
      <c r="A93" s="3079" t="s">
        <v>1615</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080"/>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080"/>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080"/>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080"/>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080"/>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080"/>
      <c r="B99" s="676" t="s">
        <v>1493</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081"/>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79" t="s">
        <v>1616</v>
      </c>
      <c r="B101" s="680" t="s">
        <v>1617</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080"/>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080"/>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080"/>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080"/>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080"/>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080"/>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080"/>
      <c r="B108" s="3082" t="s">
        <v>1503</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081"/>
      <c r="B109" s="3083"/>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68" t="s">
        <v>1618</v>
      </c>
      <c r="B110" s="3068"/>
      <c r="C110" s="3068"/>
      <c r="D110" s="3068"/>
      <c r="E110" s="3068"/>
      <c r="F110" s="3068"/>
      <c r="G110" s="3068"/>
      <c r="H110" s="3068"/>
      <c r="I110" s="3068"/>
      <c r="J110" s="3068"/>
      <c r="K110" s="682"/>
      <c r="L110" s="682"/>
      <c r="M110" s="682"/>
      <c r="N110" s="682"/>
    </row>
    <row r="113" spans="1:13" ht="24.75">
      <c r="A113" s="683" t="s">
        <v>1619</v>
      </c>
      <c r="B113" s="684">
        <f>G3</f>
        <v>0</v>
      </c>
      <c r="C113" s="685" t="s">
        <v>1620</v>
      </c>
      <c r="D113" s="686">
        <f>SUMPRODUCT((A115:A118=F113)*(B114:M114=H113)*B115:M118)</f>
        <v>0</v>
      </c>
      <c r="E113" s="687" t="s">
        <v>1552</v>
      </c>
      <c r="F113" s="688">
        <f>E2</f>
        <v>0</v>
      </c>
      <c r="G113" s="687" t="s">
        <v>1459</v>
      </c>
      <c r="H113" s="688">
        <f>G2</f>
        <v>0</v>
      </c>
      <c r="I113" s="687"/>
      <c r="J113" s="699"/>
      <c r="K113" s="699"/>
      <c r="L113" s="699"/>
      <c r="M113" s="699"/>
    </row>
    <row r="114" spans="1:13">
      <c r="A114" s="689"/>
      <c r="B114" s="690" t="s">
        <v>1621</v>
      </c>
      <c r="C114" s="690" t="s">
        <v>1622</v>
      </c>
      <c r="D114" s="690" t="s">
        <v>1623</v>
      </c>
      <c r="E114" s="691" t="s">
        <v>1624</v>
      </c>
      <c r="F114" s="691" t="s">
        <v>1625</v>
      </c>
      <c r="G114" s="691" t="s">
        <v>1626</v>
      </c>
      <c r="H114" s="692" t="s">
        <v>1627</v>
      </c>
      <c r="I114" s="692" t="s">
        <v>1628</v>
      </c>
      <c r="J114" s="700" t="s">
        <v>1629</v>
      </c>
      <c r="K114" s="700" t="s">
        <v>1630</v>
      </c>
      <c r="L114" s="700" t="s">
        <v>1631</v>
      </c>
      <c r="M114" s="701" t="s">
        <v>1632</v>
      </c>
    </row>
    <row r="115" spans="1:13">
      <c r="A115" s="693" t="s">
        <v>1553</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1554</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1555</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1556</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094" t="s">
        <v>1633</v>
      </c>
      <c r="B1" s="3094"/>
    </row>
    <row r="2" spans="1:6">
      <c r="A2" s="282"/>
      <c r="B2" s="282"/>
    </row>
    <row r="3" spans="1:6">
      <c r="A3" s="282"/>
      <c r="B3" s="282"/>
      <c r="C3" s="370" t="s">
        <v>1634</v>
      </c>
      <c r="D3" s="370" t="s">
        <v>1635</v>
      </c>
      <c r="E3" s="370" t="s">
        <v>369</v>
      </c>
      <c r="F3" s="370" t="s">
        <v>1636</v>
      </c>
    </row>
    <row r="4" spans="1:6">
      <c r="A4" s="371" t="s">
        <v>1637</v>
      </c>
      <c r="B4" s="372" t="s">
        <v>1638</v>
      </c>
      <c r="C4" s="370"/>
      <c r="D4" s="370"/>
      <c r="E4" s="370"/>
      <c r="F4" s="370"/>
    </row>
    <row r="5" spans="1:6">
      <c r="A5" s="288" t="s">
        <v>1639</v>
      </c>
      <c r="B5" s="289" t="s">
        <v>1640</v>
      </c>
      <c r="C5" s="373">
        <v>8.8999999999999996E-2</v>
      </c>
      <c r="D5" s="373">
        <v>7.3999999999999996E-2</v>
      </c>
      <c r="E5" s="373">
        <v>7.4999999999999997E-2</v>
      </c>
      <c r="F5" s="374">
        <v>0.1</v>
      </c>
    </row>
    <row r="6" spans="1:6">
      <c r="A6" s="288" t="s">
        <v>1639</v>
      </c>
      <c r="B6" s="293" t="s">
        <v>1641</v>
      </c>
      <c r="C6" s="375">
        <v>0.1</v>
      </c>
      <c r="D6" s="375">
        <v>9.0999999999999998E-2</v>
      </c>
      <c r="E6" s="375">
        <v>9.0999999999999998E-2</v>
      </c>
      <c r="F6" s="376">
        <v>0.1</v>
      </c>
    </row>
    <row r="7" spans="1:6">
      <c r="A7" s="288" t="s">
        <v>1639</v>
      </c>
      <c r="B7" s="297" t="s">
        <v>1642</v>
      </c>
      <c r="C7" s="375">
        <v>8.5999999999999993E-2</v>
      </c>
      <c r="D7" s="375">
        <v>9.6000000000000002E-2</v>
      </c>
      <c r="E7" s="375">
        <v>7.5999999999999998E-2</v>
      </c>
      <c r="F7" s="376">
        <v>0.1</v>
      </c>
    </row>
    <row r="8" spans="1:6">
      <c r="A8" s="288" t="s">
        <v>1639</v>
      </c>
      <c r="B8" s="293" t="s">
        <v>1643</v>
      </c>
      <c r="C8" s="375">
        <v>9.9000000000000005E-2</v>
      </c>
      <c r="D8" s="375">
        <v>9.8000000000000004E-2</v>
      </c>
      <c r="E8" s="375">
        <v>9.8000000000000004E-2</v>
      </c>
      <c r="F8" s="376">
        <v>0.1</v>
      </c>
    </row>
    <row r="9" spans="1:6">
      <c r="A9" s="306" t="s">
        <v>1639</v>
      </c>
      <c r="B9" s="298" t="s">
        <v>1644</v>
      </c>
      <c r="C9" s="377">
        <v>0.05</v>
      </c>
      <c r="D9" s="378"/>
      <c r="E9" s="378"/>
      <c r="F9" s="379"/>
    </row>
    <row r="10" spans="1:6">
      <c r="A10" s="288" t="s">
        <v>1645</v>
      </c>
      <c r="B10" s="289" t="s">
        <v>1646</v>
      </c>
      <c r="C10" s="373">
        <v>8.8999999999999996E-2</v>
      </c>
      <c r="D10" s="373">
        <v>7.2999999999999995E-2</v>
      </c>
      <c r="E10" s="373">
        <v>8.2000000000000003E-2</v>
      </c>
      <c r="F10" s="374">
        <v>0.1</v>
      </c>
    </row>
    <row r="11" spans="1:6">
      <c r="A11" s="288" t="s">
        <v>1645</v>
      </c>
      <c r="B11" s="297" t="s">
        <v>1647</v>
      </c>
      <c r="C11" s="375">
        <v>8.8999999999999996E-2</v>
      </c>
      <c r="D11" s="375">
        <v>7.2999999999999995E-2</v>
      </c>
      <c r="E11" s="375">
        <v>8.2000000000000003E-2</v>
      </c>
      <c r="F11" s="376">
        <v>0.1</v>
      </c>
    </row>
    <row r="12" spans="1:6">
      <c r="A12" s="288" t="s">
        <v>1645</v>
      </c>
      <c r="B12" s="297" t="s">
        <v>1648</v>
      </c>
      <c r="C12" s="375">
        <v>6.0999999999999999E-2</v>
      </c>
      <c r="D12" s="375">
        <v>7.0999999999999994E-2</v>
      </c>
      <c r="E12" s="375">
        <v>9.6000000000000002E-2</v>
      </c>
      <c r="F12" s="376">
        <v>0.1</v>
      </c>
    </row>
    <row r="13" spans="1:6">
      <c r="A13" s="288" t="s">
        <v>1645</v>
      </c>
      <c r="B13" s="297" t="s">
        <v>1649</v>
      </c>
      <c r="C13" s="375">
        <v>6.9000000000000006E-2</v>
      </c>
      <c r="D13" s="375">
        <v>6.5000000000000002E-2</v>
      </c>
      <c r="E13" s="375">
        <v>6.6000000000000003E-2</v>
      </c>
      <c r="F13" s="376">
        <v>0.1</v>
      </c>
    </row>
    <row r="14" spans="1:6">
      <c r="A14" s="288" t="s">
        <v>1645</v>
      </c>
      <c r="B14" s="297" t="s">
        <v>1650</v>
      </c>
      <c r="C14" s="375">
        <v>0.1</v>
      </c>
      <c r="D14" s="375">
        <v>6.5000000000000002E-2</v>
      </c>
      <c r="E14" s="375">
        <v>7.0000000000000007E-2</v>
      </c>
      <c r="F14" s="376">
        <v>0.1</v>
      </c>
    </row>
    <row r="15" spans="1:6">
      <c r="A15" s="288" t="s">
        <v>1645</v>
      </c>
      <c r="B15" s="297" t="s">
        <v>1651</v>
      </c>
      <c r="C15" s="375">
        <v>9.8000000000000004E-2</v>
      </c>
      <c r="D15" s="375">
        <v>8.8999999999999996E-2</v>
      </c>
      <c r="E15" s="375">
        <v>8.8999999999999996E-2</v>
      </c>
      <c r="F15" s="376">
        <v>0.1</v>
      </c>
    </row>
    <row r="16" spans="1:6">
      <c r="A16" s="288" t="s">
        <v>1645</v>
      </c>
      <c r="B16" s="297" t="s">
        <v>1652</v>
      </c>
      <c r="C16" s="375">
        <v>7.0000000000000007E-2</v>
      </c>
      <c r="D16" s="375">
        <v>9.2999999999999999E-2</v>
      </c>
      <c r="E16" s="375">
        <v>9.6000000000000002E-2</v>
      </c>
      <c r="F16" s="376">
        <v>0.1</v>
      </c>
    </row>
    <row r="17" spans="1:6">
      <c r="A17" s="288" t="s">
        <v>1645</v>
      </c>
      <c r="B17" s="297" t="s">
        <v>1653</v>
      </c>
      <c r="C17" s="375">
        <v>9.5000000000000001E-2</v>
      </c>
      <c r="D17" s="375">
        <v>0.1</v>
      </c>
      <c r="E17" s="375">
        <v>0.1</v>
      </c>
      <c r="F17" s="380"/>
    </row>
    <row r="18" spans="1:6">
      <c r="A18" s="288" t="s">
        <v>1645</v>
      </c>
      <c r="B18" s="297" t="s">
        <v>1654</v>
      </c>
      <c r="C18" s="375">
        <v>7.3999999999999996E-2</v>
      </c>
      <c r="D18" s="375">
        <v>9.9000000000000005E-2</v>
      </c>
      <c r="E18" s="375">
        <v>0.1</v>
      </c>
      <c r="F18" s="380"/>
    </row>
    <row r="19" spans="1:6">
      <c r="A19" s="288" t="s">
        <v>1645</v>
      </c>
      <c r="B19" s="297" t="s">
        <v>1655</v>
      </c>
      <c r="C19" s="375">
        <v>9.9000000000000005E-2</v>
      </c>
      <c r="D19" s="375">
        <v>7.5999999999999998E-2</v>
      </c>
      <c r="E19" s="375">
        <v>8.6999999999999994E-2</v>
      </c>
      <c r="F19" s="380"/>
    </row>
    <row r="20" spans="1:6">
      <c r="A20" s="288" t="s">
        <v>1645</v>
      </c>
      <c r="B20" s="297" t="s">
        <v>1656</v>
      </c>
      <c r="C20" s="375">
        <v>9.8000000000000004E-2</v>
      </c>
      <c r="D20" s="375">
        <v>8.5000000000000006E-2</v>
      </c>
      <c r="E20" s="375">
        <v>8.2000000000000003E-2</v>
      </c>
      <c r="F20" s="380"/>
    </row>
    <row r="21" spans="1:6">
      <c r="A21" s="288" t="s">
        <v>1645</v>
      </c>
      <c r="B21" s="297" t="s">
        <v>1657</v>
      </c>
      <c r="C21" s="375">
        <v>6.6000000000000003E-2</v>
      </c>
      <c r="D21" s="375">
        <v>6.4000000000000001E-2</v>
      </c>
      <c r="E21" s="375">
        <v>6.5000000000000002E-2</v>
      </c>
      <c r="F21" s="380"/>
    </row>
    <row r="22" spans="1:6">
      <c r="A22" s="288" t="s">
        <v>1645</v>
      </c>
      <c r="B22" s="297" t="s">
        <v>1658</v>
      </c>
      <c r="C22" s="375">
        <v>0.08</v>
      </c>
      <c r="D22" s="375">
        <v>9.8000000000000004E-2</v>
      </c>
      <c r="E22" s="375">
        <v>9.8000000000000004E-2</v>
      </c>
      <c r="F22" s="380"/>
    </row>
    <row r="23" spans="1:6">
      <c r="A23" s="288" t="s">
        <v>1645</v>
      </c>
      <c r="B23" s="297" t="s">
        <v>1659</v>
      </c>
      <c r="C23" s="375">
        <v>9.9000000000000005E-2</v>
      </c>
      <c r="D23" s="375">
        <v>9.8000000000000004E-2</v>
      </c>
      <c r="E23" s="375">
        <v>9.0999999999999998E-2</v>
      </c>
      <c r="F23" s="380"/>
    </row>
    <row r="24" spans="1:6">
      <c r="A24" s="288" t="s">
        <v>1645</v>
      </c>
      <c r="B24" s="297" t="s">
        <v>1660</v>
      </c>
      <c r="C24" s="375">
        <v>8.8999999999999996E-2</v>
      </c>
      <c r="D24" s="375">
        <v>9.7000000000000003E-2</v>
      </c>
      <c r="E24" s="375">
        <v>7.0000000000000007E-2</v>
      </c>
      <c r="F24" s="380"/>
    </row>
    <row r="25" spans="1:6">
      <c r="A25" s="288" t="s">
        <v>1645</v>
      </c>
      <c r="B25" s="297" t="s">
        <v>1661</v>
      </c>
      <c r="C25" s="375">
        <v>8.8999999999999996E-2</v>
      </c>
      <c r="D25" s="375">
        <v>0.1</v>
      </c>
      <c r="E25" s="375">
        <v>8.1000000000000003E-2</v>
      </c>
      <c r="F25" s="380"/>
    </row>
    <row r="26" spans="1:6">
      <c r="A26" s="288" t="s">
        <v>1645</v>
      </c>
      <c r="B26" s="297" t="s">
        <v>1662</v>
      </c>
      <c r="C26" s="381"/>
      <c r="D26" s="375">
        <v>9.6000000000000002E-2</v>
      </c>
      <c r="E26" s="375">
        <v>9.2999999999999999E-2</v>
      </c>
      <c r="F26" s="380"/>
    </row>
    <row r="27" spans="1:6">
      <c r="A27" s="288" t="s">
        <v>1645</v>
      </c>
      <c r="B27" s="297" t="s">
        <v>1663</v>
      </c>
      <c r="C27" s="381"/>
      <c r="D27" s="375">
        <v>7.5999999999999998E-2</v>
      </c>
      <c r="E27" s="375">
        <v>9.1999999999999998E-2</v>
      </c>
      <c r="F27" s="380"/>
    </row>
    <row r="28" spans="1:6">
      <c r="A28" s="306" t="s">
        <v>1645</v>
      </c>
      <c r="B28" s="298" t="s">
        <v>1664</v>
      </c>
      <c r="C28" s="378"/>
      <c r="D28" s="377">
        <v>7.5999999999999998E-2</v>
      </c>
      <c r="E28" s="377">
        <v>9.1999999999999998E-2</v>
      </c>
      <c r="F28" s="379"/>
    </row>
    <row r="29" spans="1:6">
      <c r="A29" s="288" t="s">
        <v>1665</v>
      </c>
      <c r="B29" s="289" t="s">
        <v>1666</v>
      </c>
      <c r="C29" s="373">
        <v>6.4000000000000001E-2</v>
      </c>
      <c r="D29" s="373">
        <v>6.5000000000000002E-2</v>
      </c>
      <c r="E29" s="373">
        <v>6.9000000000000006E-2</v>
      </c>
      <c r="F29" s="374">
        <v>0.1</v>
      </c>
    </row>
    <row r="30" spans="1:6">
      <c r="A30" s="288" t="s">
        <v>1665</v>
      </c>
      <c r="B30" s="297" t="s">
        <v>1667</v>
      </c>
      <c r="C30" s="375">
        <v>6.4000000000000001E-2</v>
      </c>
      <c r="D30" s="375">
        <v>9.9000000000000005E-2</v>
      </c>
      <c r="E30" s="375">
        <v>0.1</v>
      </c>
      <c r="F30" s="376">
        <v>0.1</v>
      </c>
    </row>
    <row r="31" spans="1:6">
      <c r="A31" s="288" t="s">
        <v>1665</v>
      </c>
      <c r="B31" s="297" t="s">
        <v>1668</v>
      </c>
      <c r="C31" s="375">
        <v>0.1</v>
      </c>
      <c r="D31" s="375">
        <v>9.5000000000000001E-2</v>
      </c>
      <c r="E31" s="375">
        <v>8.8999999999999996E-2</v>
      </c>
      <c r="F31" s="376">
        <v>0.1</v>
      </c>
    </row>
    <row r="32" spans="1:6">
      <c r="A32" s="288" t="s">
        <v>1665</v>
      </c>
      <c r="B32" s="297" t="s">
        <v>1669</v>
      </c>
      <c r="C32" s="375">
        <v>0.05</v>
      </c>
      <c r="D32" s="375">
        <v>0.05</v>
      </c>
      <c r="E32" s="375">
        <v>8.7999999999999995E-2</v>
      </c>
      <c r="F32" s="376">
        <v>0.1</v>
      </c>
    </row>
    <row r="33" spans="1:6">
      <c r="A33" s="288" t="s">
        <v>1665</v>
      </c>
      <c r="B33" s="297" t="s">
        <v>1670</v>
      </c>
      <c r="C33" s="375">
        <v>7.4999999999999997E-2</v>
      </c>
      <c r="D33" s="375">
        <v>9.4E-2</v>
      </c>
      <c r="E33" s="375">
        <v>9.7000000000000003E-2</v>
      </c>
      <c r="F33" s="376">
        <v>0.1</v>
      </c>
    </row>
    <row r="34" spans="1:6">
      <c r="A34" s="288" t="s">
        <v>1665</v>
      </c>
      <c r="B34" s="297" t="s">
        <v>1671</v>
      </c>
      <c r="C34" s="375">
        <v>9.8000000000000004E-2</v>
      </c>
      <c r="D34" s="375">
        <v>8.5999999999999993E-2</v>
      </c>
      <c r="E34" s="375">
        <v>9.7000000000000003E-2</v>
      </c>
      <c r="F34" s="376">
        <v>0.1</v>
      </c>
    </row>
    <row r="35" spans="1:6">
      <c r="A35" s="288" t="s">
        <v>1665</v>
      </c>
      <c r="B35" s="297" t="s">
        <v>1672</v>
      </c>
      <c r="C35" s="375">
        <v>5.8999999999999997E-2</v>
      </c>
      <c r="D35" s="375">
        <v>6.5000000000000002E-2</v>
      </c>
      <c r="E35" s="375">
        <v>7.0000000000000007E-2</v>
      </c>
      <c r="F35" s="376">
        <v>0.1</v>
      </c>
    </row>
    <row r="36" spans="1:6">
      <c r="A36" s="288" t="s">
        <v>1665</v>
      </c>
      <c r="B36" s="297" t="s">
        <v>1673</v>
      </c>
      <c r="C36" s="375">
        <v>6.3E-2</v>
      </c>
      <c r="D36" s="375">
        <v>0.1</v>
      </c>
      <c r="E36" s="375">
        <v>0.1</v>
      </c>
      <c r="F36" s="376">
        <v>0.1</v>
      </c>
    </row>
    <row r="37" spans="1:6">
      <c r="A37" s="288" t="s">
        <v>1665</v>
      </c>
      <c r="B37" s="297" t="s">
        <v>1674</v>
      </c>
      <c r="C37" s="375">
        <v>7.3999999999999996E-2</v>
      </c>
      <c r="D37" s="375">
        <v>0.1</v>
      </c>
      <c r="E37" s="375">
        <v>0.1</v>
      </c>
      <c r="F37" s="376">
        <v>0.1</v>
      </c>
    </row>
    <row r="38" spans="1:6">
      <c r="A38" s="288" t="s">
        <v>1665</v>
      </c>
      <c r="B38" s="297" t="s">
        <v>1675</v>
      </c>
      <c r="C38" s="375">
        <v>0.1</v>
      </c>
      <c r="D38" s="375">
        <v>9.6000000000000002E-2</v>
      </c>
      <c r="E38" s="375">
        <v>9.6000000000000002E-2</v>
      </c>
      <c r="F38" s="380"/>
    </row>
    <row r="39" spans="1:6">
      <c r="A39" s="288" t="s">
        <v>1665</v>
      </c>
      <c r="B39" s="297" t="s">
        <v>1676</v>
      </c>
      <c r="C39" s="375">
        <v>0.1</v>
      </c>
      <c r="D39" s="375">
        <v>9.6000000000000002E-2</v>
      </c>
      <c r="E39" s="375">
        <v>9.6000000000000002E-2</v>
      </c>
      <c r="F39" s="380"/>
    </row>
    <row r="40" spans="1:6">
      <c r="A40" s="288" t="s">
        <v>1665</v>
      </c>
      <c r="B40" s="297" t="s">
        <v>1677</v>
      </c>
      <c r="C40" s="375">
        <v>9.6000000000000002E-2</v>
      </c>
      <c r="D40" s="375">
        <v>0.1</v>
      </c>
      <c r="E40" s="375">
        <v>9.9000000000000005E-2</v>
      </c>
      <c r="F40" s="380"/>
    </row>
    <row r="41" spans="1:6">
      <c r="A41" s="288" t="s">
        <v>1665</v>
      </c>
      <c r="B41" s="297" t="s">
        <v>1678</v>
      </c>
      <c r="C41" s="375">
        <v>9.6000000000000002E-2</v>
      </c>
      <c r="D41" s="375">
        <v>9.8000000000000004E-2</v>
      </c>
      <c r="E41" s="375">
        <v>9.8000000000000004E-2</v>
      </c>
      <c r="F41" s="380"/>
    </row>
    <row r="42" spans="1:6">
      <c r="A42" s="288" t="s">
        <v>1665</v>
      </c>
      <c r="B42" s="297" t="s">
        <v>1679</v>
      </c>
      <c r="C42" s="375">
        <v>0.1</v>
      </c>
      <c r="D42" s="375">
        <v>8.7999999999999995E-2</v>
      </c>
      <c r="E42" s="375">
        <v>0.1</v>
      </c>
      <c r="F42" s="380"/>
    </row>
    <row r="43" spans="1:6">
      <c r="A43" s="288" t="s">
        <v>1665</v>
      </c>
      <c r="B43" s="297" t="s">
        <v>1680</v>
      </c>
      <c r="C43" s="375">
        <v>9.8000000000000004E-2</v>
      </c>
      <c r="D43" s="375">
        <v>9.7000000000000003E-2</v>
      </c>
      <c r="E43" s="375">
        <v>9.6000000000000002E-2</v>
      </c>
      <c r="F43" s="380"/>
    </row>
    <row r="44" spans="1:6">
      <c r="A44" s="288" t="s">
        <v>1665</v>
      </c>
      <c r="B44" s="297" t="s">
        <v>1681</v>
      </c>
      <c r="C44" s="375">
        <v>8.5999999999999993E-2</v>
      </c>
      <c r="D44" s="375">
        <v>7.9000000000000001E-2</v>
      </c>
      <c r="E44" s="375">
        <v>7.0999999999999994E-2</v>
      </c>
      <c r="F44" s="380"/>
    </row>
    <row r="45" spans="1:6">
      <c r="A45" s="288" t="s">
        <v>1665</v>
      </c>
      <c r="B45" s="297" t="s">
        <v>1682</v>
      </c>
      <c r="C45" s="375">
        <v>9.8000000000000004E-2</v>
      </c>
      <c r="D45" s="375">
        <v>9.6000000000000002E-2</v>
      </c>
      <c r="E45" s="375">
        <v>9.6000000000000002E-2</v>
      </c>
      <c r="F45" s="380"/>
    </row>
    <row r="46" spans="1:6">
      <c r="A46" s="288" t="s">
        <v>1665</v>
      </c>
      <c r="B46" s="297" t="s">
        <v>1683</v>
      </c>
      <c r="C46" s="375">
        <v>8.5999999999999993E-2</v>
      </c>
      <c r="D46" s="375">
        <v>9.8000000000000004E-2</v>
      </c>
      <c r="E46" s="375">
        <v>8.7999999999999995E-2</v>
      </c>
      <c r="F46" s="380"/>
    </row>
    <row r="47" spans="1:6">
      <c r="A47" s="288" t="s">
        <v>1665</v>
      </c>
      <c r="B47" s="297" t="s">
        <v>1684</v>
      </c>
      <c r="C47" s="375">
        <v>9.6000000000000002E-2</v>
      </c>
      <c r="D47" s="381"/>
      <c r="E47" s="375">
        <v>6.9000000000000006E-2</v>
      </c>
      <c r="F47" s="380"/>
    </row>
    <row r="48" spans="1:6">
      <c r="A48" s="306" t="s">
        <v>1665</v>
      </c>
      <c r="B48" s="298" t="s">
        <v>1685</v>
      </c>
      <c r="C48" s="377">
        <v>9.8000000000000004E-2</v>
      </c>
      <c r="D48" s="378"/>
      <c r="E48" s="377">
        <v>9.5000000000000001E-2</v>
      </c>
      <c r="F48" s="379"/>
    </row>
    <row r="49" spans="1:6">
      <c r="A49" s="288" t="s">
        <v>1686</v>
      </c>
      <c r="B49" s="289" t="s">
        <v>1687</v>
      </c>
      <c r="C49" s="373">
        <v>9.7000000000000003E-2</v>
      </c>
      <c r="D49" s="373">
        <v>9.5000000000000001E-2</v>
      </c>
      <c r="E49" s="373">
        <v>9.7000000000000003E-2</v>
      </c>
      <c r="F49" s="374">
        <v>0.1</v>
      </c>
    </row>
    <row r="50" spans="1:6">
      <c r="A50" s="288" t="s">
        <v>1686</v>
      </c>
      <c r="B50" s="293" t="s">
        <v>1688</v>
      </c>
      <c r="C50" s="375">
        <v>7.4999999999999997E-2</v>
      </c>
      <c r="D50" s="375">
        <v>9.5000000000000001E-2</v>
      </c>
      <c r="E50" s="375">
        <v>0.1</v>
      </c>
      <c r="F50" s="376">
        <v>0.1</v>
      </c>
    </row>
    <row r="51" spans="1:6">
      <c r="A51" s="288" t="s">
        <v>1686</v>
      </c>
      <c r="B51" s="293" t="s">
        <v>1689</v>
      </c>
      <c r="C51" s="375">
        <v>9.8000000000000004E-2</v>
      </c>
      <c r="D51" s="375">
        <v>8.8999999999999996E-2</v>
      </c>
      <c r="E51" s="375">
        <v>0.1</v>
      </c>
      <c r="F51" s="376">
        <v>0.1</v>
      </c>
    </row>
    <row r="52" spans="1:6">
      <c r="A52" s="288" t="s">
        <v>1686</v>
      </c>
      <c r="B52" s="293" t="s">
        <v>1690</v>
      </c>
      <c r="C52" s="375">
        <v>9.8000000000000004E-2</v>
      </c>
      <c r="D52" s="375">
        <v>9.7000000000000003E-2</v>
      </c>
      <c r="E52" s="375">
        <v>8.1000000000000003E-2</v>
      </c>
      <c r="F52" s="376">
        <v>0.1</v>
      </c>
    </row>
    <row r="53" spans="1:6">
      <c r="A53" s="288" t="s">
        <v>1686</v>
      </c>
      <c r="B53" s="293" t="s">
        <v>1691</v>
      </c>
      <c r="C53" s="375">
        <v>9.7000000000000003E-2</v>
      </c>
      <c r="D53" s="375">
        <v>7.5999999999999998E-2</v>
      </c>
      <c r="E53" s="375">
        <v>7.0999999999999994E-2</v>
      </c>
      <c r="F53" s="376">
        <v>0.1</v>
      </c>
    </row>
    <row r="54" spans="1:6">
      <c r="A54" s="288" t="s">
        <v>1686</v>
      </c>
      <c r="B54" s="293" t="s">
        <v>1692</v>
      </c>
      <c r="C54" s="375">
        <v>7.5999999999999998E-2</v>
      </c>
      <c r="D54" s="375">
        <v>0.1</v>
      </c>
      <c r="E54" s="375">
        <v>9.9000000000000005E-2</v>
      </c>
      <c r="F54" s="376">
        <v>0.1</v>
      </c>
    </row>
    <row r="55" spans="1:6">
      <c r="A55" s="288" t="s">
        <v>1686</v>
      </c>
      <c r="B55" s="293" t="s">
        <v>1693</v>
      </c>
      <c r="C55" s="375">
        <v>0.1</v>
      </c>
      <c r="D55" s="375">
        <v>0.1</v>
      </c>
      <c r="E55" s="375">
        <v>9.6000000000000002E-2</v>
      </c>
      <c r="F55" s="376">
        <v>0.1</v>
      </c>
    </row>
    <row r="56" spans="1:6">
      <c r="A56" s="288" t="s">
        <v>1686</v>
      </c>
      <c r="B56" s="293" t="s">
        <v>1694</v>
      </c>
      <c r="C56" s="375">
        <v>0.1</v>
      </c>
      <c r="D56" s="375">
        <v>9.6000000000000002E-2</v>
      </c>
      <c r="E56" s="375">
        <v>5.1999999999999998E-2</v>
      </c>
      <c r="F56" s="376">
        <v>0.1</v>
      </c>
    </row>
    <row r="57" spans="1:6">
      <c r="A57" s="288" t="s">
        <v>1686</v>
      </c>
      <c r="B57" s="293" t="s">
        <v>1695</v>
      </c>
      <c r="C57" s="375">
        <v>9.7000000000000003E-2</v>
      </c>
      <c r="D57" s="375">
        <v>9.6000000000000002E-2</v>
      </c>
      <c r="E57" s="375">
        <v>9.6000000000000002E-2</v>
      </c>
      <c r="F57" s="376">
        <v>0.1</v>
      </c>
    </row>
    <row r="58" spans="1:6">
      <c r="A58" s="288" t="s">
        <v>1686</v>
      </c>
      <c r="B58" s="293" t="s">
        <v>1696</v>
      </c>
      <c r="C58" s="375">
        <v>9.6000000000000002E-2</v>
      </c>
      <c r="D58" s="375">
        <v>9.9000000000000005E-2</v>
      </c>
      <c r="E58" s="375">
        <v>9.6000000000000002E-2</v>
      </c>
      <c r="F58" s="376">
        <v>0.1</v>
      </c>
    </row>
    <row r="59" spans="1:6">
      <c r="A59" s="288" t="s">
        <v>1686</v>
      </c>
      <c r="B59" s="293" t="s">
        <v>1697</v>
      </c>
      <c r="C59" s="375">
        <v>7.1999999999999995E-2</v>
      </c>
      <c r="D59" s="375">
        <v>9.6000000000000002E-2</v>
      </c>
      <c r="E59" s="375">
        <v>7.0999999999999994E-2</v>
      </c>
      <c r="F59" s="376">
        <v>0.1</v>
      </c>
    </row>
    <row r="60" spans="1:6">
      <c r="A60" s="288" t="s">
        <v>1686</v>
      </c>
      <c r="B60" s="293" t="s">
        <v>1698</v>
      </c>
      <c r="C60" s="375">
        <v>9.6000000000000002E-2</v>
      </c>
      <c r="D60" s="375">
        <v>8.8999999999999996E-2</v>
      </c>
      <c r="E60" s="375">
        <v>9.6000000000000002E-2</v>
      </c>
      <c r="F60" s="376">
        <v>0.1</v>
      </c>
    </row>
    <row r="61" spans="1:6">
      <c r="A61" s="288" t="s">
        <v>1686</v>
      </c>
      <c r="B61" s="293" t="s">
        <v>1699</v>
      </c>
      <c r="C61" s="375">
        <v>8.8999999999999996E-2</v>
      </c>
      <c r="D61" s="375">
        <v>9.8000000000000004E-2</v>
      </c>
      <c r="E61" s="375">
        <v>8.7999999999999995E-2</v>
      </c>
      <c r="F61" s="380"/>
    </row>
    <row r="62" spans="1:6">
      <c r="A62" s="288" t="s">
        <v>1686</v>
      </c>
      <c r="B62" s="293" t="s">
        <v>1700</v>
      </c>
      <c r="C62" s="375">
        <v>9.8000000000000004E-2</v>
      </c>
      <c r="D62" s="375">
        <v>9.2999999999999999E-2</v>
      </c>
      <c r="E62" s="375">
        <v>9.7000000000000003E-2</v>
      </c>
      <c r="F62" s="380"/>
    </row>
    <row r="63" spans="1:6">
      <c r="A63" s="288" t="s">
        <v>1686</v>
      </c>
      <c r="B63" s="293" t="s">
        <v>1701</v>
      </c>
      <c r="C63" s="375">
        <v>9.6000000000000002E-2</v>
      </c>
      <c r="D63" s="375">
        <v>9.8000000000000004E-2</v>
      </c>
      <c r="E63" s="375">
        <v>0.09</v>
      </c>
      <c r="F63" s="380"/>
    </row>
    <row r="64" spans="1:6">
      <c r="A64" s="288" t="s">
        <v>1686</v>
      </c>
      <c r="B64" s="293" t="s">
        <v>1702</v>
      </c>
      <c r="C64" s="375">
        <v>9.9000000000000005E-2</v>
      </c>
      <c r="D64" s="375">
        <v>9.7000000000000003E-2</v>
      </c>
      <c r="E64" s="375">
        <v>9.9000000000000005E-2</v>
      </c>
      <c r="F64" s="380"/>
    </row>
    <row r="65" spans="1:6">
      <c r="A65" s="288" t="s">
        <v>1686</v>
      </c>
      <c r="B65" s="293" t="s">
        <v>1703</v>
      </c>
      <c r="C65" s="375">
        <v>9.8000000000000004E-2</v>
      </c>
      <c r="D65" s="375">
        <v>9.6000000000000002E-2</v>
      </c>
      <c r="E65" s="375">
        <v>9.6000000000000002E-2</v>
      </c>
      <c r="F65" s="380"/>
    </row>
    <row r="66" spans="1:6">
      <c r="A66" s="288" t="s">
        <v>1686</v>
      </c>
      <c r="B66" s="293" t="s">
        <v>1704</v>
      </c>
      <c r="C66" s="375">
        <v>9.6000000000000002E-2</v>
      </c>
      <c r="D66" s="375">
        <v>9.1999999999999998E-2</v>
      </c>
      <c r="E66" s="375">
        <v>9.6000000000000002E-2</v>
      </c>
      <c r="F66" s="380"/>
    </row>
    <row r="67" spans="1:6">
      <c r="A67" s="288" t="s">
        <v>1686</v>
      </c>
      <c r="B67" s="293" t="s">
        <v>1705</v>
      </c>
      <c r="C67" s="375">
        <v>9.4E-2</v>
      </c>
      <c r="D67" s="375">
        <v>0.1</v>
      </c>
      <c r="E67" s="375">
        <v>8.7999999999999995E-2</v>
      </c>
      <c r="F67" s="380"/>
    </row>
    <row r="68" spans="1:6">
      <c r="A68" s="288" t="s">
        <v>1686</v>
      </c>
      <c r="B68" s="293" t="s">
        <v>1706</v>
      </c>
      <c r="C68" s="375">
        <v>0.1</v>
      </c>
      <c r="D68" s="375">
        <v>8.7999999999999995E-2</v>
      </c>
      <c r="E68" s="375">
        <v>9.7000000000000003E-2</v>
      </c>
      <c r="F68" s="380"/>
    </row>
    <row r="69" spans="1:6">
      <c r="A69" s="288" t="s">
        <v>1686</v>
      </c>
      <c r="B69" s="293" t="s">
        <v>1707</v>
      </c>
      <c r="C69" s="375">
        <v>6.4000000000000001E-2</v>
      </c>
      <c r="D69" s="375">
        <v>0.1</v>
      </c>
      <c r="E69" s="375">
        <v>0.1</v>
      </c>
      <c r="F69" s="380"/>
    </row>
    <row r="70" spans="1:6">
      <c r="A70" s="288" t="s">
        <v>1686</v>
      </c>
      <c r="B70" s="293" t="s">
        <v>1708</v>
      </c>
      <c r="C70" s="375">
        <v>9.0999999999999998E-2</v>
      </c>
      <c r="D70" s="381"/>
      <c r="E70" s="381"/>
      <c r="F70" s="380"/>
    </row>
    <row r="71" spans="1:6">
      <c r="A71" s="288" t="s">
        <v>1686</v>
      </c>
      <c r="B71" s="293" t="s">
        <v>1709</v>
      </c>
      <c r="C71" s="375">
        <v>0.1</v>
      </c>
      <c r="D71" s="381"/>
      <c r="E71" s="381"/>
      <c r="F71" s="380"/>
    </row>
    <row r="72" spans="1:6">
      <c r="A72" s="288" t="s">
        <v>1686</v>
      </c>
      <c r="B72" s="293" t="s">
        <v>1710</v>
      </c>
      <c r="C72" s="381"/>
      <c r="D72" s="381"/>
      <c r="E72" s="381"/>
      <c r="F72" s="376">
        <v>0.05</v>
      </c>
    </row>
    <row r="73" spans="1:6">
      <c r="A73" s="288" t="s">
        <v>1686</v>
      </c>
      <c r="B73" s="293" t="s">
        <v>1711</v>
      </c>
      <c r="C73" s="381"/>
      <c r="D73" s="381"/>
      <c r="E73" s="381"/>
      <c r="F73" s="376">
        <v>0.05</v>
      </c>
    </row>
    <row r="74" spans="1:6">
      <c r="A74" s="288" t="s">
        <v>1686</v>
      </c>
      <c r="B74" s="293" t="s">
        <v>1712</v>
      </c>
      <c r="C74" s="381"/>
      <c r="D74" s="381"/>
      <c r="E74" s="381"/>
      <c r="F74" s="376">
        <v>0.05</v>
      </c>
    </row>
    <row r="75" spans="1:6">
      <c r="A75" s="306" t="s">
        <v>1686</v>
      </c>
      <c r="B75" s="299" t="s">
        <v>1713</v>
      </c>
      <c r="C75" s="378"/>
      <c r="D75" s="378"/>
      <c r="E75" s="378"/>
      <c r="F75" s="382">
        <v>0.05</v>
      </c>
    </row>
    <row r="76" spans="1:6">
      <c r="A76" s="288" t="s">
        <v>1714</v>
      </c>
      <c r="B76" s="289" t="s">
        <v>1715</v>
      </c>
      <c r="C76" s="373">
        <v>0.1</v>
      </c>
      <c r="D76" s="373">
        <v>0.1</v>
      </c>
      <c r="E76" s="373">
        <v>0.1</v>
      </c>
      <c r="F76" s="374">
        <v>0.1</v>
      </c>
    </row>
    <row r="77" spans="1:6">
      <c r="A77" s="288" t="s">
        <v>1714</v>
      </c>
      <c r="B77" s="293" t="s">
        <v>1716</v>
      </c>
      <c r="C77" s="375">
        <v>8.7999999999999995E-2</v>
      </c>
      <c r="D77" s="375">
        <v>8.6999999999999994E-2</v>
      </c>
      <c r="E77" s="375">
        <v>7.9000000000000001E-2</v>
      </c>
      <c r="F77" s="376">
        <v>0.1</v>
      </c>
    </row>
    <row r="78" spans="1:6">
      <c r="A78" s="288" t="s">
        <v>1714</v>
      </c>
      <c r="B78" s="293" t="s">
        <v>1717</v>
      </c>
      <c r="C78" s="375">
        <v>8.6999999999999994E-2</v>
      </c>
      <c r="D78" s="375">
        <v>8.4000000000000005E-2</v>
      </c>
      <c r="E78" s="375">
        <v>9.6000000000000002E-2</v>
      </c>
      <c r="F78" s="376">
        <v>0.1</v>
      </c>
    </row>
    <row r="79" spans="1:6">
      <c r="A79" s="288" t="s">
        <v>1714</v>
      </c>
      <c r="B79" s="293" t="s">
        <v>1718</v>
      </c>
      <c r="C79" s="375">
        <v>9.8000000000000004E-2</v>
      </c>
      <c r="D79" s="375">
        <v>9.8000000000000004E-2</v>
      </c>
      <c r="E79" s="375">
        <v>9.0999999999999998E-2</v>
      </c>
      <c r="F79" s="376">
        <v>0.1</v>
      </c>
    </row>
    <row r="80" spans="1:6">
      <c r="A80" s="288" t="s">
        <v>1714</v>
      </c>
      <c r="B80" s="293" t="s">
        <v>1719</v>
      </c>
      <c r="C80" s="375">
        <v>9.6000000000000002E-2</v>
      </c>
      <c r="D80" s="375">
        <v>9.6000000000000002E-2</v>
      </c>
      <c r="E80" s="375">
        <v>0.1</v>
      </c>
      <c r="F80" s="376">
        <v>0.1</v>
      </c>
    </row>
    <row r="81" spans="1:6">
      <c r="A81" s="288" t="s">
        <v>1714</v>
      </c>
      <c r="B81" s="293" t="s">
        <v>1720</v>
      </c>
      <c r="C81" s="375">
        <v>9.9000000000000005E-2</v>
      </c>
      <c r="D81" s="375">
        <v>9.9000000000000005E-2</v>
      </c>
      <c r="E81" s="375">
        <v>9.8000000000000004E-2</v>
      </c>
      <c r="F81" s="376">
        <v>0.1</v>
      </c>
    </row>
    <row r="82" spans="1:6">
      <c r="A82" s="288" t="s">
        <v>1714</v>
      </c>
      <c r="B82" s="293" t="s">
        <v>1721</v>
      </c>
      <c r="C82" s="375">
        <v>9.9000000000000005E-2</v>
      </c>
      <c r="D82" s="375">
        <v>9.9000000000000005E-2</v>
      </c>
      <c r="E82" s="375">
        <v>9.7000000000000003E-2</v>
      </c>
      <c r="F82" s="376">
        <v>0.1</v>
      </c>
    </row>
    <row r="83" spans="1:6">
      <c r="A83" s="288" t="s">
        <v>1714</v>
      </c>
      <c r="B83" s="293" t="s">
        <v>1722</v>
      </c>
      <c r="C83" s="375">
        <v>9.8000000000000004E-2</v>
      </c>
      <c r="D83" s="375">
        <v>9.8000000000000004E-2</v>
      </c>
      <c r="E83" s="375">
        <v>9.8000000000000004E-2</v>
      </c>
      <c r="F83" s="376">
        <v>0.1</v>
      </c>
    </row>
    <row r="84" spans="1:6">
      <c r="A84" s="288" t="s">
        <v>1714</v>
      </c>
      <c r="B84" s="293" t="s">
        <v>1723</v>
      </c>
      <c r="C84" s="375">
        <v>9.9000000000000005E-2</v>
      </c>
      <c r="D84" s="375">
        <v>9.9000000000000005E-2</v>
      </c>
      <c r="E84" s="375">
        <v>9.9000000000000005E-2</v>
      </c>
      <c r="F84" s="376">
        <v>0.1</v>
      </c>
    </row>
    <row r="85" spans="1:6">
      <c r="A85" s="288" t="s">
        <v>1714</v>
      </c>
      <c r="B85" s="293" t="s">
        <v>1724</v>
      </c>
      <c r="C85" s="375">
        <v>9.9000000000000005E-2</v>
      </c>
      <c r="D85" s="375">
        <v>9.9000000000000005E-2</v>
      </c>
      <c r="E85" s="375">
        <v>9.9000000000000005E-2</v>
      </c>
      <c r="F85" s="376">
        <v>0.1</v>
      </c>
    </row>
    <row r="86" spans="1:6">
      <c r="A86" s="288" t="s">
        <v>1714</v>
      </c>
      <c r="B86" s="293" t="s">
        <v>1725</v>
      </c>
      <c r="C86" s="375">
        <v>0.1</v>
      </c>
      <c r="D86" s="375">
        <v>0.1</v>
      </c>
      <c r="E86" s="375">
        <v>7.6999999999999999E-2</v>
      </c>
      <c r="F86" s="376">
        <v>0.1</v>
      </c>
    </row>
    <row r="87" spans="1:6">
      <c r="A87" s="288" t="s">
        <v>1714</v>
      </c>
      <c r="B87" s="293" t="s">
        <v>1726</v>
      </c>
      <c r="C87" s="375">
        <v>0.1</v>
      </c>
      <c r="D87" s="375">
        <v>0.1</v>
      </c>
      <c r="E87" s="375">
        <v>9.8000000000000004E-2</v>
      </c>
      <c r="F87" s="380"/>
    </row>
    <row r="88" spans="1:6">
      <c r="A88" s="288" t="s">
        <v>1714</v>
      </c>
      <c r="B88" s="293" t="s">
        <v>1727</v>
      </c>
      <c r="C88" s="375">
        <v>9.1999999999999998E-2</v>
      </c>
      <c r="D88" s="375">
        <v>8.5000000000000006E-2</v>
      </c>
      <c r="E88" s="375">
        <v>9.6000000000000002E-2</v>
      </c>
      <c r="F88" s="380"/>
    </row>
    <row r="89" spans="1:6">
      <c r="A89" s="288" t="s">
        <v>1714</v>
      </c>
      <c r="B89" s="293" t="s">
        <v>1728</v>
      </c>
      <c r="C89" s="375">
        <v>0.1</v>
      </c>
      <c r="D89" s="375">
        <v>0.1</v>
      </c>
      <c r="E89" s="375">
        <v>9.7000000000000003E-2</v>
      </c>
      <c r="F89" s="380"/>
    </row>
    <row r="90" spans="1:6">
      <c r="A90" s="288" t="s">
        <v>1714</v>
      </c>
      <c r="B90" s="293" t="s">
        <v>1729</v>
      </c>
      <c r="C90" s="375">
        <v>9.8000000000000004E-2</v>
      </c>
      <c r="D90" s="375">
        <v>9.8000000000000004E-2</v>
      </c>
      <c r="E90" s="375">
        <v>8.7999999999999995E-2</v>
      </c>
      <c r="F90" s="380"/>
    </row>
    <row r="91" spans="1:6">
      <c r="A91" s="288" t="s">
        <v>1714</v>
      </c>
      <c r="B91" s="293" t="s">
        <v>1730</v>
      </c>
      <c r="C91" s="375">
        <v>9.9000000000000005E-2</v>
      </c>
      <c r="D91" s="375">
        <v>9.9000000000000005E-2</v>
      </c>
      <c r="E91" s="375">
        <v>9.0999999999999998E-2</v>
      </c>
      <c r="F91" s="380"/>
    </row>
    <row r="92" spans="1:6">
      <c r="A92" s="288" t="s">
        <v>1714</v>
      </c>
      <c r="B92" s="293" t="s">
        <v>1731</v>
      </c>
      <c r="C92" s="375">
        <v>9.6000000000000002E-2</v>
      </c>
      <c r="D92" s="375">
        <v>9.6000000000000002E-2</v>
      </c>
      <c r="E92" s="375">
        <v>7.2999999999999995E-2</v>
      </c>
      <c r="F92" s="380"/>
    </row>
    <row r="93" spans="1:6">
      <c r="A93" s="288" t="s">
        <v>1714</v>
      </c>
      <c r="B93" s="293" t="s">
        <v>1732</v>
      </c>
      <c r="C93" s="375">
        <v>9.6000000000000002E-2</v>
      </c>
      <c r="D93" s="375">
        <v>9.6000000000000002E-2</v>
      </c>
      <c r="E93" s="375">
        <v>9.9000000000000005E-2</v>
      </c>
      <c r="F93" s="380"/>
    </row>
    <row r="94" spans="1:6">
      <c r="A94" s="288" t="s">
        <v>1714</v>
      </c>
      <c r="B94" s="293" t="s">
        <v>1733</v>
      </c>
      <c r="C94" s="375">
        <v>7.5999999999999998E-2</v>
      </c>
      <c r="D94" s="375">
        <v>7.3999999999999996E-2</v>
      </c>
      <c r="E94" s="375">
        <v>9.7000000000000003E-2</v>
      </c>
      <c r="F94" s="380"/>
    </row>
    <row r="95" spans="1:6">
      <c r="A95" s="288" t="s">
        <v>1714</v>
      </c>
      <c r="B95" s="293" t="s">
        <v>1734</v>
      </c>
      <c r="C95" s="375">
        <v>9.9000000000000005E-2</v>
      </c>
      <c r="D95" s="375">
        <v>9.4E-2</v>
      </c>
      <c r="E95" s="375">
        <v>9.6000000000000002E-2</v>
      </c>
      <c r="F95" s="380"/>
    </row>
    <row r="96" spans="1:6">
      <c r="A96" s="288" t="s">
        <v>1714</v>
      </c>
      <c r="B96" s="293" t="s">
        <v>1735</v>
      </c>
      <c r="C96" s="375">
        <v>9.9000000000000005E-2</v>
      </c>
      <c r="D96" s="375">
        <v>9.9000000000000005E-2</v>
      </c>
      <c r="E96" s="375">
        <v>9.9000000000000005E-2</v>
      </c>
      <c r="F96" s="380"/>
    </row>
    <row r="97" spans="1:6">
      <c r="A97" s="288" t="s">
        <v>1714</v>
      </c>
      <c r="B97" s="293" t="s">
        <v>1736</v>
      </c>
      <c r="C97" s="375">
        <v>9.8000000000000004E-2</v>
      </c>
      <c r="D97" s="375">
        <v>9.8000000000000004E-2</v>
      </c>
      <c r="E97" s="375">
        <v>9.7000000000000003E-2</v>
      </c>
      <c r="F97" s="380"/>
    </row>
    <row r="98" spans="1:6">
      <c r="A98" s="288" t="s">
        <v>1714</v>
      </c>
      <c r="B98" s="293" t="s">
        <v>1737</v>
      </c>
      <c r="C98" s="375">
        <v>0.1</v>
      </c>
      <c r="D98" s="375">
        <v>0.1</v>
      </c>
      <c r="E98" s="375">
        <v>9.7000000000000003E-2</v>
      </c>
      <c r="F98" s="380"/>
    </row>
    <row r="99" spans="1:6">
      <c r="A99" s="288" t="s">
        <v>1714</v>
      </c>
      <c r="B99" s="293" t="s">
        <v>1738</v>
      </c>
      <c r="C99" s="375">
        <v>0.1</v>
      </c>
      <c r="D99" s="375">
        <v>0.1</v>
      </c>
      <c r="E99" s="381"/>
      <c r="F99" s="380"/>
    </row>
    <row r="100" spans="1:6">
      <c r="A100" s="288" t="s">
        <v>1714</v>
      </c>
      <c r="B100" s="293" t="s">
        <v>1739</v>
      </c>
      <c r="C100" s="375">
        <v>0.09</v>
      </c>
      <c r="D100" s="375">
        <v>8.8999999999999996E-2</v>
      </c>
      <c r="E100" s="381"/>
      <c r="F100" s="380"/>
    </row>
    <row r="101" spans="1:6">
      <c r="A101" s="288" t="s">
        <v>1714</v>
      </c>
      <c r="B101" s="293" t="s">
        <v>1740</v>
      </c>
      <c r="C101" s="375">
        <v>9.8000000000000004E-2</v>
      </c>
      <c r="D101" s="375">
        <v>9.7000000000000003E-2</v>
      </c>
      <c r="E101" s="381"/>
      <c r="F101" s="380"/>
    </row>
    <row r="102" spans="1:6">
      <c r="A102" s="288" t="s">
        <v>1714</v>
      </c>
      <c r="B102" s="293" t="s">
        <v>1741</v>
      </c>
      <c r="C102" s="381"/>
      <c r="D102" s="381"/>
      <c r="E102" s="381"/>
      <c r="F102" s="376">
        <v>0.05</v>
      </c>
    </row>
    <row r="103" spans="1:6" ht="24">
      <c r="A103" s="288" t="s">
        <v>1714</v>
      </c>
      <c r="B103" s="293" t="s">
        <v>1742</v>
      </c>
      <c r="C103" s="381"/>
      <c r="D103" s="381"/>
      <c r="E103" s="381"/>
      <c r="F103" s="376">
        <v>0.05</v>
      </c>
    </row>
    <row r="104" spans="1:6">
      <c r="A104" s="288" t="s">
        <v>1714</v>
      </c>
      <c r="B104" s="293" t="s">
        <v>1743</v>
      </c>
      <c r="C104" s="381"/>
      <c r="D104" s="381"/>
      <c r="E104" s="381"/>
      <c r="F104" s="376">
        <v>0.05</v>
      </c>
    </row>
    <row r="105" spans="1:6">
      <c r="A105" s="288" t="s">
        <v>1714</v>
      </c>
      <c r="B105" s="293" t="s">
        <v>1744</v>
      </c>
      <c r="C105" s="381"/>
      <c r="D105" s="381"/>
      <c r="E105" s="381"/>
      <c r="F105" s="376">
        <v>0.05</v>
      </c>
    </row>
    <row r="106" spans="1:6">
      <c r="A106" s="288" t="s">
        <v>1714</v>
      </c>
      <c r="B106" s="293" t="s">
        <v>1745</v>
      </c>
      <c r="C106" s="381"/>
      <c r="D106" s="381"/>
      <c r="E106" s="381"/>
      <c r="F106" s="376">
        <v>0.05</v>
      </c>
    </row>
    <row r="107" spans="1:6" ht="24">
      <c r="A107" s="288" t="s">
        <v>1714</v>
      </c>
      <c r="B107" s="293" t="s">
        <v>1746</v>
      </c>
      <c r="C107" s="381"/>
      <c r="D107" s="381"/>
      <c r="E107" s="381"/>
      <c r="F107" s="376">
        <v>0.05</v>
      </c>
    </row>
    <row r="108" spans="1:6" ht="24">
      <c r="A108" s="288" t="s">
        <v>1714</v>
      </c>
      <c r="B108" s="293" t="s">
        <v>1747</v>
      </c>
      <c r="C108" s="381"/>
      <c r="D108" s="381"/>
      <c r="E108" s="381"/>
      <c r="F108" s="376">
        <v>0.05</v>
      </c>
    </row>
    <row r="109" spans="1:6" ht="24">
      <c r="A109" s="306" t="s">
        <v>1714</v>
      </c>
      <c r="B109" s="299" t="s">
        <v>1748</v>
      </c>
      <c r="C109" s="378"/>
      <c r="D109" s="378"/>
      <c r="E109" s="378"/>
      <c r="F109" s="382">
        <v>0.05</v>
      </c>
    </row>
    <row r="110" spans="1:6">
      <c r="A110" s="288" t="s">
        <v>1749</v>
      </c>
      <c r="B110" s="289" t="s">
        <v>1750</v>
      </c>
      <c r="C110" s="373">
        <v>0.129</v>
      </c>
      <c r="D110" s="373">
        <v>0.129</v>
      </c>
      <c r="E110" s="373">
        <v>0.126</v>
      </c>
      <c r="F110" s="374">
        <v>0.13</v>
      </c>
    </row>
    <row r="111" spans="1:6">
      <c r="A111" s="288" t="s">
        <v>1749</v>
      </c>
      <c r="B111" s="293" t="s">
        <v>1751</v>
      </c>
      <c r="C111" s="375">
        <v>0.11</v>
      </c>
      <c r="D111" s="375">
        <v>0.11</v>
      </c>
      <c r="E111" s="375">
        <v>9.9000000000000005E-2</v>
      </c>
      <c r="F111" s="376">
        <v>0.128</v>
      </c>
    </row>
    <row r="112" spans="1:6">
      <c r="A112" s="288" t="s">
        <v>1749</v>
      </c>
      <c r="B112" s="293" t="s">
        <v>1752</v>
      </c>
      <c r="C112" s="375">
        <v>0.125</v>
      </c>
      <c r="D112" s="375">
        <v>0.125</v>
      </c>
      <c r="E112" s="375">
        <v>0.12</v>
      </c>
      <c r="F112" s="376">
        <v>0.125</v>
      </c>
    </row>
    <row r="113" spans="1:6">
      <c r="A113" s="288" t="s">
        <v>1749</v>
      </c>
      <c r="B113" s="293" t="s">
        <v>1753</v>
      </c>
      <c r="C113" s="375">
        <v>0.13</v>
      </c>
      <c r="D113" s="375">
        <v>0.13</v>
      </c>
      <c r="E113" s="375">
        <v>0.13</v>
      </c>
      <c r="F113" s="376">
        <v>0.13</v>
      </c>
    </row>
    <row r="114" spans="1:6">
      <c r="A114" s="288" t="s">
        <v>1749</v>
      </c>
      <c r="B114" s="293" t="s">
        <v>1754</v>
      </c>
      <c r="C114" s="375">
        <v>0.123</v>
      </c>
      <c r="D114" s="375">
        <v>0.123</v>
      </c>
      <c r="E114" s="375">
        <v>0.12</v>
      </c>
      <c r="F114" s="376">
        <v>0.13</v>
      </c>
    </row>
    <row r="115" spans="1:6">
      <c r="A115" s="288" t="s">
        <v>1749</v>
      </c>
      <c r="B115" s="293" t="s">
        <v>1755</v>
      </c>
      <c r="C115" s="375">
        <v>0.125</v>
      </c>
      <c r="D115" s="375">
        <v>0.125</v>
      </c>
      <c r="E115" s="375">
        <v>0.11700000000000001</v>
      </c>
      <c r="F115" s="376">
        <v>0.13</v>
      </c>
    </row>
    <row r="116" spans="1:6">
      <c r="A116" s="288" t="s">
        <v>1749</v>
      </c>
      <c r="B116" s="293" t="s">
        <v>1756</v>
      </c>
      <c r="C116" s="375">
        <v>0.11700000000000001</v>
      </c>
      <c r="D116" s="375">
        <v>0.11700000000000001</v>
      </c>
      <c r="E116" s="375">
        <v>8.7999999999999995E-2</v>
      </c>
      <c r="F116" s="376">
        <v>0.13</v>
      </c>
    </row>
    <row r="117" spans="1:6">
      <c r="A117" s="288" t="s">
        <v>1749</v>
      </c>
      <c r="B117" s="293" t="s">
        <v>1757</v>
      </c>
      <c r="C117" s="375">
        <v>0.13</v>
      </c>
      <c r="D117" s="375">
        <v>0.13</v>
      </c>
      <c r="E117" s="375">
        <v>0.129</v>
      </c>
      <c r="F117" s="376">
        <v>0.13</v>
      </c>
    </row>
    <row r="118" spans="1:6">
      <c r="A118" s="288" t="s">
        <v>1749</v>
      </c>
      <c r="B118" s="293" t="s">
        <v>1758</v>
      </c>
      <c r="C118" s="375">
        <v>0.123</v>
      </c>
      <c r="D118" s="375">
        <v>0.123</v>
      </c>
      <c r="E118" s="375">
        <v>0.11600000000000001</v>
      </c>
      <c r="F118" s="376">
        <v>0.13</v>
      </c>
    </row>
    <row r="119" spans="1:6">
      <c r="A119" s="288" t="s">
        <v>1749</v>
      </c>
      <c r="B119" s="293" t="s">
        <v>1759</v>
      </c>
      <c r="C119" s="375">
        <v>0.127</v>
      </c>
      <c r="D119" s="375">
        <v>0.127</v>
      </c>
      <c r="E119" s="375">
        <v>0.124</v>
      </c>
      <c r="F119" s="376">
        <v>0.13</v>
      </c>
    </row>
    <row r="120" spans="1:6">
      <c r="A120" s="288" t="s">
        <v>1749</v>
      </c>
      <c r="B120" s="293" t="s">
        <v>1760</v>
      </c>
      <c r="C120" s="375">
        <v>0.125</v>
      </c>
      <c r="D120" s="375">
        <v>0.125</v>
      </c>
      <c r="E120" s="375">
        <v>0.122</v>
      </c>
      <c r="F120" s="376">
        <v>0.13</v>
      </c>
    </row>
    <row r="121" spans="1:6">
      <c r="A121" s="288" t="s">
        <v>1749</v>
      </c>
      <c r="B121" s="293" t="s">
        <v>1761</v>
      </c>
      <c r="C121" s="375">
        <v>0.13</v>
      </c>
      <c r="D121" s="375">
        <v>0.13</v>
      </c>
      <c r="E121" s="375">
        <v>0.13</v>
      </c>
      <c r="F121" s="376">
        <v>0.13</v>
      </c>
    </row>
    <row r="122" spans="1:6">
      <c r="A122" s="288" t="s">
        <v>1749</v>
      </c>
      <c r="B122" s="293" t="s">
        <v>1762</v>
      </c>
      <c r="C122" s="375">
        <v>0.13</v>
      </c>
      <c r="D122" s="375">
        <v>0.13</v>
      </c>
      <c r="E122" s="375">
        <v>0.125</v>
      </c>
      <c r="F122" s="376">
        <v>0.13</v>
      </c>
    </row>
    <row r="123" spans="1:6">
      <c r="A123" s="288" t="s">
        <v>1749</v>
      </c>
      <c r="B123" s="293" t="s">
        <v>1763</v>
      </c>
      <c r="C123" s="375">
        <v>0.129</v>
      </c>
      <c r="D123" s="375">
        <v>0.129</v>
      </c>
      <c r="E123" s="375">
        <v>0.123</v>
      </c>
      <c r="F123" s="376">
        <v>0.13</v>
      </c>
    </row>
    <row r="124" spans="1:6">
      <c r="A124" s="288" t="s">
        <v>1749</v>
      </c>
      <c r="B124" s="293" t="s">
        <v>1764</v>
      </c>
      <c r="C124" s="375">
        <v>0.10199999999999999</v>
      </c>
      <c r="D124" s="375">
        <v>0.10100000000000001</v>
      </c>
      <c r="E124" s="375">
        <v>0.08</v>
      </c>
      <c r="F124" s="380"/>
    </row>
    <row r="125" spans="1:6">
      <c r="A125" s="288" t="s">
        <v>1749</v>
      </c>
      <c r="B125" s="293" t="s">
        <v>1765</v>
      </c>
      <c r="C125" s="375">
        <v>0.13</v>
      </c>
      <c r="D125" s="375">
        <v>0.13</v>
      </c>
      <c r="E125" s="375">
        <v>0.129</v>
      </c>
      <c r="F125" s="380"/>
    </row>
    <row r="126" spans="1:6">
      <c r="A126" s="288" t="s">
        <v>1749</v>
      </c>
      <c r="B126" s="293" t="s">
        <v>1766</v>
      </c>
      <c r="C126" s="375">
        <v>0.13</v>
      </c>
      <c r="D126" s="375">
        <v>0.13</v>
      </c>
      <c r="E126" s="375">
        <v>0.126</v>
      </c>
      <c r="F126" s="380"/>
    </row>
    <row r="127" spans="1:6">
      <c r="A127" s="288" t="s">
        <v>1749</v>
      </c>
      <c r="B127" s="293" t="s">
        <v>1767</v>
      </c>
      <c r="C127" s="375">
        <v>0.125</v>
      </c>
      <c r="D127" s="375">
        <v>0.125</v>
      </c>
      <c r="E127" s="375">
        <v>0.121</v>
      </c>
      <c r="F127" s="380"/>
    </row>
    <row r="128" spans="1:6">
      <c r="A128" s="288" t="s">
        <v>1749</v>
      </c>
      <c r="B128" s="293" t="s">
        <v>1768</v>
      </c>
      <c r="C128" s="375">
        <v>0.12</v>
      </c>
      <c r="D128" s="375">
        <v>0.12</v>
      </c>
      <c r="E128" s="375">
        <v>0.105</v>
      </c>
      <c r="F128" s="380"/>
    </row>
    <row r="129" spans="1:6">
      <c r="A129" s="288" t="s">
        <v>1749</v>
      </c>
      <c r="B129" s="293" t="s">
        <v>1769</v>
      </c>
      <c r="C129" s="375">
        <v>0.13</v>
      </c>
      <c r="D129" s="375">
        <v>0.13</v>
      </c>
      <c r="E129" s="375">
        <v>0.126</v>
      </c>
      <c r="F129" s="380"/>
    </row>
    <row r="130" spans="1:6">
      <c r="A130" s="288" t="s">
        <v>1749</v>
      </c>
      <c r="B130" s="293" t="s">
        <v>1770</v>
      </c>
      <c r="C130" s="375">
        <v>0.125</v>
      </c>
      <c r="D130" s="375">
        <v>0.125</v>
      </c>
      <c r="E130" s="375">
        <v>0.122</v>
      </c>
      <c r="F130" s="380"/>
    </row>
    <row r="131" spans="1:6">
      <c r="A131" s="288" t="s">
        <v>1749</v>
      </c>
      <c r="B131" s="293" t="s">
        <v>1771</v>
      </c>
      <c r="C131" s="375">
        <v>0.127</v>
      </c>
      <c r="D131" s="375">
        <v>0.126</v>
      </c>
      <c r="E131" s="375">
        <v>0.123</v>
      </c>
      <c r="F131" s="380"/>
    </row>
    <row r="132" spans="1:6">
      <c r="A132" s="288" t="s">
        <v>1749</v>
      </c>
      <c r="B132" s="293" t="s">
        <v>1772</v>
      </c>
      <c r="C132" s="375">
        <v>9.0999999999999998E-2</v>
      </c>
      <c r="D132" s="375">
        <v>0.121</v>
      </c>
      <c r="E132" s="375">
        <v>9.9000000000000005E-2</v>
      </c>
      <c r="F132" s="380"/>
    </row>
    <row r="133" spans="1:6">
      <c r="A133" s="288" t="s">
        <v>1749</v>
      </c>
      <c r="B133" s="293" t="s">
        <v>1773</v>
      </c>
      <c r="C133" s="375">
        <v>0.13</v>
      </c>
      <c r="D133" s="375">
        <v>0.13</v>
      </c>
      <c r="E133" s="375">
        <v>0.129</v>
      </c>
      <c r="F133" s="380"/>
    </row>
    <row r="134" spans="1:6">
      <c r="A134" s="288" t="s">
        <v>1749</v>
      </c>
      <c r="B134" s="293" t="s">
        <v>1774</v>
      </c>
      <c r="C134" s="375">
        <v>6.8000000000000005E-2</v>
      </c>
      <c r="D134" s="375">
        <v>6.5000000000000002E-2</v>
      </c>
      <c r="E134" s="375">
        <v>6.5000000000000002E-2</v>
      </c>
      <c r="F134" s="376">
        <v>0.13</v>
      </c>
    </row>
    <row r="135" spans="1:6">
      <c r="A135" s="288" t="s">
        <v>1749</v>
      </c>
      <c r="B135" s="293" t="s">
        <v>1775</v>
      </c>
      <c r="C135" s="375">
        <v>0.123</v>
      </c>
      <c r="D135" s="375">
        <v>0.123</v>
      </c>
      <c r="E135" s="375">
        <v>0.11</v>
      </c>
      <c r="F135" s="380"/>
    </row>
    <row r="136" spans="1:6">
      <c r="A136" s="288" t="s">
        <v>1749</v>
      </c>
      <c r="B136" s="293" t="s">
        <v>1776</v>
      </c>
      <c r="C136" s="375">
        <v>0.13</v>
      </c>
      <c r="D136" s="375">
        <v>0.13</v>
      </c>
      <c r="E136" s="375">
        <v>0.125</v>
      </c>
      <c r="F136" s="380"/>
    </row>
    <row r="137" spans="1:6">
      <c r="A137" s="288" t="s">
        <v>1749</v>
      </c>
      <c r="B137" s="293" t="s">
        <v>1777</v>
      </c>
      <c r="C137" s="375">
        <v>0.121</v>
      </c>
      <c r="D137" s="375">
        <v>0.122</v>
      </c>
      <c r="E137" s="375">
        <v>0.115</v>
      </c>
      <c r="F137" s="380"/>
    </row>
    <row r="138" spans="1:6">
      <c r="A138" s="288" t="s">
        <v>1749</v>
      </c>
      <c r="B138" s="293" t="s">
        <v>1778</v>
      </c>
      <c r="C138" s="375">
        <v>0.105</v>
      </c>
      <c r="D138" s="375">
        <v>0.125</v>
      </c>
      <c r="E138" s="375">
        <v>0.112</v>
      </c>
      <c r="F138" s="380"/>
    </row>
    <row r="139" spans="1:6">
      <c r="A139" s="288" t="s">
        <v>1749</v>
      </c>
      <c r="B139" s="293" t="s">
        <v>1779</v>
      </c>
      <c r="C139" s="375">
        <v>0.127</v>
      </c>
      <c r="D139" s="375">
        <v>0.127</v>
      </c>
      <c r="E139" s="375">
        <v>0.122</v>
      </c>
      <c r="F139" s="376">
        <v>0.13</v>
      </c>
    </row>
    <row r="140" spans="1:6">
      <c r="A140" s="288" t="s">
        <v>1749</v>
      </c>
      <c r="B140" s="293" t="s">
        <v>1780</v>
      </c>
      <c r="C140" s="375">
        <v>0.125</v>
      </c>
      <c r="D140" s="375">
        <v>0.125</v>
      </c>
      <c r="E140" s="375">
        <v>0.11899999999999999</v>
      </c>
      <c r="F140" s="376">
        <v>0.13</v>
      </c>
    </row>
    <row r="141" spans="1:6">
      <c r="A141" s="288" t="s">
        <v>1749</v>
      </c>
      <c r="B141" s="293" t="s">
        <v>1781</v>
      </c>
      <c r="C141" s="375">
        <v>0.125</v>
      </c>
      <c r="D141" s="375">
        <v>0.125</v>
      </c>
      <c r="E141" s="375">
        <v>0.11700000000000001</v>
      </c>
      <c r="F141" s="380"/>
    </row>
    <row r="142" spans="1:6">
      <c r="A142" s="288" t="s">
        <v>1749</v>
      </c>
      <c r="B142" s="293" t="s">
        <v>1782</v>
      </c>
      <c r="C142" s="375">
        <v>0.125</v>
      </c>
      <c r="D142" s="375">
        <v>0.125</v>
      </c>
      <c r="E142" s="375">
        <v>0.115</v>
      </c>
      <c r="F142" s="380"/>
    </row>
    <row r="143" spans="1:6">
      <c r="A143" s="288" t="s">
        <v>1749</v>
      </c>
      <c r="B143" s="293" t="s">
        <v>1783</v>
      </c>
      <c r="C143" s="375">
        <v>0.121</v>
      </c>
      <c r="D143" s="375">
        <v>0.121</v>
      </c>
      <c r="E143" s="375">
        <v>0.108</v>
      </c>
      <c r="F143" s="380"/>
    </row>
    <row r="144" spans="1:6">
      <c r="A144" s="288" t="s">
        <v>1749</v>
      </c>
      <c r="B144" s="383" t="s">
        <v>1784</v>
      </c>
      <c r="C144" s="384">
        <v>0.126</v>
      </c>
      <c r="D144" s="384">
        <v>0.126</v>
      </c>
      <c r="E144" s="384">
        <v>0.121</v>
      </c>
      <c r="F144" s="380"/>
    </row>
    <row r="145" spans="1:6">
      <c r="A145" s="306" t="s">
        <v>1749</v>
      </c>
      <c r="B145" s="385" t="s">
        <v>1785</v>
      </c>
      <c r="C145" s="386"/>
      <c r="D145" s="386"/>
      <c r="E145" s="386"/>
      <c r="F145" s="387">
        <v>0.05</v>
      </c>
    </row>
    <row r="146" spans="1:6" ht="24">
      <c r="A146" s="388" t="s">
        <v>1749</v>
      </c>
      <c r="B146" s="297" t="s">
        <v>1786</v>
      </c>
      <c r="C146" s="381"/>
      <c r="D146" s="381"/>
      <c r="E146" s="381"/>
      <c r="F146" s="389">
        <v>0.05</v>
      </c>
    </row>
    <row r="147" spans="1:6" ht="24">
      <c r="A147" s="288" t="s">
        <v>1749</v>
      </c>
      <c r="B147" s="293" t="s">
        <v>1787</v>
      </c>
      <c r="C147" s="381"/>
      <c r="D147" s="381"/>
      <c r="E147" s="381"/>
      <c r="F147" s="376">
        <v>0.05</v>
      </c>
    </row>
    <row r="148" spans="1:6" ht="24">
      <c r="A148" s="288" t="s">
        <v>1749</v>
      </c>
      <c r="B148" s="293" t="s">
        <v>1788</v>
      </c>
      <c r="C148" s="381"/>
      <c r="D148" s="381"/>
      <c r="E148" s="381"/>
      <c r="F148" s="376">
        <v>0.05</v>
      </c>
    </row>
    <row r="149" spans="1:6" ht="24">
      <c r="A149" s="288" t="s">
        <v>1749</v>
      </c>
      <c r="B149" s="293" t="s">
        <v>1789</v>
      </c>
      <c r="C149" s="381"/>
      <c r="D149" s="381"/>
      <c r="E149" s="381"/>
      <c r="F149" s="376">
        <v>0.05</v>
      </c>
    </row>
    <row r="150" spans="1:6" ht="24">
      <c r="A150" s="288" t="s">
        <v>1749</v>
      </c>
      <c r="B150" s="293" t="s">
        <v>1790</v>
      </c>
      <c r="C150" s="381"/>
      <c r="D150" s="381"/>
      <c r="E150" s="381"/>
      <c r="F150" s="376">
        <v>0.05</v>
      </c>
    </row>
    <row r="151" spans="1:6" ht="24">
      <c r="A151" s="288" t="s">
        <v>1749</v>
      </c>
      <c r="B151" s="293" t="s">
        <v>1791</v>
      </c>
      <c r="C151" s="381"/>
      <c r="D151" s="381"/>
      <c r="E151" s="381"/>
      <c r="F151" s="376">
        <v>0.05</v>
      </c>
    </row>
    <row r="152" spans="1:6" ht="24">
      <c r="A152" s="288" t="s">
        <v>1749</v>
      </c>
      <c r="B152" s="293" t="s">
        <v>1792</v>
      </c>
      <c r="C152" s="381"/>
      <c r="D152" s="381"/>
      <c r="E152" s="381"/>
      <c r="F152" s="376">
        <v>0.05</v>
      </c>
    </row>
    <row r="153" spans="1:6">
      <c r="A153" s="288" t="s">
        <v>1749</v>
      </c>
      <c r="B153" s="293" t="s">
        <v>1793</v>
      </c>
      <c r="C153" s="381"/>
      <c r="D153" s="381"/>
      <c r="E153" s="381"/>
      <c r="F153" s="376">
        <v>0.05</v>
      </c>
    </row>
    <row r="154" spans="1:6">
      <c r="A154" s="288" t="s">
        <v>1749</v>
      </c>
      <c r="B154" s="293" t="s">
        <v>1794</v>
      </c>
      <c r="C154" s="381"/>
      <c r="D154" s="381"/>
      <c r="E154" s="381"/>
      <c r="F154" s="376">
        <v>0.05</v>
      </c>
    </row>
    <row r="155" spans="1:6" ht="24">
      <c r="A155" s="288" t="s">
        <v>1749</v>
      </c>
      <c r="B155" s="293" t="s">
        <v>1795</v>
      </c>
      <c r="C155" s="381"/>
      <c r="D155" s="381"/>
      <c r="E155" s="381"/>
      <c r="F155" s="376">
        <v>0.05</v>
      </c>
    </row>
    <row r="156" spans="1:6" ht="24">
      <c r="A156" s="288" t="s">
        <v>1749</v>
      </c>
      <c r="B156" s="293" t="s">
        <v>1796</v>
      </c>
      <c r="C156" s="381"/>
      <c r="D156" s="381"/>
      <c r="E156" s="381"/>
      <c r="F156" s="376">
        <v>0.05</v>
      </c>
    </row>
    <row r="157" spans="1:6">
      <c r="A157" s="306" t="s">
        <v>1749</v>
      </c>
      <c r="B157" s="299" t="s">
        <v>1797</v>
      </c>
      <c r="C157" s="378"/>
      <c r="D157" s="378"/>
      <c r="E157" s="378"/>
      <c r="F157" s="382">
        <v>0.05</v>
      </c>
    </row>
    <row r="158" spans="1:6">
      <c r="A158" s="288" t="s">
        <v>1798</v>
      </c>
      <c r="B158" s="289" t="s">
        <v>1799</v>
      </c>
      <c r="C158" s="373">
        <v>0.13</v>
      </c>
      <c r="D158" s="373">
        <v>0.13</v>
      </c>
      <c r="E158" s="373">
        <v>0.13</v>
      </c>
      <c r="F158" s="374">
        <v>0.13</v>
      </c>
    </row>
    <row r="159" spans="1:6">
      <c r="A159" s="288" t="s">
        <v>1798</v>
      </c>
      <c r="B159" s="293" t="s">
        <v>1800</v>
      </c>
      <c r="C159" s="375">
        <v>0.13</v>
      </c>
      <c r="D159" s="375">
        <v>0.13</v>
      </c>
      <c r="E159" s="375">
        <v>0.13</v>
      </c>
      <c r="F159" s="376">
        <v>0.13</v>
      </c>
    </row>
    <row r="160" spans="1:6">
      <c r="A160" s="288" t="s">
        <v>1798</v>
      </c>
      <c r="B160" s="293" t="s">
        <v>1801</v>
      </c>
      <c r="C160" s="375">
        <v>0.13</v>
      </c>
      <c r="D160" s="375">
        <v>0.13</v>
      </c>
      <c r="E160" s="375">
        <v>0.129</v>
      </c>
      <c r="F160" s="376">
        <v>0.13</v>
      </c>
    </row>
    <row r="161" spans="1:6">
      <c r="A161" s="288" t="s">
        <v>1798</v>
      </c>
      <c r="B161" s="293" t="s">
        <v>1802</v>
      </c>
      <c r="C161" s="375">
        <v>0.128</v>
      </c>
      <c r="D161" s="375">
        <v>0.128</v>
      </c>
      <c r="E161" s="375">
        <v>0.125</v>
      </c>
      <c r="F161" s="376">
        <v>0.13</v>
      </c>
    </row>
    <row r="162" spans="1:6">
      <c r="A162" s="288" t="s">
        <v>1798</v>
      </c>
      <c r="B162" s="293" t="s">
        <v>1803</v>
      </c>
      <c r="C162" s="375">
        <v>0.122</v>
      </c>
      <c r="D162" s="375">
        <v>0.122</v>
      </c>
      <c r="E162" s="375">
        <v>0.126</v>
      </c>
      <c r="F162" s="376">
        <v>0.122</v>
      </c>
    </row>
    <row r="163" spans="1:6">
      <c r="A163" s="288" t="s">
        <v>1798</v>
      </c>
      <c r="B163" s="293" t="s">
        <v>1804</v>
      </c>
      <c r="C163" s="375">
        <v>0.13</v>
      </c>
      <c r="D163" s="375">
        <v>0.13</v>
      </c>
      <c r="E163" s="375">
        <v>0.125</v>
      </c>
      <c r="F163" s="376">
        <v>0.13</v>
      </c>
    </row>
    <row r="164" spans="1:6">
      <c r="A164" s="288" t="s">
        <v>1798</v>
      </c>
      <c r="B164" s="293" t="s">
        <v>1805</v>
      </c>
      <c r="C164" s="375">
        <v>0.13</v>
      </c>
      <c r="D164" s="375">
        <v>0.13</v>
      </c>
      <c r="E164" s="375">
        <v>0.13</v>
      </c>
      <c r="F164" s="376">
        <v>0.13</v>
      </c>
    </row>
    <row r="165" spans="1:6">
      <c r="A165" s="288" t="s">
        <v>1798</v>
      </c>
      <c r="B165" s="293" t="s">
        <v>1806</v>
      </c>
      <c r="C165" s="375">
        <v>0.13</v>
      </c>
      <c r="D165" s="375">
        <v>0.13</v>
      </c>
      <c r="E165" s="375">
        <v>0.124</v>
      </c>
      <c r="F165" s="376">
        <v>0.13</v>
      </c>
    </row>
    <row r="166" spans="1:6">
      <c r="A166" s="288" t="s">
        <v>1798</v>
      </c>
      <c r="B166" s="293" t="s">
        <v>1807</v>
      </c>
      <c r="C166" s="375">
        <v>0.13</v>
      </c>
      <c r="D166" s="375">
        <v>0.13</v>
      </c>
      <c r="E166" s="375">
        <v>0.13</v>
      </c>
      <c r="F166" s="376">
        <v>0.13</v>
      </c>
    </row>
    <row r="167" spans="1:6">
      <c r="A167" s="288" t="s">
        <v>1798</v>
      </c>
      <c r="B167" s="293" t="s">
        <v>1808</v>
      </c>
      <c r="C167" s="375">
        <v>0.125</v>
      </c>
      <c r="D167" s="375">
        <v>0.125</v>
      </c>
      <c r="E167" s="375">
        <v>0.121</v>
      </c>
      <c r="F167" s="380"/>
    </row>
    <row r="168" spans="1:6">
      <c r="A168" s="288" t="s">
        <v>1798</v>
      </c>
      <c r="B168" s="293" t="s">
        <v>1809</v>
      </c>
      <c r="C168" s="375">
        <v>0.13</v>
      </c>
      <c r="D168" s="375">
        <v>0.13</v>
      </c>
      <c r="E168" s="375">
        <v>0.126</v>
      </c>
      <c r="F168" s="380"/>
    </row>
    <row r="169" spans="1:6">
      <c r="A169" s="288" t="s">
        <v>1798</v>
      </c>
      <c r="B169" s="293" t="s">
        <v>1810</v>
      </c>
      <c r="C169" s="375">
        <v>0.128</v>
      </c>
      <c r="D169" s="375">
        <v>0.129</v>
      </c>
      <c r="E169" s="375">
        <v>0.13</v>
      </c>
      <c r="F169" s="380"/>
    </row>
    <row r="170" spans="1:6">
      <c r="A170" s="288" t="s">
        <v>1798</v>
      </c>
      <c r="B170" s="293" t="s">
        <v>1811</v>
      </c>
      <c r="C170" s="375">
        <v>0.14099999999999999</v>
      </c>
      <c r="D170" s="375">
        <v>0.13</v>
      </c>
      <c r="E170" s="375">
        <v>0.125</v>
      </c>
      <c r="F170" s="380"/>
    </row>
    <row r="171" spans="1:6">
      <c r="A171" s="288" t="s">
        <v>1798</v>
      </c>
      <c r="B171" s="293" t="s">
        <v>1812</v>
      </c>
      <c r="C171" s="375">
        <v>0.127</v>
      </c>
      <c r="D171" s="375">
        <v>0.126</v>
      </c>
      <c r="E171" s="375">
        <v>0.126</v>
      </c>
      <c r="F171" s="376">
        <v>0.11799999999999999</v>
      </c>
    </row>
    <row r="172" spans="1:6">
      <c r="A172" s="288" t="s">
        <v>1798</v>
      </c>
      <c r="B172" s="293" t="s">
        <v>1813</v>
      </c>
      <c r="C172" s="375">
        <v>0.13</v>
      </c>
      <c r="D172" s="375">
        <v>0.13</v>
      </c>
      <c r="E172" s="375">
        <v>0.13</v>
      </c>
      <c r="F172" s="380"/>
    </row>
    <row r="173" spans="1:6">
      <c r="A173" s="288" t="s">
        <v>1798</v>
      </c>
      <c r="B173" s="293" t="s">
        <v>1814</v>
      </c>
      <c r="C173" s="375">
        <v>0.13</v>
      </c>
      <c r="D173" s="375">
        <v>0.13</v>
      </c>
      <c r="E173" s="375">
        <v>0.13</v>
      </c>
      <c r="F173" s="380"/>
    </row>
    <row r="174" spans="1:6">
      <c r="A174" s="288" t="s">
        <v>1798</v>
      </c>
      <c r="B174" s="293" t="s">
        <v>1815</v>
      </c>
      <c r="C174" s="375">
        <v>0.13</v>
      </c>
      <c r="D174" s="375">
        <v>0.13</v>
      </c>
      <c r="E174" s="375">
        <v>0.13</v>
      </c>
      <c r="F174" s="376">
        <v>0.13</v>
      </c>
    </row>
    <row r="175" spans="1:6">
      <c r="A175" s="288" t="s">
        <v>1798</v>
      </c>
      <c r="B175" s="293" t="s">
        <v>1816</v>
      </c>
      <c r="C175" s="375">
        <v>0.13</v>
      </c>
      <c r="D175" s="375">
        <v>0.13</v>
      </c>
      <c r="E175" s="375">
        <v>0.13</v>
      </c>
      <c r="F175" s="376">
        <v>0.13</v>
      </c>
    </row>
    <row r="176" spans="1:6">
      <c r="A176" s="288" t="s">
        <v>1798</v>
      </c>
      <c r="B176" s="293" t="s">
        <v>1817</v>
      </c>
      <c r="C176" s="375">
        <v>0.13</v>
      </c>
      <c r="D176" s="375">
        <v>0.13</v>
      </c>
      <c r="E176" s="375">
        <v>0.13</v>
      </c>
      <c r="F176" s="376">
        <v>0.13</v>
      </c>
    </row>
    <row r="177" spans="1:6">
      <c r="A177" s="288" t="s">
        <v>1798</v>
      </c>
      <c r="B177" s="293" t="s">
        <v>1818</v>
      </c>
      <c r="C177" s="375">
        <v>0.13</v>
      </c>
      <c r="D177" s="375">
        <v>0.13</v>
      </c>
      <c r="E177" s="375">
        <v>0.13</v>
      </c>
      <c r="F177" s="376">
        <v>0.13</v>
      </c>
    </row>
    <row r="178" spans="1:6">
      <c r="A178" s="288" t="s">
        <v>1798</v>
      </c>
      <c r="B178" s="293" t="s">
        <v>1819</v>
      </c>
      <c r="C178" s="375">
        <v>0.13</v>
      </c>
      <c r="D178" s="375">
        <v>0.13</v>
      </c>
      <c r="E178" s="375">
        <v>0.13</v>
      </c>
      <c r="F178" s="376">
        <v>0.127</v>
      </c>
    </row>
    <row r="179" spans="1:6">
      <c r="A179" s="288" t="s">
        <v>1798</v>
      </c>
      <c r="B179" s="293" t="s">
        <v>1820</v>
      </c>
      <c r="C179" s="375">
        <v>0.13</v>
      </c>
      <c r="D179" s="375">
        <v>0.13</v>
      </c>
      <c r="E179" s="375">
        <v>0.13</v>
      </c>
      <c r="F179" s="380"/>
    </row>
    <row r="180" spans="1:6">
      <c r="A180" s="288" t="s">
        <v>1798</v>
      </c>
      <c r="B180" s="293" t="s">
        <v>1821</v>
      </c>
      <c r="C180" s="375">
        <v>0.13</v>
      </c>
      <c r="D180" s="375">
        <v>0.13</v>
      </c>
      <c r="E180" s="375">
        <v>0.125</v>
      </c>
      <c r="F180" s="376">
        <v>0.13</v>
      </c>
    </row>
    <row r="181" spans="1:6">
      <c r="A181" s="288" t="s">
        <v>1798</v>
      </c>
      <c r="B181" s="293" t="s">
        <v>1822</v>
      </c>
      <c r="C181" s="375">
        <v>0.122</v>
      </c>
      <c r="D181" s="375">
        <v>0.123</v>
      </c>
      <c r="E181" s="375">
        <v>0.126</v>
      </c>
      <c r="F181" s="376">
        <v>0.121</v>
      </c>
    </row>
    <row r="182" spans="1:6">
      <c r="A182" s="288" t="s">
        <v>1798</v>
      </c>
      <c r="B182" s="293" t="s">
        <v>1823</v>
      </c>
      <c r="C182" s="375">
        <v>0.125</v>
      </c>
      <c r="D182" s="375">
        <v>0.125</v>
      </c>
      <c r="E182" s="375">
        <v>0.11700000000000001</v>
      </c>
      <c r="F182" s="376">
        <v>0.13</v>
      </c>
    </row>
    <row r="183" spans="1:6">
      <c r="A183" s="288" t="s">
        <v>1798</v>
      </c>
      <c r="B183" s="293" t="s">
        <v>1824</v>
      </c>
      <c r="C183" s="375">
        <v>0.127</v>
      </c>
      <c r="D183" s="375">
        <v>0.127</v>
      </c>
      <c r="E183" s="375">
        <v>0.128</v>
      </c>
      <c r="F183" s="380"/>
    </row>
    <row r="184" spans="1:6">
      <c r="A184" s="288" t="s">
        <v>1798</v>
      </c>
      <c r="B184" s="293" t="s">
        <v>1825</v>
      </c>
      <c r="C184" s="375">
        <v>0.125</v>
      </c>
      <c r="D184" s="375">
        <v>0.125</v>
      </c>
      <c r="E184" s="375">
        <v>0.127</v>
      </c>
      <c r="F184" s="380"/>
    </row>
    <row r="185" spans="1:6">
      <c r="A185" s="288" t="s">
        <v>1798</v>
      </c>
      <c r="B185" s="293" t="s">
        <v>1826</v>
      </c>
      <c r="C185" s="375">
        <v>0.127</v>
      </c>
      <c r="D185" s="375">
        <v>0.127</v>
      </c>
      <c r="E185" s="375">
        <v>0.128</v>
      </c>
      <c r="F185" s="376">
        <v>0.13</v>
      </c>
    </row>
    <row r="186" spans="1:6" ht="24">
      <c r="A186" s="288" t="s">
        <v>1798</v>
      </c>
      <c r="B186" s="293" t="s">
        <v>1827</v>
      </c>
      <c r="C186" s="381"/>
      <c r="D186" s="381"/>
      <c r="E186" s="381"/>
      <c r="F186" s="376">
        <v>0.05</v>
      </c>
    </row>
    <row r="187" spans="1:6">
      <c r="A187" s="288" t="s">
        <v>1798</v>
      </c>
      <c r="B187" s="293" t="s">
        <v>1828</v>
      </c>
      <c r="C187" s="381"/>
      <c r="D187" s="381"/>
      <c r="E187" s="381"/>
      <c r="F187" s="376">
        <v>0.05</v>
      </c>
    </row>
    <row r="188" spans="1:6">
      <c r="A188" s="288" t="s">
        <v>1798</v>
      </c>
      <c r="B188" s="293" t="s">
        <v>1829</v>
      </c>
      <c r="C188" s="381"/>
      <c r="D188" s="381"/>
      <c r="E188" s="381"/>
      <c r="F188" s="376">
        <v>0.05</v>
      </c>
    </row>
    <row r="189" spans="1:6" ht="24">
      <c r="A189" s="288" t="s">
        <v>1798</v>
      </c>
      <c r="B189" s="293" t="s">
        <v>1830</v>
      </c>
      <c r="C189" s="381"/>
      <c r="D189" s="381"/>
      <c r="E189" s="381"/>
      <c r="F189" s="376">
        <v>0.05</v>
      </c>
    </row>
    <row r="190" spans="1:6" ht="24">
      <c r="A190" s="288" t="s">
        <v>1798</v>
      </c>
      <c r="B190" s="293" t="s">
        <v>1831</v>
      </c>
      <c r="C190" s="381"/>
      <c r="D190" s="381"/>
      <c r="E190" s="381"/>
      <c r="F190" s="376">
        <v>0.05</v>
      </c>
    </row>
    <row r="191" spans="1:6" ht="24">
      <c r="A191" s="288" t="s">
        <v>1798</v>
      </c>
      <c r="B191" s="293" t="s">
        <v>1832</v>
      </c>
      <c r="C191" s="381"/>
      <c r="D191" s="381"/>
      <c r="E191" s="381"/>
      <c r="F191" s="376">
        <v>0.05</v>
      </c>
    </row>
    <row r="192" spans="1:6" ht="24">
      <c r="A192" s="288" t="s">
        <v>1798</v>
      </c>
      <c r="B192" s="293" t="s">
        <v>1833</v>
      </c>
      <c r="C192" s="381"/>
      <c r="D192" s="381"/>
      <c r="E192" s="381"/>
      <c r="F192" s="376">
        <v>0.05</v>
      </c>
    </row>
    <row r="193" spans="1:6" ht="24">
      <c r="A193" s="288" t="s">
        <v>1798</v>
      </c>
      <c r="B193" s="293" t="s">
        <v>1834</v>
      </c>
      <c r="C193" s="381"/>
      <c r="D193" s="381"/>
      <c r="E193" s="381"/>
      <c r="F193" s="376">
        <v>0.05</v>
      </c>
    </row>
    <row r="194" spans="1:6" ht="24">
      <c r="A194" s="288" t="s">
        <v>1798</v>
      </c>
      <c r="B194" s="293" t="s">
        <v>1835</v>
      </c>
      <c r="C194" s="381"/>
      <c r="D194" s="381"/>
      <c r="E194" s="381"/>
      <c r="F194" s="376">
        <v>0.05</v>
      </c>
    </row>
    <row r="195" spans="1:6">
      <c r="A195" s="288" t="s">
        <v>1798</v>
      </c>
      <c r="B195" s="293" t="s">
        <v>1836</v>
      </c>
      <c r="C195" s="381"/>
      <c r="D195" s="381"/>
      <c r="E195" s="381"/>
      <c r="F195" s="376">
        <v>0.05</v>
      </c>
    </row>
    <row r="196" spans="1:6" ht="24">
      <c r="A196" s="288" t="s">
        <v>1798</v>
      </c>
      <c r="B196" s="293" t="s">
        <v>1837</v>
      </c>
      <c r="C196" s="381"/>
      <c r="D196" s="381"/>
      <c r="E196" s="381"/>
      <c r="F196" s="376">
        <v>0.05</v>
      </c>
    </row>
    <row r="197" spans="1:6" ht="24">
      <c r="A197" s="288" t="s">
        <v>1798</v>
      </c>
      <c r="B197" s="293" t="s">
        <v>1838</v>
      </c>
      <c r="C197" s="381"/>
      <c r="D197" s="381"/>
      <c r="E197" s="381"/>
      <c r="F197" s="376">
        <v>0.05</v>
      </c>
    </row>
    <row r="198" spans="1:6" ht="24">
      <c r="A198" s="288" t="s">
        <v>1798</v>
      </c>
      <c r="B198" s="293" t="s">
        <v>1839</v>
      </c>
      <c r="C198" s="381"/>
      <c r="D198" s="381"/>
      <c r="E198" s="381"/>
      <c r="F198" s="376">
        <v>0.05</v>
      </c>
    </row>
    <row r="199" spans="1:6" ht="24">
      <c r="A199" s="288" t="s">
        <v>1798</v>
      </c>
      <c r="B199" s="293" t="s">
        <v>1840</v>
      </c>
      <c r="C199" s="381"/>
      <c r="D199" s="381"/>
      <c r="E199" s="381"/>
      <c r="F199" s="376">
        <v>0.05</v>
      </c>
    </row>
    <row r="200" spans="1:6" ht="24">
      <c r="A200" s="288" t="s">
        <v>1798</v>
      </c>
      <c r="B200" s="293" t="s">
        <v>1841</v>
      </c>
      <c r="C200" s="381"/>
      <c r="D200" s="381"/>
      <c r="E200" s="381"/>
      <c r="F200" s="376">
        <v>0.05</v>
      </c>
    </row>
    <row r="201" spans="1:6" ht="24">
      <c r="A201" s="288" t="s">
        <v>1798</v>
      </c>
      <c r="B201" s="293" t="s">
        <v>1842</v>
      </c>
      <c r="C201" s="381"/>
      <c r="D201" s="381"/>
      <c r="E201" s="381"/>
      <c r="F201" s="376">
        <v>0.05</v>
      </c>
    </row>
    <row r="202" spans="1:6" ht="24">
      <c r="A202" s="288" t="s">
        <v>1798</v>
      </c>
      <c r="B202" s="293" t="s">
        <v>1843</v>
      </c>
      <c r="C202" s="381"/>
      <c r="D202" s="381"/>
      <c r="E202" s="381"/>
      <c r="F202" s="376">
        <v>0.05</v>
      </c>
    </row>
    <row r="203" spans="1:6" ht="24">
      <c r="A203" s="288" t="s">
        <v>1798</v>
      </c>
      <c r="B203" s="293" t="s">
        <v>1844</v>
      </c>
      <c r="C203" s="381"/>
      <c r="D203" s="381"/>
      <c r="E203" s="381"/>
      <c r="F203" s="376">
        <v>0.05</v>
      </c>
    </row>
    <row r="204" spans="1:6">
      <c r="A204" s="288" t="s">
        <v>1798</v>
      </c>
      <c r="B204" s="293" t="s">
        <v>1845</v>
      </c>
      <c r="C204" s="381"/>
      <c r="D204" s="381"/>
      <c r="E204" s="381"/>
      <c r="F204" s="376">
        <v>0.05</v>
      </c>
    </row>
    <row r="205" spans="1:6">
      <c r="A205" s="306" t="s">
        <v>1798</v>
      </c>
      <c r="B205" s="299" t="s">
        <v>1846</v>
      </c>
      <c r="C205" s="378"/>
      <c r="D205" s="378"/>
      <c r="E205" s="378"/>
      <c r="F205" s="382">
        <v>0.05</v>
      </c>
    </row>
    <row r="206" spans="1:6">
      <c r="A206" s="288" t="s">
        <v>1847</v>
      </c>
      <c r="B206" s="289" t="s">
        <v>1848</v>
      </c>
      <c r="C206" s="373">
        <v>0.15</v>
      </c>
      <c r="D206" s="373">
        <v>0.15</v>
      </c>
      <c r="E206" s="373">
        <v>0.15</v>
      </c>
      <c r="F206" s="374">
        <v>0.15</v>
      </c>
    </row>
    <row r="207" spans="1:6">
      <c r="A207" s="288" t="s">
        <v>1847</v>
      </c>
      <c r="B207" s="293" t="s">
        <v>1849</v>
      </c>
      <c r="C207" s="375">
        <v>0.15</v>
      </c>
      <c r="D207" s="375">
        <v>0.15</v>
      </c>
      <c r="E207" s="375">
        <v>0.15</v>
      </c>
      <c r="F207" s="376">
        <v>0.14399999999999999</v>
      </c>
    </row>
    <row r="208" spans="1:6">
      <c r="A208" s="288" t="s">
        <v>1847</v>
      </c>
      <c r="B208" s="293" t="s">
        <v>1850</v>
      </c>
      <c r="C208" s="375">
        <v>0.15</v>
      </c>
      <c r="D208" s="375">
        <v>0.15</v>
      </c>
      <c r="E208" s="375">
        <v>0.15</v>
      </c>
      <c r="F208" s="376">
        <v>0.15</v>
      </c>
    </row>
    <row r="209" spans="1:6">
      <c r="A209" s="288" t="s">
        <v>1847</v>
      </c>
      <c r="B209" s="293" t="s">
        <v>1851</v>
      </c>
      <c r="C209" s="375">
        <v>0.13700000000000001</v>
      </c>
      <c r="D209" s="375">
        <v>0.13700000000000001</v>
      </c>
      <c r="E209" s="375">
        <v>0.14000000000000001</v>
      </c>
      <c r="F209" s="376">
        <v>0.11700000000000001</v>
      </c>
    </row>
    <row r="210" spans="1:6">
      <c r="A210" s="288" t="s">
        <v>1847</v>
      </c>
      <c r="B210" s="293" t="s">
        <v>1852</v>
      </c>
      <c r="C210" s="375">
        <v>0.15</v>
      </c>
      <c r="D210" s="375">
        <v>0.15</v>
      </c>
      <c r="E210" s="375">
        <v>0.15</v>
      </c>
      <c r="F210" s="376">
        <v>0.13800000000000001</v>
      </c>
    </row>
    <row r="211" spans="1:6">
      <c r="A211" s="288" t="s">
        <v>1847</v>
      </c>
      <c r="B211" s="293" t="s">
        <v>1853</v>
      </c>
      <c r="C211" s="375">
        <v>0.13700000000000001</v>
      </c>
      <c r="D211" s="375">
        <v>0.13500000000000001</v>
      </c>
      <c r="E211" s="375">
        <v>0.13600000000000001</v>
      </c>
      <c r="F211" s="376">
        <v>0.1</v>
      </c>
    </row>
    <row r="212" spans="1:6">
      <c r="A212" s="288" t="s">
        <v>1847</v>
      </c>
      <c r="B212" s="293" t="s">
        <v>1854</v>
      </c>
      <c r="C212" s="375">
        <v>0.15</v>
      </c>
      <c r="D212" s="375">
        <v>0.15</v>
      </c>
      <c r="E212" s="375">
        <v>0.14799999999999999</v>
      </c>
      <c r="F212" s="376">
        <v>0.13600000000000001</v>
      </c>
    </row>
    <row r="213" spans="1:6">
      <c r="A213" s="288" t="s">
        <v>1847</v>
      </c>
      <c r="B213" s="293" t="s">
        <v>1855</v>
      </c>
      <c r="C213" s="375">
        <v>0.15</v>
      </c>
      <c r="D213" s="375">
        <v>0.15</v>
      </c>
      <c r="E213" s="375">
        <v>0.15</v>
      </c>
      <c r="F213" s="376">
        <v>0.13800000000000001</v>
      </c>
    </row>
    <row r="214" spans="1:6">
      <c r="A214" s="288" t="s">
        <v>1847</v>
      </c>
      <c r="B214" s="293" t="s">
        <v>1856</v>
      </c>
      <c r="C214" s="375">
        <v>9.0999999999999998E-2</v>
      </c>
      <c r="D214" s="375">
        <v>0.09</v>
      </c>
      <c r="E214" s="375">
        <v>9.1999999999999998E-2</v>
      </c>
      <c r="F214" s="380"/>
    </row>
    <row r="215" spans="1:6">
      <c r="A215" s="288" t="s">
        <v>1847</v>
      </c>
      <c r="B215" s="293" t="s">
        <v>1857</v>
      </c>
      <c r="C215" s="375">
        <v>0.15</v>
      </c>
      <c r="D215" s="375">
        <v>0.15</v>
      </c>
      <c r="E215" s="375">
        <v>0.15</v>
      </c>
      <c r="F215" s="376">
        <v>0.15</v>
      </c>
    </row>
    <row r="216" spans="1:6">
      <c r="A216" s="288" t="s">
        <v>1847</v>
      </c>
      <c r="B216" s="293" t="s">
        <v>1858</v>
      </c>
      <c r="C216" s="375">
        <v>0.14699999999999999</v>
      </c>
      <c r="D216" s="375">
        <v>0.14699999999999999</v>
      </c>
      <c r="E216" s="375">
        <v>0.15</v>
      </c>
      <c r="F216" s="376">
        <v>0.14000000000000001</v>
      </c>
    </row>
    <row r="217" spans="1:6">
      <c r="A217" s="288" t="s">
        <v>1847</v>
      </c>
      <c r="B217" s="293" t="s">
        <v>1859</v>
      </c>
      <c r="C217" s="375">
        <v>0.15</v>
      </c>
      <c r="D217" s="375">
        <v>0.15</v>
      </c>
      <c r="E217" s="375">
        <v>0.15</v>
      </c>
      <c r="F217" s="376">
        <v>0.15</v>
      </c>
    </row>
    <row r="218" spans="1:6">
      <c r="A218" s="288" t="s">
        <v>1847</v>
      </c>
      <c r="B218" s="293" t="s">
        <v>1860</v>
      </c>
      <c r="C218" s="375">
        <v>0.15</v>
      </c>
      <c r="D218" s="375">
        <v>0.15</v>
      </c>
      <c r="E218" s="375">
        <v>0.15</v>
      </c>
      <c r="F218" s="376">
        <v>0.15</v>
      </c>
    </row>
    <row r="219" spans="1:6">
      <c r="A219" s="288" t="s">
        <v>1847</v>
      </c>
      <c r="B219" s="293" t="s">
        <v>1861</v>
      </c>
      <c r="C219" s="375">
        <v>0.15</v>
      </c>
      <c r="D219" s="375">
        <v>0.15</v>
      </c>
      <c r="E219" s="375">
        <v>0.15</v>
      </c>
      <c r="F219" s="376">
        <v>0.14799999999999999</v>
      </c>
    </row>
    <row r="220" spans="1:6">
      <c r="A220" s="288" t="s">
        <v>1847</v>
      </c>
      <c r="B220" s="293" t="s">
        <v>1862</v>
      </c>
      <c r="C220" s="375">
        <v>0.15</v>
      </c>
      <c r="D220" s="375">
        <v>0.15</v>
      </c>
      <c r="E220" s="375">
        <v>0.15</v>
      </c>
      <c r="F220" s="376">
        <v>0.15</v>
      </c>
    </row>
    <row r="221" spans="1:6">
      <c r="A221" s="288" t="s">
        <v>1847</v>
      </c>
      <c r="B221" s="293" t="s">
        <v>1863</v>
      </c>
      <c r="C221" s="375"/>
      <c r="D221" s="381"/>
      <c r="E221" s="381"/>
      <c r="F221" s="376">
        <v>0.14799999999999999</v>
      </c>
    </row>
    <row r="222" spans="1:6">
      <c r="A222" s="288" t="s">
        <v>1847</v>
      </c>
      <c r="B222" s="293" t="s">
        <v>1864</v>
      </c>
      <c r="C222" s="375"/>
      <c r="D222" s="381"/>
      <c r="E222" s="381"/>
      <c r="F222" s="376">
        <v>0.1</v>
      </c>
    </row>
    <row r="223" spans="1:6">
      <c r="A223" s="288" t="s">
        <v>1847</v>
      </c>
      <c r="B223" s="293" t="s">
        <v>1865</v>
      </c>
      <c r="C223" s="375"/>
      <c r="D223" s="381"/>
      <c r="E223" s="381"/>
      <c r="F223" s="376">
        <v>0.15</v>
      </c>
    </row>
    <row r="224" spans="1:6">
      <c r="A224" s="288" t="s">
        <v>1847</v>
      </c>
      <c r="B224" s="293" t="s">
        <v>1866</v>
      </c>
      <c r="C224" s="375"/>
      <c r="D224" s="381"/>
      <c r="E224" s="381"/>
      <c r="F224" s="376">
        <v>0.15</v>
      </c>
    </row>
    <row r="225" spans="1:6">
      <c r="A225" s="288" t="s">
        <v>1847</v>
      </c>
      <c r="B225" s="293" t="s">
        <v>1867</v>
      </c>
      <c r="C225" s="375">
        <v>0.15</v>
      </c>
      <c r="D225" s="375">
        <v>0.15</v>
      </c>
      <c r="E225" s="375">
        <v>0.15</v>
      </c>
      <c r="F225" s="376">
        <v>0.15</v>
      </c>
    </row>
    <row r="226" spans="1:6">
      <c r="A226" s="288" t="s">
        <v>1847</v>
      </c>
      <c r="B226" s="293" t="s">
        <v>1868</v>
      </c>
      <c r="C226" s="375">
        <v>0.15</v>
      </c>
      <c r="D226" s="375">
        <v>0.15</v>
      </c>
      <c r="E226" s="375">
        <v>0.15</v>
      </c>
      <c r="F226" s="376">
        <v>0.14799999999999999</v>
      </c>
    </row>
    <row r="227" spans="1:6">
      <c r="A227" s="288" t="s">
        <v>1847</v>
      </c>
      <c r="B227" s="293" t="s">
        <v>1869</v>
      </c>
      <c r="C227" s="375">
        <v>0.15</v>
      </c>
      <c r="D227" s="375">
        <v>0.15</v>
      </c>
      <c r="E227" s="375">
        <v>0.15</v>
      </c>
      <c r="F227" s="376">
        <v>0.15</v>
      </c>
    </row>
    <row r="228" spans="1:6">
      <c r="A228" s="288" t="s">
        <v>1847</v>
      </c>
      <c r="B228" s="293" t="s">
        <v>1870</v>
      </c>
      <c r="C228" s="375">
        <v>0.15</v>
      </c>
      <c r="D228" s="375">
        <v>0.15</v>
      </c>
      <c r="E228" s="375">
        <v>0.15</v>
      </c>
      <c r="F228" s="376">
        <v>0.15</v>
      </c>
    </row>
    <row r="229" spans="1:6">
      <c r="A229" s="288" t="s">
        <v>1847</v>
      </c>
      <c r="B229" s="293" t="s">
        <v>1871</v>
      </c>
      <c r="C229" s="375">
        <v>0.15</v>
      </c>
      <c r="D229" s="375">
        <v>0.15</v>
      </c>
      <c r="E229" s="375">
        <v>0.15</v>
      </c>
      <c r="F229" s="380"/>
    </row>
    <row r="230" spans="1:6">
      <c r="A230" s="288" t="s">
        <v>1847</v>
      </c>
      <c r="B230" s="293" t="s">
        <v>1872</v>
      </c>
      <c r="C230" s="375">
        <v>0.14499999999999999</v>
      </c>
      <c r="D230" s="375">
        <v>0.14499999999999999</v>
      </c>
      <c r="E230" s="375">
        <v>0.14399999999999999</v>
      </c>
      <c r="F230" s="380"/>
    </row>
    <row r="231" spans="1:6">
      <c r="A231" s="288" t="s">
        <v>1847</v>
      </c>
      <c r="B231" s="293" t="s">
        <v>1873</v>
      </c>
      <c r="C231" s="375">
        <v>0.128</v>
      </c>
      <c r="D231" s="375">
        <v>0.125</v>
      </c>
      <c r="E231" s="375">
        <v>0.13200000000000001</v>
      </c>
      <c r="F231" s="380"/>
    </row>
    <row r="232" spans="1:6">
      <c r="A232" s="288" t="s">
        <v>1847</v>
      </c>
      <c r="B232" s="293" t="s">
        <v>1874</v>
      </c>
      <c r="C232" s="375">
        <v>0.14499999999999999</v>
      </c>
      <c r="D232" s="375">
        <v>0.14399999999999999</v>
      </c>
      <c r="E232" s="375">
        <v>0.14599999999999999</v>
      </c>
      <c r="F232" s="376">
        <v>0.13800000000000001</v>
      </c>
    </row>
    <row r="233" spans="1:6">
      <c r="A233" s="288" t="s">
        <v>1847</v>
      </c>
      <c r="B233" s="293" t="s">
        <v>1875</v>
      </c>
      <c r="C233" s="375">
        <v>0.14499999999999999</v>
      </c>
      <c r="D233" s="375">
        <v>0.14299999999999999</v>
      </c>
      <c r="E233" s="375">
        <v>0.14199999999999999</v>
      </c>
      <c r="F233" s="380"/>
    </row>
    <row r="234" spans="1:6">
      <c r="A234" s="288" t="s">
        <v>1847</v>
      </c>
      <c r="B234" s="293" t="s">
        <v>1876</v>
      </c>
      <c r="C234" s="375">
        <v>0.14000000000000001</v>
      </c>
      <c r="D234" s="375">
        <v>0.14000000000000001</v>
      </c>
      <c r="E234" s="375">
        <v>0.14399999999999999</v>
      </c>
      <c r="F234" s="380"/>
    </row>
    <row r="235" spans="1:6">
      <c r="A235" s="288" t="s">
        <v>1847</v>
      </c>
      <c r="B235" s="293" t="s">
        <v>1877</v>
      </c>
      <c r="C235" s="375">
        <v>0.14099999999999999</v>
      </c>
      <c r="D235" s="375">
        <v>0.14199999999999999</v>
      </c>
      <c r="E235" s="375">
        <v>0.14499999999999999</v>
      </c>
      <c r="F235" s="376">
        <v>0.15</v>
      </c>
    </row>
    <row r="236" spans="1:6">
      <c r="A236" s="288" t="s">
        <v>1847</v>
      </c>
      <c r="B236" s="293" t="s">
        <v>1878</v>
      </c>
      <c r="C236" s="381"/>
      <c r="D236" s="381"/>
      <c r="E236" s="381"/>
      <c r="F236" s="376">
        <v>0.14299999999999999</v>
      </c>
    </row>
    <row r="237" spans="1:6" ht="24">
      <c r="A237" s="288" t="s">
        <v>1847</v>
      </c>
      <c r="B237" s="293" t="s">
        <v>1879</v>
      </c>
      <c r="C237" s="381"/>
      <c r="D237" s="381"/>
      <c r="E237" s="381"/>
      <c r="F237" s="376">
        <v>0.05</v>
      </c>
    </row>
    <row r="238" spans="1:6" ht="24">
      <c r="A238" s="288" t="s">
        <v>1847</v>
      </c>
      <c r="B238" s="293" t="s">
        <v>1880</v>
      </c>
      <c r="C238" s="381"/>
      <c r="D238" s="381"/>
      <c r="E238" s="381"/>
      <c r="F238" s="376">
        <v>0.05</v>
      </c>
    </row>
    <row r="239" spans="1:6" ht="24">
      <c r="A239" s="288" t="s">
        <v>1847</v>
      </c>
      <c r="B239" s="293" t="s">
        <v>1881</v>
      </c>
      <c r="C239" s="381"/>
      <c r="D239" s="381"/>
      <c r="E239" s="381"/>
      <c r="F239" s="376">
        <v>0.05</v>
      </c>
    </row>
    <row r="240" spans="1:6" ht="24">
      <c r="A240" s="288" t="s">
        <v>1847</v>
      </c>
      <c r="B240" s="293" t="s">
        <v>1882</v>
      </c>
      <c r="C240" s="381"/>
      <c r="D240" s="381"/>
      <c r="E240" s="381"/>
      <c r="F240" s="376">
        <v>0.05</v>
      </c>
    </row>
    <row r="241" spans="1:6" ht="24">
      <c r="A241" s="288" t="s">
        <v>1847</v>
      </c>
      <c r="B241" s="293" t="s">
        <v>1883</v>
      </c>
      <c r="C241" s="381"/>
      <c r="D241" s="381"/>
      <c r="E241" s="381"/>
      <c r="F241" s="376">
        <v>0.05</v>
      </c>
    </row>
    <row r="242" spans="1:6" ht="24">
      <c r="A242" s="288" t="s">
        <v>1847</v>
      </c>
      <c r="B242" s="293" t="s">
        <v>1884</v>
      </c>
      <c r="C242" s="381"/>
      <c r="D242" s="381"/>
      <c r="E242" s="381"/>
      <c r="F242" s="376">
        <v>0.05</v>
      </c>
    </row>
    <row r="243" spans="1:6" ht="24">
      <c r="A243" s="288" t="s">
        <v>1847</v>
      </c>
      <c r="B243" s="293" t="s">
        <v>1885</v>
      </c>
      <c r="C243" s="381"/>
      <c r="D243" s="381"/>
      <c r="E243" s="381"/>
      <c r="F243" s="376">
        <v>0.05</v>
      </c>
    </row>
    <row r="244" spans="1:6" ht="24">
      <c r="A244" s="306" t="s">
        <v>1847</v>
      </c>
      <c r="B244" s="299" t="s">
        <v>1886</v>
      </c>
      <c r="C244" s="378"/>
      <c r="D244" s="378"/>
      <c r="E244" s="378"/>
      <c r="F244" s="382">
        <v>0.05</v>
      </c>
    </row>
    <row r="245" spans="1:6">
      <c r="A245" s="288" t="s">
        <v>1887</v>
      </c>
      <c r="B245" s="289" t="s">
        <v>1888</v>
      </c>
      <c r="C245" s="373">
        <v>0.15</v>
      </c>
      <c r="D245" s="373">
        <v>0.15</v>
      </c>
      <c r="E245" s="373">
        <v>0.15</v>
      </c>
      <c r="F245" s="374">
        <v>0.14299999999999999</v>
      </c>
    </row>
    <row r="246" spans="1:6">
      <c r="A246" s="288" t="s">
        <v>1887</v>
      </c>
      <c r="B246" s="293" t="s">
        <v>1889</v>
      </c>
      <c r="C246" s="375">
        <v>0.15</v>
      </c>
      <c r="D246" s="375">
        <v>0.15</v>
      </c>
      <c r="E246" s="375">
        <v>0.15</v>
      </c>
      <c r="F246" s="376">
        <v>0.114</v>
      </c>
    </row>
    <row r="247" spans="1:6">
      <c r="A247" s="288" t="s">
        <v>1887</v>
      </c>
      <c r="B247" s="293" t="s">
        <v>1890</v>
      </c>
      <c r="C247" s="375">
        <v>0.15</v>
      </c>
      <c r="D247" s="375">
        <v>0.15</v>
      </c>
      <c r="E247" s="375">
        <v>0.15</v>
      </c>
      <c r="F247" s="376">
        <v>0.15</v>
      </c>
    </row>
    <row r="248" spans="1:6">
      <c r="A248" s="288" t="s">
        <v>1887</v>
      </c>
      <c r="B248" s="293" t="s">
        <v>1891</v>
      </c>
      <c r="C248" s="375">
        <v>0.15</v>
      </c>
      <c r="D248" s="375">
        <v>0.15</v>
      </c>
      <c r="E248" s="375">
        <v>0.15</v>
      </c>
      <c r="F248" s="376">
        <v>0.14000000000000001</v>
      </c>
    </row>
    <row r="249" spans="1:6">
      <c r="A249" s="288" t="s">
        <v>1887</v>
      </c>
      <c r="B249" s="293" t="s">
        <v>1892</v>
      </c>
      <c r="C249" s="375">
        <v>0.15</v>
      </c>
      <c r="D249" s="375">
        <v>0.14899999999999999</v>
      </c>
      <c r="E249" s="375">
        <v>0.15</v>
      </c>
      <c r="F249" s="376">
        <v>0.1</v>
      </c>
    </row>
    <row r="250" spans="1:6">
      <c r="A250" s="288" t="s">
        <v>1887</v>
      </c>
      <c r="B250" s="293" t="s">
        <v>1893</v>
      </c>
      <c r="C250" s="375">
        <v>0.15</v>
      </c>
      <c r="D250" s="375">
        <v>0.15</v>
      </c>
      <c r="E250" s="375">
        <v>0.15</v>
      </c>
      <c r="F250" s="376">
        <v>0.14399999999999999</v>
      </c>
    </row>
    <row r="251" spans="1:6">
      <c r="A251" s="288" t="s">
        <v>1887</v>
      </c>
      <c r="B251" s="293" t="s">
        <v>1894</v>
      </c>
      <c r="C251" s="375">
        <v>0.15</v>
      </c>
      <c r="D251" s="375">
        <v>0.15</v>
      </c>
      <c r="E251" s="375">
        <v>0.15</v>
      </c>
      <c r="F251" s="376">
        <v>0.14299999999999999</v>
      </c>
    </row>
    <row r="252" spans="1:6">
      <c r="A252" s="288" t="s">
        <v>1887</v>
      </c>
      <c r="B252" s="293" t="s">
        <v>1895</v>
      </c>
      <c r="C252" s="375">
        <v>0.15</v>
      </c>
      <c r="D252" s="375">
        <v>0.15</v>
      </c>
      <c r="E252" s="375">
        <v>0.15</v>
      </c>
      <c r="F252" s="376">
        <v>0.1</v>
      </c>
    </row>
    <row r="253" spans="1:6">
      <c r="A253" s="288" t="s">
        <v>1887</v>
      </c>
      <c r="B253" s="293" t="s">
        <v>1896</v>
      </c>
      <c r="C253" s="375">
        <v>0.15</v>
      </c>
      <c r="D253" s="375">
        <v>0.15</v>
      </c>
      <c r="E253" s="375">
        <v>0.15</v>
      </c>
      <c r="F253" s="376">
        <v>0.1</v>
      </c>
    </row>
    <row r="254" spans="1:6">
      <c r="A254" s="288" t="s">
        <v>1887</v>
      </c>
      <c r="B254" s="293" t="s">
        <v>1897</v>
      </c>
      <c r="C254" s="381"/>
      <c r="D254" s="381"/>
      <c r="E254" s="381"/>
      <c r="F254" s="376">
        <v>0.15</v>
      </c>
    </row>
    <row r="255" spans="1:6">
      <c r="A255" s="288" t="s">
        <v>1887</v>
      </c>
      <c r="B255" s="293" t="s">
        <v>1898</v>
      </c>
      <c r="C255" s="381"/>
      <c r="D255" s="381"/>
      <c r="E255" s="381"/>
      <c r="F255" s="376">
        <v>0.14299999999999999</v>
      </c>
    </row>
    <row r="256" spans="1:6">
      <c r="A256" s="288" t="s">
        <v>1887</v>
      </c>
      <c r="B256" s="293" t="s">
        <v>1899</v>
      </c>
      <c r="C256" s="375">
        <v>0.14599999999999999</v>
      </c>
      <c r="D256" s="375">
        <v>0.14699999999999999</v>
      </c>
      <c r="E256" s="375">
        <v>0.15</v>
      </c>
      <c r="F256" s="376">
        <v>0.13200000000000001</v>
      </c>
    </row>
    <row r="257" spans="1:6">
      <c r="A257" s="288" t="s">
        <v>1887</v>
      </c>
      <c r="B257" s="293" t="s">
        <v>1900</v>
      </c>
      <c r="C257" s="375">
        <v>0.15</v>
      </c>
      <c r="D257" s="375">
        <v>0.15</v>
      </c>
      <c r="E257" s="375">
        <v>0.15</v>
      </c>
      <c r="F257" s="376">
        <v>0.13900000000000001</v>
      </c>
    </row>
    <row r="258" spans="1:6">
      <c r="A258" s="288" t="s">
        <v>1887</v>
      </c>
      <c r="B258" s="293" t="s">
        <v>1901</v>
      </c>
      <c r="C258" s="375">
        <v>0.15</v>
      </c>
      <c r="D258" s="375">
        <v>0.15</v>
      </c>
      <c r="E258" s="375">
        <v>0.15</v>
      </c>
      <c r="F258" s="376">
        <v>0.13</v>
      </c>
    </row>
    <row r="259" spans="1:6">
      <c r="A259" s="288" t="s">
        <v>1887</v>
      </c>
      <c r="B259" s="293" t="s">
        <v>1902</v>
      </c>
      <c r="C259" s="375">
        <v>0.14799999999999999</v>
      </c>
      <c r="D259" s="375">
        <v>0.14899999999999999</v>
      </c>
      <c r="E259" s="375">
        <v>0.15</v>
      </c>
      <c r="F259" s="376">
        <v>0.13700000000000001</v>
      </c>
    </row>
    <row r="260" spans="1:6">
      <c r="A260" s="288" t="s">
        <v>1887</v>
      </c>
      <c r="B260" s="293" t="s">
        <v>1903</v>
      </c>
      <c r="C260" s="375">
        <v>0.15</v>
      </c>
      <c r="D260" s="375">
        <v>0.15</v>
      </c>
      <c r="E260" s="375">
        <v>0.15</v>
      </c>
      <c r="F260" s="376">
        <v>0.14199999999999999</v>
      </c>
    </row>
    <row r="261" spans="1:6">
      <c r="A261" s="288" t="s">
        <v>1887</v>
      </c>
      <c r="B261" s="293" t="s">
        <v>1904</v>
      </c>
      <c r="C261" s="375">
        <v>0.15</v>
      </c>
      <c r="D261" s="375">
        <v>0.15</v>
      </c>
      <c r="E261" s="375">
        <v>0.14899999999999999</v>
      </c>
      <c r="F261" s="376">
        <v>0.14799999999999999</v>
      </c>
    </row>
    <row r="262" spans="1:6">
      <c r="A262" s="288" t="s">
        <v>1887</v>
      </c>
      <c r="B262" s="293" t="s">
        <v>1905</v>
      </c>
      <c r="C262" s="375">
        <v>0.15</v>
      </c>
      <c r="D262" s="375">
        <v>0.15</v>
      </c>
      <c r="E262" s="375">
        <v>0.15</v>
      </c>
      <c r="F262" s="380"/>
    </row>
    <row r="263" spans="1:6">
      <c r="A263" s="288" t="s">
        <v>1887</v>
      </c>
      <c r="B263" s="293" t="s">
        <v>1906</v>
      </c>
      <c r="C263" s="375">
        <v>0.14899999999999999</v>
      </c>
      <c r="D263" s="375">
        <v>0.14899999999999999</v>
      </c>
      <c r="E263" s="375">
        <v>0.15</v>
      </c>
      <c r="F263" s="376">
        <v>0.13</v>
      </c>
    </row>
    <row r="264" spans="1:6">
      <c r="A264" s="288" t="s">
        <v>1887</v>
      </c>
      <c r="B264" s="293" t="s">
        <v>1907</v>
      </c>
      <c r="C264" s="375">
        <v>0.14799999999999999</v>
      </c>
      <c r="D264" s="375">
        <v>0.14699999999999999</v>
      </c>
      <c r="E264" s="375">
        <v>0.15</v>
      </c>
      <c r="F264" s="376">
        <v>7.8E-2</v>
      </c>
    </row>
    <row r="265" spans="1:6">
      <c r="A265" s="288" t="s">
        <v>1887</v>
      </c>
      <c r="B265" s="293" t="s">
        <v>1908</v>
      </c>
      <c r="C265" s="375">
        <v>0.15</v>
      </c>
      <c r="D265" s="375">
        <v>0.15</v>
      </c>
      <c r="E265" s="375">
        <v>0.15</v>
      </c>
      <c r="F265" s="376">
        <v>7.3999999999999996E-2</v>
      </c>
    </row>
    <row r="266" spans="1:6">
      <c r="A266" s="288" t="s">
        <v>1887</v>
      </c>
      <c r="B266" s="293" t="s">
        <v>1909</v>
      </c>
      <c r="C266" s="375">
        <v>0.14699999999999999</v>
      </c>
      <c r="D266" s="375">
        <v>0.14699999999999999</v>
      </c>
      <c r="E266" s="375">
        <v>0.15</v>
      </c>
      <c r="F266" s="376">
        <v>0.14299999999999999</v>
      </c>
    </row>
    <row r="267" spans="1:6">
      <c r="A267" s="288" t="s">
        <v>1887</v>
      </c>
      <c r="B267" s="293" t="s">
        <v>1910</v>
      </c>
      <c r="C267" s="375">
        <v>0.14199999999999999</v>
      </c>
      <c r="D267" s="375">
        <v>0.14299999999999999</v>
      </c>
      <c r="E267" s="375">
        <v>0.15</v>
      </c>
      <c r="F267" s="380"/>
    </row>
    <row r="268" spans="1:6">
      <c r="A268" s="288" t="s">
        <v>1887</v>
      </c>
      <c r="B268" s="293" t="s">
        <v>1911</v>
      </c>
      <c r="C268" s="375">
        <v>0.15</v>
      </c>
      <c r="D268" s="375">
        <v>0.15</v>
      </c>
      <c r="E268" s="375">
        <v>0.15</v>
      </c>
      <c r="F268" s="376">
        <v>0.13</v>
      </c>
    </row>
    <row r="269" spans="1:6">
      <c r="A269" s="288" t="s">
        <v>1887</v>
      </c>
      <c r="B269" s="293" t="s">
        <v>1912</v>
      </c>
      <c r="C269" s="375">
        <v>0.15</v>
      </c>
      <c r="D269" s="375">
        <v>0.15</v>
      </c>
      <c r="E269" s="375">
        <v>0.15</v>
      </c>
      <c r="F269" s="376">
        <v>0.14299999999999999</v>
      </c>
    </row>
    <row r="270" spans="1:6">
      <c r="A270" s="288" t="s">
        <v>1887</v>
      </c>
      <c r="B270" s="293" t="s">
        <v>1913</v>
      </c>
      <c r="C270" s="375">
        <v>0.14499999999999999</v>
      </c>
      <c r="D270" s="375">
        <v>0.14499999999999999</v>
      </c>
      <c r="E270" s="375">
        <v>0.15</v>
      </c>
      <c r="F270" s="376">
        <v>0.14699999999999999</v>
      </c>
    </row>
    <row r="271" spans="1:6">
      <c r="A271" s="288" t="s">
        <v>1887</v>
      </c>
      <c r="B271" s="293" t="s">
        <v>1914</v>
      </c>
      <c r="C271" s="375">
        <v>0.15</v>
      </c>
      <c r="D271" s="375">
        <v>0.15</v>
      </c>
      <c r="E271" s="375">
        <v>0.15</v>
      </c>
      <c r="F271" s="376">
        <v>0.13800000000000001</v>
      </c>
    </row>
    <row r="272" spans="1:6">
      <c r="A272" s="288" t="s">
        <v>1887</v>
      </c>
      <c r="B272" s="293" t="s">
        <v>1915</v>
      </c>
      <c r="C272" s="381"/>
      <c r="D272" s="381"/>
      <c r="E272" s="381"/>
      <c r="F272" s="376">
        <v>0.14000000000000001</v>
      </c>
    </row>
    <row r="273" spans="1:6">
      <c r="A273" s="288" t="s">
        <v>1887</v>
      </c>
      <c r="B273" s="293" t="s">
        <v>1916</v>
      </c>
      <c r="C273" s="375">
        <v>0.14199999999999999</v>
      </c>
      <c r="D273" s="375">
        <v>0.14299999999999999</v>
      </c>
      <c r="E273" s="375">
        <v>0.15</v>
      </c>
      <c r="F273" s="376">
        <v>0.1</v>
      </c>
    </row>
    <row r="274" spans="1:6">
      <c r="A274" s="288" t="s">
        <v>1887</v>
      </c>
      <c r="B274" s="293" t="s">
        <v>1917</v>
      </c>
      <c r="C274" s="375">
        <v>0.14799999999999999</v>
      </c>
      <c r="D274" s="375">
        <v>0.14799999999999999</v>
      </c>
      <c r="E274" s="375">
        <v>0.15</v>
      </c>
      <c r="F274" s="376">
        <v>6.7000000000000004E-2</v>
      </c>
    </row>
    <row r="275" spans="1:6">
      <c r="A275" s="288" t="s">
        <v>1887</v>
      </c>
      <c r="B275" s="293" t="s">
        <v>1918</v>
      </c>
      <c r="C275" s="375">
        <v>0.15</v>
      </c>
      <c r="D275" s="375">
        <v>0.15</v>
      </c>
      <c r="E275" s="375">
        <v>0.15</v>
      </c>
      <c r="F275" s="376">
        <v>0.15</v>
      </c>
    </row>
    <row r="276" spans="1:6">
      <c r="A276" s="288" t="s">
        <v>1887</v>
      </c>
      <c r="B276" s="293" t="s">
        <v>1919</v>
      </c>
      <c r="C276" s="375">
        <v>0.14499999999999999</v>
      </c>
      <c r="D276" s="375">
        <v>0.14299999999999999</v>
      </c>
      <c r="E276" s="375">
        <v>0.15</v>
      </c>
      <c r="F276" s="376">
        <v>5.8999999999999997E-2</v>
      </c>
    </row>
    <row r="277" spans="1:6">
      <c r="A277" s="288" t="s">
        <v>1887</v>
      </c>
      <c r="B277" s="293" t="s">
        <v>1920</v>
      </c>
      <c r="C277" s="375">
        <v>0.15</v>
      </c>
      <c r="D277" s="375">
        <v>0.15</v>
      </c>
      <c r="E277" s="375">
        <v>0.15</v>
      </c>
      <c r="F277" s="376">
        <v>0.121</v>
      </c>
    </row>
    <row r="278" spans="1:6">
      <c r="A278" s="288" t="s">
        <v>1887</v>
      </c>
      <c r="B278" s="293" t="s">
        <v>1921</v>
      </c>
      <c r="C278" s="375">
        <v>0.15</v>
      </c>
      <c r="D278" s="375">
        <v>0.15</v>
      </c>
      <c r="E278" s="375">
        <v>0.15</v>
      </c>
      <c r="F278" s="376">
        <v>0.13800000000000001</v>
      </c>
    </row>
    <row r="279" spans="1:6" ht="24">
      <c r="A279" s="288" t="s">
        <v>1887</v>
      </c>
      <c r="B279" s="293" t="s">
        <v>1922</v>
      </c>
      <c r="C279" s="381"/>
      <c r="D279" s="381"/>
      <c r="E279" s="381"/>
      <c r="F279" s="376">
        <v>0.05</v>
      </c>
    </row>
    <row r="280" spans="1:6" ht="24">
      <c r="A280" s="288" t="s">
        <v>1887</v>
      </c>
      <c r="B280" s="293" t="s">
        <v>1923</v>
      </c>
      <c r="C280" s="381"/>
      <c r="D280" s="381"/>
      <c r="E280" s="381"/>
      <c r="F280" s="376">
        <v>0.05</v>
      </c>
    </row>
    <row r="281" spans="1:6" ht="24">
      <c r="A281" s="288" t="s">
        <v>1887</v>
      </c>
      <c r="B281" s="293" t="s">
        <v>1924</v>
      </c>
      <c r="C281" s="381"/>
      <c r="D281" s="381"/>
      <c r="E281" s="381"/>
      <c r="F281" s="376">
        <v>0.05</v>
      </c>
    </row>
    <row r="282" spans="1:6" ht="24">
      <c r="A282" s="288" t="s">
        <v>1887</v>
      </c>
      <c r="B282" s="293" t="s">
        <v>1925</v>
      </c>
      <c r="C282" s="381"/>
      <c r="D282" s="381"/>
      <c r="E282" s="381"/>
      <c r="F282" s="376">
        <v>0.05</v>
      </c>
    </row>
    <row r="283" spans="1:6" ht="24">
      <c r="A283" s="288" t="s">
        <v>1887</v>
      </c>
      <c r="B283" s="293" t="s">
        <v>1926</v>
      </c>
      <c r="C283" s="381"/>
      <c r="D283" s="381"/>
      <c r="E283" s="381"/>
      <c r="F283" s="376">
        <v>0.05</v>
      </c>
    </row>
    <row r="284" spans="1:6" ht="24">
      <c r="A284" s="288" t="s">
        <v>1887</v>
      </c>
      <c r="B284" s="293" t="s">
        <v>1927</v>
      </c>
      <c r="C284" s="381"/>
      <c r="D284" s="381"/>
      <c r="E284" s="381"/>
      <c r="F284" s="376">
        <v>0.05</v>
      </c>
    </row>
    <row r="285" spans="1:6" ht="24">
      <c r="A285" s="288" t="s">
        <v>1887</v>
      </c>
      <c r="B285" s="293" t="s">
        <v>1928</v>
      </c>
      <c r="C285" s="381"/>
      <c r="D285" s="381"/>
      <c r="E285" s="381"/>
      <c r="F285" s="376">
        <v>0.05</v>
      </c>
    </row>
    <row r="286" spans="1:6" ht="24">
      <c r="A286" s="288" t="s">
        <v>1887</v>
      </c>
      <c r="B286" s="293" t="s">
        <v>1929</v>
      </c>
      <c r="C286" s="381"/>
      <c r="D286" s="381"/>
      <c r="E286" s="381"/>
      <c r="F286" s="376">
        <v>0.05</v>
      </c>
    </row>
    <row r="287" spans="1:6" ht="24">
      <c r="A287" s="288" t="s">
        <v>1887</v>
      </c>
      <c r="B287" s="293" t="s">
        <v>1930</v>
      </c>
      <c r="C287" s="381"/>
      <c r="D287" s="381"/>
      <c r="E287" s="381"/>
      <c r="F287" s="376">
        <v>0.05</v>
      </c>
    </row>
    <row r="288" spans="1:6" ht="24">
      <c r="A288" s="288" t="s">
        <v>1887</v>
      </c>
      <c r="B288" s="293" t="s">
        <v>1931</v>
      </c>
      <c r="C288" s="381"/>
      <c r="D288" s="381"/>
      <c r="E288" s="381"/>
      <c r="F288" s="376">
        <v>0.05</v>
      </c>
    </row>
    <row r="289" spans="1:6" ht="24">
      <c r="A289" s="306" t="s">
        <v>1887</v>
      </c>
      <c r="B289" s="299" t="s">
        <v>1932</v>
      </c>
      <c r="C289" s="378"/>
      <c r="D289" s="378"/>
      <c r="E289" s="378"/>
      <c r="F289" s="382">
        <v>0.05</v>
      </c>
    </row>
    <row r="290" spans="1:6">
      <c r="A290" s="288" t="s">
        <v>1933</v>
      </c>
      <c r="B290" s="289" t="s">
        <v>1934</v>
      </c>
      <c r="C290" s="373">
        <v>0.15</v>
      </c>
      <c r="D290" s="373">
        <v>0.15</v>
      </c>
      <c r="E290" s="373">
        <v>0.15</v>
      </c>
      <c r="F290" s="390"/>
    </row>
    <row r="291" spans="1:6">
      <c r="A291" s="288" t="s">
        <v>1933</v>
      </c>
      <c r="B291" s="293" t="s">
        <v>1935</v>
      </c>
      <c r="C291" s="375">
        <v>0.15</v>
      </c>
      <c r="D291" s="375">
        <v>0.15</v>
      </c>
      <c r="E291" s="375">
        <v>0.15</v>
      </c>
      <c r="F291" s="380"/>
    </row>
    <row r="292" spans="1:6">
      <c r="A292" s="288" t="s">
        <v>1933</v>
      </c>
      <c r="B292" s="293" t="s">
        <v>1936</v>
      </c>
      <c r="C292" s="375">
        <v>0.15</v>
      </c>
      <c r="D292" s="375">
        <v>0.15</v>
      </c>
      <c r="E292" s="375">
        <v>0.15</v>
      </c>
      <c r="F292" s="376">
        <v>0.14699999999999999</v>
      </c>
    </row>
    <row r="293" spans="1:6">
      <c r="A293" s="288" t="s">
        <v>1933</v>
      </c>
      <c r="B293" s="293" t="s">
        <v>1937</v>
      </c>
      <c r="C293" s="381"/>
      <c r="D293" s="381"/>
      <c r="E293" s="381"/>
      <c r="F293" s="376">
        <v>0.1</v>
      </c>
    </row>
    <row r="294" spans="1:6">
      <c r="A294" s="288" t="s">
        <v>1933</v>
      </c>
      <c r="B294" s="293" t="s">
        <v>1938</v>
      </c>
      <c r="C294" s="375">
        <v>0.15</v>
      </c>
      <c r="D294" s="375">
        <v>0.15</v>
      </c>
      <c r="E294" s="375">
        <v>0.15</v>
      </c>
      <c r="F294" s="376">
        <v>0.15</v>
      </c>
    </row>
    <row r="295" spans="1:6">
      <c r="A295" s="288" t="s">
        <v>1933</v>
      </c>
      <c r="B295" s="293" t="s">
        <v>1939</v>
      </c>
      <c r="C295" s="375">
        <v>0.15</v>
      </c>
      <c r="D295" s="375">
        <v>0.15</v>
      </c>
      <c r="E295" s="375">
        <v>0.15</v>
      </c>
      <c r="F295" s="376">
        <v>0.15</v>
      </c>
    </row>
    <row r="296" spans="1:6">
      <c r="A296" s="288" t="s">
        <v>1933</v>
      </c>
      <c r="B296" s="293" t="s">
        <v>1940</v>
      </c>
      <c r="C296" s="375">
        <v>0.15</v>
      </c>
      <c r="D296" s="375">
        <v>0.15</v>
      </c>
      <c r="E296" s="375">
        <v>0.15</v>
      </c>
      <c r="F296" s="376">
        <v>0.15</v>
      </c>
    </row>
    <row r="297" spans="1:6">
      <c r="A297" s="288" t="s">
        <v>1933</v>
      </c>
      <c r="B297" s="293" t="s">
        <v>1941</v>
      </c>
      <c r="C297" s="375">
        <v>0.14799999999999999</v>
      </c>
      <c r="D297" s="375">
        <v>0.14899999999999999</v>
      </c>
      <c r="E297" s="375">
        <v>0.15</v>
      </c>
      <c r="F297" s="376">
        <v>0.13700000000000001</v>
      </c>
    </row>
    <row r="298" spans="1:6">
      <c r="A298" s="288" t="s">
        <v>1933</v>
      </c>
      <c r="B298" s="293" t="s">
        <v>1942</v>
      </c>
      <c r="C298" s="375">
        <v>0.13400000000000001</v>
      </c>
      <c r="D298" s="375">
        <v>0.13400000000000001</v>
      </c>
      <c r="E298" s="375">
        <v>0.14499999999999999</v>
      </c>
      <c r="F298" s="376">
        <v>0.14799999999999999</v>
      </c>
    </row>
    <row r="299" spans="1:6">
      <c r="A299" s="288" t="s">
        <v>1933</v>
      </c>
      <c r="B299" s="293" t="s">
        <v>1943</v>
      </c>
      <c r="C299" s="375">
        <v>0.15</v>
      </c>
      <c r="D299" s="375">
        <v>0.15</v>
      </c>
      <c r="E299" s="375">
        <v>0.15</v>
      </c>
      <c r="F299" s="380"/>
    </row>
    <row r="300" spans="1:6">
      <c r="A300" s="288" t="s">
        <v>1933</v>
      </c>
      <c r="B300" s="293" t="s">
        <v>1944</v>
      </c>
      <c r="C300" s="375">
        <v>0.15</v>
      </c>
      <c r="D300" s="375">
        <v>0.15</v>
      </c>
      <c r="E300" s="375">
        <v>0.15</v>
      </c>
      <c r="F300" s="376">
        <v>0.15</v>
      </c>
    </row>
    <row r="301" spans="1:6">
      <c r="A301" s="288" t="s">
        <v>1933</v>
      </c>
      <c r="B301" s="293" t="s">
        <v>1945</v>
      </c>
      <c r="C301" s="375">
        <v>0.15</v>
      </c>
      <c r="D301" s="375">
        <v>0.15</v>
      </c>
      <c r="E301" s="375">
        <v>0.15</v>
      </c>
      <c r="F301" s="380"/>
    </row>
    <row r="302" spans="1:6">
      <c r="A302" s="288" t="s">
        <v>1933</v>
      </c>
      <c r="B302" s="293" t="s">
        <v>1946</v>
      </c>
      <c r="C302" s="375">
        <v>0.15</v>
      </c>
      <c r="D302" s="375">
        <v>0.15</v>
      </c>
      <c r="E302" s="375">
        <v>0.15</v>
      </c>
      <c r="F302" s="376">
        <v>0.15</v>
      </c>
    </row>
    <row r="303" spans="1:6">
      <c r="A303" s="288" t="s">
        <v>1933</v>
      </c>
      <c r="B303" s="293" t="s">
        <v>1947</v>
      </c>
      <c r="C303" s="375">
        <v>0.15</v>
      </c>
      <c r="D303" s="375">
        <v>0.15</v>
      </c>
      <c r="E303" s="375">
        <v>0.15</v>
      </c>
      <c r="F303" s="376">
        <v>0.15</v>
      </c>
    </row>
    <row r="304" spans="1:6">
      <c r="A304" s="288" t="s">
        <v>1933</v>
      </c>
      <c r="B304" s="293" t="s">
        <v>1948</v>
      </c>
      <c r="C304" s="375">
        <v>0.15</v>
      </c>
      <c r="D304" s="375">
        <v>0.15</v>
      </c>
      <c r="E304" s="375">
        <v>0.15</v>
      </c>
      <c r="F304" s="380"/>
    </row>
    <row r="305" spans="1:6">
      <c r="A305" s="288" t="s">
        <v>1933</v>
      </c>
      <c r="B305" s="293" t="s">
        <v>1949</v>
      </c>
      <c r="C305" s="375">
        <v>0.15</v>
      </c>
      <c r="D305" s="375">
        <v>0.15</v>
      </c>
      <c r="E305" s="375">
        <v>0.15</v>
      </c>
      <c r="F305" s="376">
        <v>0.14000000000000001</v>
      </c>
    </row>
    <row r="306" spans="1:6">
      <c r="A306" s="288" t="s">
        <v>1933</v>
      </c>
      <c r="B306" s="293" t="s">
        <v>1950</v>
      </c>
      <c r="C306" s="375">
        <v>0.15</v>
      </c>
      <c r="D306" s="375">
        <v>0.15</v>
      </c>
      <c r="E306" s="375">
        <v>0.15</v>
      </c>
      <c r="F306" s="380"/>
    </row>
    <row r="307" spans="1:6">
      <c r="A307" s="288" t="s">
        <v>1933</v>
      </c>
      <c r="B307" s="293" t="s">
        <v>1951</v>
      </c>
      <c r="C307" s="375">
        <v>0.15</v>
      </c>
      <c r="D307" s="375">
        <v>0.15</v>
      </c>
      <c r="E307" s="375">
        <v>0.15</v>
      </c>
      <c r="F307" s="376">
        <v>0.14299999999999999</v>
      </c>
    </row>
    <row r="308" spans="1:6">
      <c r="A308" s="288" t="s">
        <v>1933</v>
      </c>
      <c r="B308" s="293" t="s">
        <v>1952</v>
      </c>
      <c r="C308" s="375">
        <v>0.15</v>
      </c>
      <c r="D308" s="375">
        <v>0.15</v>
      </c>
      <c r="E308" s="375">
        <v>0.15</v>
      </c>
      <c r="F308" s="376">
        <v>0.15</v>
      </c>
    </row>
    <row r="309" spans="1:6">
      <c r="A309" s="288" t="s">
        <v>1933</v>
      </c>
      <c r="B309" s="293" t="s">
        <v>1953</v>
      </c>
      <c r="C309" s="375">
        <v>0.15</v>
      </c>
      <c r="D309" s="375">
        <v>0.15</v>
      </c>
      <c r="E309" s="375">
        <v>0.15</v>
      </c>
      <c r="F309" s="380"/>
    </row>
    <row r="310" spans="1:6">
      <c r="A310" s="288" t="s">
        <v>1933</v>
      </c>
      <c r="B310" s="293" t="s">
        <v>1954</v>
      </c>
      <c r="C310" s="375">
        <v>0.15</v>
      </c>
      <c r="D310" s="375">
        <v>0.15</v>
      </c>
      <c r="E310" s="375">
        <v>0.15</v>
      </c>
      <c r="F310" s="376">
        <v>0.13700000000000001</v>
      </c>
    </row>
    <row r="311" spans="1:6">
      <c r="A311" s="288" t="s">
        <v>1933</v>
      </c>
      <c r="B311" s="293" t="s">
        <v>1955</v>
      </c>
      <c r="C311" s="375">
        <v>0.15</v>
      </c>
      <c r="D311" s="375">
        <v>0.15</v>
      </c>
      <c r="E311" s="375">
        <v>0.15</v>
      </c>
      <c r="F311" s="376">
        <v>0.15</v>
      </c>
    </row>
    <row r="312" spans="1:6">
      <c r="A312" s="288" t="s">
        <v>1933</v>
      </c>
      <c r="B312" s="293" t="s">
        <v>1956</v>
      </c>
      <c r="C312" s="375">
        <v>0.15</v>
      </c>
      <c r="D312" s="375">
        <v>0.15</v>
      </c>
      <c r="E312" s="375">
        <v>0.15</v>
      </c>
      <c r="F312" s="376">
        <v>0.1</v>
      </c>
    </row>
    <row r="313" spans="1:6">
      <c r="A313" s="288" t="s">
        <v>1933</v>
      </c>
      <c r="B313" s="293" t="s">
        <v>1957</v>
      </c>
      <c r="C313" s="375">
        <v>0.15</v>
      </c>
      <c r="D313" s="375">
        <v>0.15</v>
      </c>
      <c r="E313" s="375">
        <v>0.15</v>
      </c>
      <c r="F313" s="376">
        <v>0.15</v>
      </c>
    </row>
    <row r="314" spans="1:6" ht="24">
      <c r="A314" s="288" t="s">
        <v>1933</v>
      </c>
      <c r="B314" s="293" t="s">
        <v>1958</v>
      </c>
      <c r="C314" s="381"/>
      <c r="D314" s="381"/>
      <c r="E314" s="381"/>
      <c r="F314" s="376">
        <v>0.05</v>
      </c>
    </row>
    <row r="315" spans="1:6" ht="24">
      <c r="A315" s="288" t="s">
        <v>1933</v>
      </c>
      <c r="B315" s="293" t="s">
        <v>1959</v>
      </c>
      <c r="C315" s="381"/>
      <c r="D315" s="381"/>
      <c r="E315" s="381"/>
      <c r="F315" s="376">
        <v>0.05</v>
      </c>
    </row>
    <row r="316" spans="1:6" ht="24">
      <c r="A316" s="306" t="s">
        <v>1933</v>
      </c>
      <c r="B316" s="299" t="s">
        <v>1960</v>
      </c>
      <c r="C316" s="378"/>
      <c r="D316" s="378"/>
      <c r="E316" s="378"/>
      <c r="F316" s="382">
        <v>0.05</v>
      </c>
    </row>
    <row r="317" spans="1:6">
      <c r="A317" s="288" t="s">
        <v>1961</v>
      </c>
      <c r="B317" s="289" t="s">
        <v>1962</v>
      </c>
      <c r="C317" s="373">
        <v>0.15</v>
      </c>
      <c r="D317" s="373">
        <v>0.15</v>
      </c>
      <c r="E317" s="373">
        <v>0.15</v>
      </c>
      <c r="F317" s="374">
        <v>0.15</v>
      </c>
    </row>
    <row r="318" spans="1:6">
      <c r="A318" s="288" t="s">
        <v>1961</v>
      </c>
      <c r="B318" s="293" t="s">
        <v>1963</v>
      </c>
      <c r="C318" s="375">
        <v>0.107</v>
      </c>
      <c r="D318" s="375">
        <v>0.11</v>
      </c>
      <c r="E318" s="375">
        <v>0.112</v>
      </c>
      <c r="F318" s="380"/>
    </row>
    <row r="319" spans="1:6">
      <c r="A319" s="288" t="s">
        <v>1961</v>
      </c>
      <c r="B319" s="293" t="s">
        <v>1964</v>
      </c>
      <c r="C319" s="375">
        <v>0.15</v>
      </c>
      <c r="D319" s="375">
        <v>0.15</v>
      </c>
      <c r="E319" s="375">
        <v>0.15</v>
      </c>
      <c r="F319" s="376">
        <v>0.15</v>
      </c>
    </row>
    <row r="320" spans="1:6">
      <c r="A320" s="288" t="s">
        <v>1961</v>
      </c>
      <c r="B320" s="293" t="s">
        <v>1965</v>
      </c>
      <c r="C320" s="375">
        <v>0.15</v>
      </c>
      <c r="D320" s="375">
        <v>0.15</v>
      </c>
      <c r="E320" s="375">
        <v>0.15</v>
      </c>
      <c r="F320" s="380"/>
    </row>
    <row r="321" spans="1:6">
      <c r="A321" s="288" t="s">
        <v>1961</v>
      </c>
      <c r="B321" s="293" t="s">
        <v>1966</v>
      </c>
      <c r="C321" s="375">
        <v>0.15</v>
      </c>
      <c r="D321" s="375">
        <v>0.15</v>
      </c>
      <c r="E321" s="375">
        <v>0.15</v>
      </c>
      <c r="F321" s="380"/>
    </row>
    <row r="322" spans="1:6">
      <c r="A322" s="288" t="s">
        <v>1961</v>
      </c>
      <c r="B322" s="293" t="s">
        <v>1967</v>
      </c>
      <c r="C322" s="375">
        <v>0.15</v>
      </c>
      <c r="D322" s="375">
        <v>0.15</v>
      </c>
      <c r="E322" s="375">
        <v>0.15</v>
      </c>
      <c r="F322" s="376">
        <v>0.15</v>
      </c>
    </row>
    <row r="323" spans="1:6">
      <c r="A323" s="288" t="s">
        <v>1961</v>
      </c>
      <c r="B323" s="293" t="s">
        <v>1968</v>
      </c>
      <c r="C323" s="375">
        <v>0.15</v>
      </c>
      <c r="D323" s="375">
        <v>0.15</v>
      </c>
      <c r="E323" s="375">
        <v>0.15</v>
      </c>
      <c r="F323" s="380"/>
    </row>
    <row r="324" spans="1:6">
      <c r="A324" s="288" t="s">
        <v>1961</v>
      </c>
      <c r="B324" s="293" t="s">
        <v>1969</v>
      </c>
      <c r="C324" s="375">
        <v>0.15</v>
      </c>
      <c r="D324" s="375">
        <v>0.15</v>
      </c>
      <c r="E324" s="375">
        <v>0.15</v>
      </c>
      <c r="F324" s="380"/>
    </row>
    <row r="325" spans="1:6">
      <c r="A325" s="288" t="s">
        <v>1961</v>
      </c>
      <c r="B325" s="293" t="s">
        <v>1970</v>
      </c>
      <c r="C325" s="375">
        <v>0.15</v>
      </c>
      <c r="D325" s="375">
        <v>0.15</v>
      </c>
      <c r="E325" s="375">
        <v>0.15</v>
      </c>
      <c r="F325" s="376">
        <v>0.14699999999999999</v>
      </c>
    </row>
    <row r="326" spans="1:6">
      <c r="A326" s="288" t="s">
        <v>1961</v>
      </c>
      <c r="B326" s="293" t="s">
        <v>1971</v>
      </c>
      <c r="C326" s="375">
        <v>0.15</v>
      </c>
      <c r="D326" s="375">
        <v>0.15</v>
      </c>
      <c r="E326" s="375">
        <v>0.15</v>
      </c>
      <c r="F326" s="380"/>
    </row>
    <row r="327" spans="1:6">
      <c r="A327" s="288" t="s">
        <v>1961</v>
      </c>
      <c r="B327" s="293" t="s">
        <v>1972</v>
      </c>
      <c r="C327" s="375">
        <v>0.15</v>
      </c>
      <c r="D327" s="375">
        <v>0.15</v>
      </c>
      <c r="E327" s="375">
        <v>0.15</v>
      </c>
      <c r="F327" s="376">
        <v>0.15</v>
      </c>
    </row>
    <row r="328" spans="1:6">
      <c r="A328" s="288" t="s">
        <v>1961</v>
      </c>
      <c r="B328" s="293" t="s">
        <v>1973</v>
      </c>
      <c r="C328" s="375">
        <v>0.15</v>
      </c>
      <c r="D328" s="375">
        <v>0.15</v>
      </c>
      <c r="E328" s="375">
        <v>0.15</v>
      </c>
      <c r="F328" s="376">
        <v>0.14099999999999999</v>
      </c>
    </row>
    <row r="329" spans="1:6">
      <c r="A329" s="288" t="s">
        <v>1961</v>
      </c>
      <c r="B329" s="293" t="s">
        <v>1974</v>
      </c>
      <c r="C329" s="375">
        <v>0.15</v>
      </c>
      <c r="D329" s="375">
        <v>0.15</v>
      </c>
      <c r="E329" s="375">
        <v>0.15</v>
      </c>
      <c r="F329" s="376">
        <v>0.15</v>
      </c>
    </row>
    <row r="330" spans="1:6">
      <c r="A330" s="288" t="s">
        <v>1961</v>
      </c>
      <c r="B330" s="293" t="s">
        <v>1975</v>
      </c>
      <c r="C330" s="375">
        <v>0.15</v>
      </c>
      <c r="D330" s="375">
        <v>0.15</v>
      </c>
      <c r="E330" s="375">
        <v>0.15</v>
      </c>
      <c r="F330" s="380"/>
    </row>
    <row r="331" spans="1:6">
      <c r="A331" s="288" t="s">
        <v>1961</v>
      </c>
      <c r="B331" s="293" t="s">
        <v>1976</v>
      </c>
      <c r="C331" s="375">
        <v>0.15</v>
      </c>
      <c r="D331" s="375">
        <v>0.15</v>
      </c>
      <c r="E331" s="375">
        <v>0.15</v>
      </c>
      <c r="F331" s="376">
        <v>0.15</v>
      </c>
    </row>
    <row r="332" spans="1:6">
      <c r="A332" s="288" t="s">
        <v>1961</v>
      </c>
      <c r="B332" s="293" t="s">
        <v>1977</v>
      </c>
      <c r="C332" s="375">
        <v>0.15</v>
      </c>
      <c r="D332" s="375">
        <v>0.15</v>
      </c>
      <c r="E332" s="375">
        <v>0.15</v>
      </c>
      <c r="F332" s="376">
        <v>0.15</v>
      </c>
    </row>
    <row r="333" spans="1:6">
      <c r="A333" s="288" t="s">
        <v>1961</v>
      </c>
      <c r="B333" s="293" t="s">
        <v>1978</v>
      </c>
      <c r="C333" s="375">
        <v>0.15</v>
      </c>
      <c r="D333" s="375">
        <v>0.15</v>
      </c>
      <c r="E333" s="375">
        <v>0.15</v>
      </c>
      <c r="F333" s="376">
        <v>0.14099999999999999</v>
      </c>
    </row>
    <row r="334" spans="1:6">
      <c r="A334" s="288" t="s">
        <v>1961</v>
      </c>
      <c r="B334" s="293" t="s">
        <v>1979</v>
      </c>
      <c r="C334" s="375">
        <v>0.15</v>
      </c>
      <c r="D334" s="375">
        <v>0.15</v>
      </c>
      <c r="E334" s="375">
        <v>0.15</v>
      </c>
      <c r="F334" s="376">
        <v>0.15</v>
      </c>
    </row>
    <row r="335" spans="1:6">
      <c r="A335" s="288" t="s">
        <v>1961</v>
      </c>
      <c r="B335" s="293" t="s">
        <v>1980</v>
      </c>
      <c r="C335" s="375">
        <v>0.15</v>
      </c>
      <c r="D335" s="375">
        <v>0.15</v>
      </c>
      <c r="E335" s="375">
        <v>0.15</v>
      </c>
      <c r="F335" s="380"/>
    </row>
    <row r="336" spans="1:6">
      <c r="A336" s="288" t="s">
        <v>1961</v>
      </c>
      <c r="B336" s="293" t="s">
        <v>1981</v>
      </c>
      <c r="C336" s="375">
        <v>0.15</v>
      </c>
      <c r="D336" s="375">
        <v>0.15</v>
      </c>
      <c r="E336" s="375">
        <v>0.15</v>
      </c>
      <c r="F336" s="376">
        <v>0.11799999999999999</v>
      </c>
    </row>
    <row r="337" spans="1:6">
      <c r="A337" s="306" t="s">
        <v>1961</v>
      </c>
      <c r="B337" s="299" t="s">
        <v>1982</v>
      </c>
      <c r="C337" s="378"/>
      <c r="D337" s="378"/>
      <c r="E337" s="378"/>
      <c r="F337" s="382">
        <v>0.14299999999999999</v>
      </c>
    </row>
    <row r="338" spans="1:6">
      <c r="A338" s="288" t="s">
        <v>1983</v>
      </c>
      <c r="B338" s="289" t="s">
        <v>1984</v>
      </c>
      <c r="C338" s="373">
        <v>0.15</v>
      </c>
      <c r="D338" s="373">
        <v>0.15</v>
      </c>
      <c r="E338" s="373">
        <v>0.15</v>
      </c>
      <c r="F338" s="390"/>
    </row>
    <row r="339" spans="1:6">
      <c r="A339" s="288" t="s">
        <v>1983</v>
      </c>
      <c r="B339" s="293" t="s">
        <v>1985</v>
      </c>
      <c r="C339" s="375">
        <v>0.15</v>
      </c>
      <c r="D339" s="375">
        <v>0.15</v>
      </c>
      <c r="E339" s="375">
        <v>0.15</v>
      </c>
      <c r="F339" s="380"/>
    </row>
    <row r="340" spans="1:6">
      <c r="A340" s="288" t="s">
        <v>1983</v>
      </c>
      <c r="B340" s="293" t="s">
        <v>1986</v>
      </c>
      <c r="C340" s="375">
        <v>0.15</v>
      </c>
      <c r="D340" s="375">
        <v>0.15</v>
      </c>
      <c r="E340" s="375">
        <v>0.15</v>
      </c>
      <c r="F340" s="380"/>
    </row>
    <row r="341" spans="1:6">
      <c r="A341" s="288" t="s">
        <v>1983</v>
      </c>
      <c r="B341" s="293" t="s">
        <v>1987</v>
      </c>
      <c r="C341" s="375">
        <v>0.15</v>
      </c>
      <c r="D341" s="375">
        <v>0.15</v>
      </c>
      <c r="E341" s="375">
        <v>0.15</v>
      </c>
      <c r="F341" s="376">
        <v>0.15</v>
      </c>
    </row>
    <row r="342" spans="1:6">
      <c r="A342" s="288" t="s">
        <v>1983</v>
      </c>
      <c r="B342" s="293" t="s">
        <v>1988</v>
      </c>
      <c r="C342" s="375">
        <v>0.15</v>
      </c>
      <c r="D342" s="375">
        <v>0.15</v>
      </c>
      <c r="E342" s="375">
        <v>0.15</v>
      </c>
      <c r="F342" s="376">
        <v>0.15</v>
      </c>
    </row>
    <row r="343" spans="1:6">
      <c r="A343" s="288" t="s">
        <v>1983</v>
      </c>
      <c r="B343" s="293" t="s">
        <v>1989</v>
      </c>
      <c r="C343" s="375">
        <v>0.15</v>
      </c>
      <c r="D343" s="375">
        <v>0.15</v>
      </c>
      <c r="E343" s="375">
        <v>0.15</v>
      </c>
      <c r="F343" s="376">
        <v>0.15</v>
      </c>
    </row>
    <row r="344" spans="1:6">
      <c r="A344" s="306" t="s">
        <v>1983</v>
      </c>
      <c r="B344" s="299" t="s">
        <v>1990</v>
      </c>
      <c r="C344" s="377">
        <v>0.15</v>
      </c>
      <c r="D344" s="377">
        <v>0.15</v>
      </c>
      <c r="E344" s="377">
        <v>0.15</v>
      </c>
      <c r="F344" s="382">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1991</v>
      </c>
      <c r="B1" s="323"/>
      <c r="C1" s="324"/>
      <c r="D1" s="325"/>
      <c r="E1" s="325"/>
      <c r="F1" s="326"/>
      <c r="G1" s="327"/>
      <c r="H1" s="326"/>
      <c r="I1" s="327"/>
      <c r="J1" s="327"/>
      <c r="K1" s="327"/>
      <c r="L1" s="327"/>
      <c r="M1" s="327"/>
      <c r="N1" s="316"/>
      <c r="O1" s="316"/>
      <c r="P1" s="316"/>
      <c r="Q1" s="316"/>
      <c r="R1" s="316"/>
      <c r="S1" s="316"/>
      <c r="T1" s="316"/>
    </row>
    <row r="2" spans="1:20" ht="18" customHeight="1">
      <c r="A2" s="328" t="s">
        <v>1634</v>
      </c>
      <c r="B2" s="329">
        <f>1+F4</f>
        <v>1.0128999999999999</v>
      </c>
      <c r="C2" s="330"/>
      <c r="D2" s="331"/>
      <c r="E2" s="331"/>
      <c r="F2" s="332"/>
      <c r="G2" s="333"/>
      <c r="H2" s="326"/>
      <c r="I2" s="327"/>
      <c r="J2" s="327"/>
      <c r="K2" s="327"/>
      <c r="L2" s="327"/>
      <c r="M2" s="327"/>
    </row>
    <row r="3" spans="1:20" ht="13.5">
      <c r="A3" s="248" t="s">
        <v>1992</v>
      </c>
      <c r="B3" s="249" t="s">
        <v>1993</v>
      </c>
      <c r="C3" s="334" t="s">
        <v>1994</v>
      </c>
      <c r="D3" s="335" t="s">
        <v>1995</v>
      </c>
      <c r="E3" s="335" t="s">
        <v>1996</v>
      </c>
      <c r="F3" s="336" t="s">
        <v>1997</v>
      </c>
      <c r="G3" s="337" t="s">
        <v>1998</v>
      </c>
      <c r="H3" s="335" t="s">
        <v>1239</v>
      </c>
      <c r="I3" s="367" t="s">
        <v>1999</v>
      </c>
      <c r="J3" s="367" t="s">
        <v>2000</v>
      </c>
      <c r="K3" s="367" t="s">
        <v>2001</v>
      </c>
      <c r="L3" s="367" t="s">
        <v>2002</v>
      </c>
      <c r="M3" s="367" t="s">
        <v>2003</v>
      </c>
    </row>
    <row r="4" spans="1:20" ht="24">
      <c r="A4" s="248" t="s">
        <v>2004</v>
      </c>
      <c r="B4" s="338" t="str">
        <f>估价对象房地状况!C4</f>
        <v>估价对象位于XX商圈，周边商业氛围成熟，人流量大，商业繁华度好</v>
      </c>
      <c r="C4" s="339" t="s">
        <v>1298</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2005</v>
      </c>
      <c r="B5" s="345" t="str">
        <f>估价对象房地状况!C6</f>
        <v>估价对象周边道路状况、公共交通通达情况、停车便捷程度，综合评价交通便捷度较好</v>
      </c>
      <c r="C5" s="339" t="s">
        <v>2006</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2007</v>
      </c>
      <c r="B6" s="249">
        <f>估价对象房地状况!C19</f>
        <v>0</v>
      </c>
      <c r="C6" s="339" t="s">
        <v>1298</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2008</v>
      </c>
      <c r="B7" s="348" t="s">
        <v>2009</v>
      </c>
      <c r="C7" s="339" t="s">
        <v>2010</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2011</v>
      </c>
      <c r="B8" s="249">
        <f>估价对象房地状况!C10</f>
        <v>0</v>
      </c>
      <c r="C8" s="339" t="s">
        <v>1298</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2012</v>
      </c>
      <c r="B9" s="349" t="s">
        <v>2013</v>
      </c>
      <c r="C9" s="339" t="s">
        <v>1298</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2014</v>
      </c>
      <c r="B10" s="251" t="str">
        <f>估价对象房地状况!C7</f>
        <v>估价对象所在区域公共配套设施齐备情况</v>
      </c>
      <c r="C10" s="339" t="s">
        <v>2015</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2016</v>
      </c>
      <c r="B11" s="351"/>
      <c r="C11" s="339" t="s">
        <v>2006</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2017</v>
      </c>
      <c r="B12" s="353" t="str">
        <f>估价对象房地状况!C9</f>
        <v>区域自然环境：；人文环境；综合评价环境状况一般</v>
      </c>
      <c r="C12" s="339" t="s">
        <v>2015</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1635</v>
      </c>
      <c r="B13" s="329">
        <f>1+F15</f>
        <v>1.0148999999999999</v>
      </c>
      <c r="C13" s="356"/>
      <c r="D13" s="331"/>
      <c r="E13" s="331"/>
      <c r="F13" s="332"/>
      <c r="G13" s="333"/>
      <c r="H13" s="326"/>
      <c r="I13" s="281"/>
      <c r="J13" s="281"/>
      <c r="K13" s="281"/>
      <c r="L13" s="281"/>
      <c r="M13" s="281"/>
    </row>
    <row r="14" spans="1:20" ht="18" customHeight="1">
      <c r="A14" s="248" t="s">
        <v>1992</v>
      </c>
      <c r="B14" s="249"/>
      <c r="C14" s="334" t="s">
        <v>1994</v>
      </c>
      <c r="D14" s="335" t="s">
        <v>1995</v>
      </c>
      <c r="E14" s="335" t="s">
        <v>1996</v>
      </c>
      <c r="F14" s="336" t="s">
        <v>1997</v>
      </c>
      <c r="G14" s="337" t="s">
        <v>1998</v>
      </c>
      <c r="H14" s="335" t="s">
        <v>1239</v>
      </c>
      <c r="I14" s="367" t="s">
        <v>1999</v>
      </c>
      <c r="J14" s="367" t="s">
        <v>2000</v>
      </c>
      <c r="K14" s="367" t="s">
        <v>2001</v>
      </c>
      <c r="L14" s="367" t="s">
        <v>2002</v>
      </c>
      <c r="M14" s="367" t="s">
        <v>2003</v>
      </c>
    </row>
    <row r="15" spans="1:20" ht="24">
      <c r="A15" s="248" t="s">
        <v>2018</v>
      </c>
      <c r="B15" s="338" t="str">
        <f>估价对象房地状况!C5</f>
        <v>估价对象位于XX商圈，周边办公楼项目较多，入驻率高，办公集聚程度较好</v>
      </c>
      <c r="C15" s="339" t="s">
        <v>1298</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2005</v>
      </c>
      <c r="B16" s="249" t="str">
        <f>估价对象房地状况!C6</f>
        <v>估价对象周边道路状况、公共交通通达情况、停车便捷程度，综合评价交通便捷度较好</v>
      </c>
      <c r="C16" s="339" t="s">
        <v>1298</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2007</v>
      </c>
      <c r="B17" s="249">
        <f>估价对象房地状况!C19</f>
        <v>0</v>
      </c>
      <c r="C17" s="339" t="s">
        <v>1298</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2008</v>
      </c>
      <c r="B18" s="348" t="s">
        <v>2009</v>
      </c>
      <c r="C18" s="339" t="s">
        <v>1298</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2011</v>
      </c>
      <c r="B19" s="249">
        <f>估价对象房地状况!C10</f>
        <v>0</v>
      </c>
      <c r="C19" s="339" t="s">
        <v>1298</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2012</v>
      </c>
      <c r="B20" s="349" t="s">
        <v>2013</v>
      </c>
      <c r="C20" s="339" t="s">
        <v>1298</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2014</v>
      </c>
      <c r="B21" s="251" t="str">
        <f>估价对象房地状况!C7</f>
        <v>估价对象所在区域公共配套设施齐备情况</v>
      </c>
      <c r="C21" s="339" t="s">
        <v>1298</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2016</v>
      </c>
      <c r="B22" s="351"/>
      <c r="C22" s="339" t="s">
        <v>1298</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2017</v>
      </c>
      <c r="B23" s="357" t="str">
        <f>估价对象房地状况!C9</f>
        <v>区域自然环境：；人文环境；综合评价环境状况一般</v>
      </c>
      <c r="C23" s="339" t="s">
        <v>1298</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369</v>
      </c>
      <c r="B24" s="329">
        <f>1+F26</f>
        <v>1.0597000000000001</v>
      </c>
      <c r="C24" s="356"/>
      <c r="D24" s="331"/>
      <c r="E24" s="331"/>
      <c r="F24" s="332"/>
      <c r="G24" s="333"/>
      <c r="H24" s="326"/>
      <c r="I24" s="281"/>
      <c r="J24" s="281"/>
      <c r="K24" s="281"/>
      <c r="L24" s="281"/>
      <c r="M24" s="281"/>
    </row>
    <row r="25" spans="1:20" ht="13.5">
      <c r="A25" s="248" t="s">
        <v>1992</v>
      </c>
      <c r="B25" s="249"/>
      <c r="C25" s="334" t="s">
        <v>1994</v>
      </c>
      <c r="D25" s="335" t="s">
        <v>1995</v>
      </c>
      <c r="E25" s="335" t="s">
        <v>1996</v>
      </c>
      <c r="F25" s="336" t="s">
        <v>1997</v>
      </c>
      <c r="G25" s="337" t="s">
        <v>1998</v>
      </c>
      <c r="H25" s="335" t="s">
        <v>1239</v>
      </c>
      <c r="I25" s="367" t="s">
        <v>1999</v>
      </c>
      <c r="J25" s="367" t="s">
        <v>2000</v>
      </c>
      <c r="K25" s="367" t="s">
        <v>2001</v>
      </c>
      <c r="L25" s="367" t="s">
        <v>2002</v>
      </c>
      <c r="M25" s="367" t="s">
        <v>2003</v>
      </c>
    </row>
    <row r="26" spans="1:20" ht="24">
      <c r="A26" s="248" t="s">
        <v>2019</v>
      </c>
      <c r="B26" s="338" t="str">
        <f>估价对象房地状况!C3</f>
        <v>估价对象周边居住用地比例、居住小区规模和社区发展完善程度，综合评价居住社区成熟度一般</v>
      </c>
      <c r="C26" s="339" t="s">
        <v>1298</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2005</v>
      </c>
      <c r="B27" s="249" t="str">
        <f>估价对象房地状况!C6</f>
        <v>估价对象周边道路状况、公共交通通达情况、停车便捷程度，综合评价交通便捷度较好</v>
      </c>
      <c r="C27" s="339" t="s">
        <v>1298</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2007</v>
      </c>
      <c r="B28" s="249">
        <f>估价对象房地状况!C19</f>
        <v>0</v>
      </c>
      <c r="C28" s="339" t="s">
        <v>1298</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2020</v>
      </c>
      <c r="B29" s="249">
        <f>估价对象房地状况!C10</f>
        <v>0</v>
      </c>
      <c r="C29" s="339" t="s">
        <v>2015</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2014</v>
      </c>
      <c r="B30" s="251" t="str">
        <f>估价对象房地状况!C7</f>
        <v>估价对象所在区域公共配套设施齐备情况</v>
      </c>
      <c r="C30" s="339" t="s">
        <v>1298</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2016</v>
      </c>
      <c r="B31" s="351"/>
      <c r="C31" s="339" t="s">
        <v>2015</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2012</v>
      </c>
      <c r="B32" s="349" t="s">
        <v>2013</v>
      </c>
      <c r="C32" s="339" t="s">
        <v>1298</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2017</v>
      </c>
      <c r="B33" s="338" t="str">
        <f>估价对象房地状况!C9</f>
        <v>区域自然环境：；人文环境；综合评价环境状况一般</v>
      </c>
      <c r="C33" s="339" t="s">
        <v>1298</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2021</v>
      </c>
      <c r="B34" s="360" t="s">
        <v>2022</v>
      </c>
      <c r="C34" s="339" t="s">
        <v>2006</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1636</v>
      </c>
      <c r="B35" s="329">
        <f>1+F37</f>
        <v>1.0127999999999999</v>
      </c>
      <c r="C35" s="356"/>
      <c r="D35" s="331"/>
      <c r="E35" s="331"/>
      <c r="F35" s="332"/>
      <c r="G35" s="333"/>
      <c r="H35" s="326"/>
      <c r="I35" s="281"/>
      <c r="J35" s="281"/>
      <c r="K35" s="281"/>
      <c r="L35" s="281"/>
      <c r="M35" s="281"/>
    </row>
    <row r="36" spans="1:13" ht="13.5">
      <c r="A36" s="248" t="s">
        <v>1992</v>
      </c>
      <c r="B36" s="249"/>
      <c r="C36" s="334" t="s">
        <v>1994</v>
      </c>
      <c r="D36" s="335" t="s">
        <v>1995</v>
      </c>
      <c r="E36" s="335" t="s">
        <v>1996</v>
      </c>
      <c r="F36" s="336" t="s">
        <v>1997</v>
      </c>
      <c r="G36" s="337" t="s">
        <v>1998</v>
      </c>
      <c r="H36" s="335" t="s">
        <v>1239</v>
      </c>
      <c r="I36" s="367" t="s">
        <v>1999</v>
      </c>
      <c r="J36" s="367" t="s">
        <v>2000</v>
      </c>
      <c r="K36" s="367" t="s">
        <v>2001</v>
      </c>
      <c r="L36" s="367" t="s">
        <v>2002</v>
      </c>
      <c r="M36" s="367" t="s">
        <v>2003</v>
      </c>
    </row>
    <row r="37" spans="1:13" ht="24">
      <c r="A37" s="248" t="s">
        <v>2023</v>
      </c>
      <c r="B37" s="249" t="str">
        <f>估价对象房地状况!G3</f>
        <v>估价对象位于XX开发区，园区建设成熟度XX，产业集聚程度XX</v>
      </c>
      <c r="C37" s="339" t="s">
        <v>1298</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2005</v>
      </c>
      <c r="B38" s="249" t="str">
        <f>估价对象房地状况!G4</f>
        <v>估价对象周边道路状况、公共交通通达情况、停车便捷程度，综合评价交通便捷度较好</v>
      </c>
      <c r="C38" s="339" t="s">
        <v>1298</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2007</v>
      </c>
      <c r="B39" s="249">
        <f>估价对象房地状况!G17</f>
        <v>0</v>
      </c>
      <c r="C39" s="339" t="s">
        <v>1298</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2020</v>
      </c>
      <c r="B40" s="249">
        <f>估价对象房地状况!G22</f>
        <v>0</v>
      </c>
      <c r="C40" s="339" t="s">
        <v>1298</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2014</v>
      </c>
      <c r="B41" s="251" t="str">
        <f>估价对象房地状况!G19</f>
        <v>估价对象所在区域公共配套设施齐备情况</v>
      </c>
      <c r="C41" s="339" t="s">
        <v>1298</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2016</v>
      </c>
      <c r="B42" s="351"/>
      <c r="C42" s="339" t="s">
        <v>1298</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2012</v>
      </c>
      <c r="B43" s="349" t="s">
        <v>2013</v>
      </c>
      <c r="C43" s="339" t="s">
        <v>2024</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2025</v>
      </c>
      <c r="B44" s="362" t="str">
        <f>估价对象房地状况!G18</f>
        <v>该园区内是否有污染型企业，绿化情况，卫生条件，整体环境状况判断</v>
      </c>
      <c r="C44" s="339" t="s">
        <v>2015</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094" t="s">
        <v>2026</v>
      </c>
      <c r="B1" s="3094"/>
      <c r="C1" s="3094"/>
      <c r="D1" s="3094"/>
      <c r="E1" s="3094"/>
      <c r="F1" s="3094"/>
      <c r="H1" s="278"/>
      <c r="I1" s="311" t="s">
        <v>1639</v>
      </c>
      <c r="J1" s="236" t="s">
        <v>1645</v>
      </c>
      <c r="K1" s="236" t="s">
        <v>1665</v>
      </c>
      <c r="L1" s="236" t="s">
        <v>1686</v>
      </c>
      <c r="M1" s="236" t="s">
        <v>1714</v>
      </c>
      <c r="N1" s="236" t="s">
        <v>1749</v>
      </c>
      <c r="O1" s="236" t="s">
        <v>1798</v>
      </c>
      <c r="P1" s="236" t="s">
        <v>1847</v>
      </c>
      <c r="Q1" s="236" t="s">
        <v>1887</v>
      </c>
      <c r="R1" s="236" t="s">
        <v>1933</v>
      </c>
      <c r="S1" s="236" t="s">
        <v>1961</v>
      </c>
      <c r="T1" s="271" t="s">
        <v>1983</v>
      </c>
    </row>
    <row r="2" spans="1:20">
      <c r="A2" s="3095" t="s">
        <v>2027</v>
      </c>
      <c r="B2" s="3095"/>
      <c r="C2" s="3095"/>
      <c r="D2" s="3095"/>
      <c r="E2" s="3095"/>
      <c r="F2" s="3095"/>
      <c r="I2" s="312" t="s">
        <v>1640</v>
      </c>
      <c r="J2" s="293" t="s">
        <v>1646</v>
      </c>
      <c r="K2" s="293" t="s">
        <v>1666</v>
      </c>
      <c r="L2" s="293" t="s">
        <v>1687</v>
      </c>
      <c r="M2" s="293" t="s">
        <v>1715</v>
      </c>
      <c r="N2" s="293" t="s">
        <v>1750</v>
      </c>
      <c r="O2" s="293" t="s">
        <v>1799</v>
      </c>
      <c r="P2" s="293" t="s">
        <v>1848</v>
      </c>
      <c r="Q2" s="293" t="s">
        <v>1888</v>
      </c>
      <c r="R2" s="293" t="s">
        <v>1934</v>
      </c>
      <c r="S2" s="293" t="s">
        <v>1962</v>
      </c>
      <c r="T2" s="293" t="s">
        <v>1984</v>
      </c>
    </row>
    <row r="3" spans="1:20" s="278" customFormat="1" ht="19.5" customHeight="1">
      <c r="A3" s="3096" t="s">
        <v>1637</v>
      </c>
      <c r="B3" s="283"/>
      <c r="C3" s="284" t="s">
        <v>1634</v>
      </c>
      <c r="D3" s="284" t="s">
        <v>1635</v>
      </c>
      <c r="E3" s="284" t="s">
        <v>369</v>
      </c>
      <c r="F3" s="284" t="s">
        <v>1636</v>
      </c>
      <c r="G3" s="285"/>
      <c r="I3" s="312" t="s">
        <v>1641</v>
      </c>
      <c r="J3" s="293" t="s">
        <v>1647</v>
      </c>
      <c r="K3" s="293" t="s">
        <v>1667</v>
      </c>
      <c r="L3" s="293" t="s">
        <v>1688</v>
      </c>
      <c r="M3" s="293" t="s">
        <v>1716</v>
      </c>
      <c r="N3" s="293" t="s">
        <v>1751</v>
      </c>
      <c r="O3" s="293" t="s">
        <v>1800</v>
      </c>
      <c r="P3" s="293" t="s">
        <v>1849</v>
      </c>
      <c r="Q3" s="293" t="s">
        <v>1889</v>
      </c>
      <c r="R3" s="293" t="s">
        <v>1935</v>
      </c>
      <c r="S3" s="293" t="s">
        <v>1963</v>
      </c>
      <c r="T3" s="293" t="s">
        <v>1985</v>
      </c>
    </row>
    <row r="4" spans="1:20" s="278" customFormat="1" ht="19.5" customHeight="1">
      <c r="A4" s="3097"/>
      <c r="B4" s="286" t="s">
        <v>1638</v>
      </c>
      <c r="C4" s="286" t="s">
        <v>2028</v>
      </c>
      <c r="D4" s="286" t="s">
        <v>2028</v>
      </c>
      <c r="E4" s="286" t="s">
        <v>2028</v>
      </c>
      <c r="F4" s="287" t="s">
        <v>2028</v>
      </c>
      <c r="G4" s="285"/>
      <c r="I4" s="312" t="s">
        <v>1642</v>
      </c>
      <c r="J4" s="293" t="s">
        <v>1648</v>
      </c>
      <c r="K4" s="293" t="s">
        <v>1668</v>
      </c>
      <c r="L4" s="293" t="s">
        <v>1689</v>
      </c>
      <c r="M4" s="293" t="s">
        <v>1717</v>
      </c>
      <c r="N4" s="293" t="s">
        <v>1752</v>
      </c>
      <c r="O4" s="293" t="s">
        <v>1801</v>
      </c>
      <c r="P4" s="293" t="s">
        <v>1850</v>
      </c>
      <c r="Q4" s="293" t="s">
        <v>1890</v>
      </c>
      <c r="R4" s="293" t="s">
        <v>1936</v>
      </c>
      <c r="S4" s="293" t="s">
        <v>1964</v>
      </c>
      <c r="T4" s="293" t="s">
        <v>1986</v>
      </c>
    </row>
    <row r="5" spans="1:20" ht="14.25" customHeight="1">
      <c r="A5" s="288" t="s">
        <v>1639</v>
      </c>
      <c r="B5" s="289" t="s">
        <v>1640</v>
      </c>
      <c r="C5" s="289">
        <v>29530</v>
      </c>
      <c r="D5" s="289">
        <v>28130</v>
      </c>
      <c r="E5" s="289">
        <v>27930</v>
      </c>
      <c r="F5" s="290">
        <v>11300</v>
      </c>
      <c r="G5" s="291" t="s">
        <v>1639</v>
      </c>
      <c r="H5" s="292">
        <f>SUMPRODUCT((B5:B9=基准地价修正!I2)*(C3:F3=基准地价修正!E2)*(C5:F9))</f>
        <v>0</v>
      </c>
      <c r="I5" s="312" t="s">
        <v>1643</v>
      </c>
      <c r="J5" s="293" t="s">
        <v>1649</v>
      </c>
      <c r="K5" s="293" t="s">
        <v>1669</v>
      </c>
      <c r="L5" s="293" t="s">
        <v>1690</v>
      </c>
      <c r="M5" s="293" t="s">
        <v>1718</v>
      </c>
      <c r="N5" s="293" t="s">
        <v>1753</v>
      </c>
      <c r="O5" s="293" t="s">
        <v>1802</v>
      </c>
      <c r="P5" s="293" t="s">
        <v>1851</v>
      </c>
      <c r="Q5" s="293" t="s">
        <v>1891</v>
      </c>
      <c r="R5" s="293" t="s">
        <v>1938</v>
      </c>
      <c r="S5" s="293" t="s">
        <v>1965</v>
      </c>
      <c r="T5" s="293" t="s">
        <v>1987</v>
      </c>
    </row>
    <row r="6" spans="1:20" ht="14.25" customHeight="1">
      <c r="A6" s="288" t="s">
        <v>1639</v>
      </c>
      <c r="B6" s="293" t="s">
        <v>1641</v>
      </c>
      <c r="C6" s="293">
        <v>30290</v>
      </c>
      <c r="D6" s="293">
        <v>29210</v>
      </c>
      <c r="E6" s="293">
        <v>28860</v>
      </c>
      <c r="F6" s="294">
        <v>12600</v>
      </c>
      <c r="G6" s="295" t="s">
        <v>1645</v>
      </c>
      <c r="H6" s="296">
        <f>SUMPRODUCT((B10:B28=基准地价修正!I2)*(C3:F3=基准地价修正!E2)*(C10:F28))</f>
        <v>0</v>
      </c>
      <c r="I6" s="312" t="s">
        <v>1644</v>
      </c>
      <c r="J6" s="293" t="s">
        <v>1650</v>
      </c>
      <c r="K6" s="293" t="s">
        <v>1670</v>
      </c>
      <c r="L6" s="293" t="s">
        <v>1691</v>
      </c>
      <c r="M6" s="293" t="s">
        <v>1719</v>
      </c>
      <c r="N6" s="293" t="s">
        <v>1754</v>
      </c>
      <c r="O6" s="293" t="s">
        <v>1803</v>
      </c>
      <c r="P6" s="293" t="s">
        <v>1852</v>
      </c>
      <c r="Q6" s="293" t="s">
        <v>1892</v>
      </c>
      <c r="R6" s="293" t="s">
        <v>1939</v>
      </c>
      <c r="S6" s="293" t="s">
        <v>1966</v>
      </c>
      <c r="T6" s="293" t="s">
        <v>1988</v>
      </c>
    </row>
    <row r="7" spans="1:20" ht="14.25" customHeight="1">
      <c r="A7" s="288" t="s">
        <v>1639</v>
      </c>
      <c r="B7" s="297" t="s">
        <v>1642</v>
      </c>
      <c r="C7" s="293">
        <v>29350</v>
      </c>
      <c r="D7" s="293">
        <v>28410</v>
      </c>
      <c r="E7" s="293">
        <v>27990</v>
      </c>
      <c r="F7" s="294">
        <v>12300</v>
      </c>
      <c r="G7" s="295" t="s">
        <v>1665</v>
      </c>
      <c r="H7" s="296">
        <f>SUMPRODUCT((B29:B48=基准地价修正!I2)*(C3:F3=基准地价修正!E2)*(C29:F48))</f>
        <v>0</v>
      </c>
      <c r="J7" s="293" t="s">
        <v>1651</v>
      </c>
      <c r="K7" s="293" t="s">
        <v>1671</v>
      </c>
      <c r="L7" s="293" t="s">
        <v>1692</v>
      </c>
      <c r="M7" s="293" t="s">
        <v>1720</v>
      </c>
      <c r="N7" s="293" t="s">
        <v>1755</v>
      </c>
      <c r="O7" s="293" t="s">
        <v>1804</v>
      </c>
      <c r="P7" s="293" t="s">
        <v>1853</v>
      </c>
      <c r="Q7" s="293" t="s">
        <v>1893</v>
      </c>
      <c r="R7" s="293" t="s">
        <v>1940</v>
      </c>
      <c r="S7" s="293" t="s">
        <v>1967</v>
      </c>
      <c r="T7" s="297" t="s">
        <v>1989</v>
      </c>
    </row>
    <row r="8" spans="1:20" ht="14.25" customHeight="1">
      <c r="A8" s="288" t="s">
        <v>1639</v>
      </c>
      <c r="B8" s="293" t="s">
        <v>1643</v>
      </c>
      <c r="C8" s="293">
        <v>30890</v>
      </c>
      <c r="D8" s="293">
        <v>29780</v>
      </c>
      <c r="E8" s="293">
        <v>29270</v>
      </c>
      <c r="F8" s="294">
        <v>11600</v>
      </c>
      <c r="G8" s="295" t="s">
        <v>1686</v>
      </c>
      <c r="H8" s="296">
        <f>SUMPRODUCT((B49:B75=基准地价修正!I2)*(C3:F3=基准地价修正!E2)*(C49:F75))</f>
        <v>0</v>
      </c>
      <c r="J8" s="293" t="s">
        <v>1652</v>
      </c>
      <c r="K8" s="293" t="s">
        <v>1672</v>
      </c>
      <c r="L8" s="293" t="s">
        <v>1693</v>
      </c>
      <c r="M8" s="293" t="s">
        <v>1721</v>
      </c>
      <c r="N8" s="293" t="s">
        <v>1756</v>
      </c>
      <c r="O8" s="293" t="s">
        <v>1805</v>
      </c>
      <c r="P8" s="293" t="s">
        <v>1854</v>
      </c>
      <c r="Q8" s="293" t="s">
        <v>1894</v>
      </c>
      <c r="R8" s="293" t="s">
        <v>1941</v>
      </c>
      <c r="S8" s="293" t="s">
        <v>1968</v>
      </c>
      <c r="T8" s="293" t="s">
        <v>1990</v>
      </c>
    </row>
    <row r="9" spans="1:20" ht="14.25" customHeight="1">
      <c r="A9" s="288" t="s">
        <v>1639</v>
      </c>
      <c r="B9" s="298" t="s">
        <v>1644</v>
      </c>
      <c r="C9" s="299">
        <v>28140</v>
      </c>
      <c r="D9" s="299"/>
      <c r="E9" s="299"/>
      <c r="F9" s="300"/>
      <c r="G9" s="295" t="s">
        <v>1714</v>
      </c>
      <c r="H9" s="296">
        <f>SUMPRODUCT((B76:B109=基准地价修正!I2)*(C3:F3=基准地价修正!E2)*(C76:F109))</f>
        <v>0</v>
      </c>
      <c r="J9" s="293" t="s">
        <v>1653</v>
      </c>
      <c r="K9" s="293" t="s">
        <v>1673</v>
      </c>
      <c r="L9" s="293" t="s">
        <v>1694</v>
      </c>
      <c r="M9" s="293" t="s">
        <v>1722</v>
      </c>
      <c r="N9" s="293" t="s">
        <v>1757</v>
      </c>
      <c r="O9" s="293" t="s">
        <v>1806</v>
      </c>
      <c r="P9" s="293" t="s">
        <v>1855</v>
      </c>
      <c r="Q9" s="293" t="s">
        <v>1895</v>
      </c>
      <c r="R9" s="293" t="s">
        <v>1942</v>
      </c>
      <c r="S9" s="293" t="s">
        <v>1969</v>
      </c>
    </row>
    <row r="10" spans="1:20" ht="14.25" customHeight="1">
      <c r="A10" s="288" t="s">
        <v>1645</v>
      </c>
      <c r="B10" s="289" t="s">
        <v>1646</v>
      </c>
      <c r="C10" s="289">
        <v>27450</v>
      </c>
      <c r="D10" s="289">
        <v>26180</v>
      </c>
      <c r="E10" s="289">
        <v>25980</v>
      </c>
      <c r="F10" s="290">
        <v>8910</v>
      </c>
      <c r="G10" s="295" t="s">
        <v>1749</v>
      </c>
      <c r="H10" s="296">
        <f>SUMPRODUCT((B110:B157=基准地价修正!I2)*(C3:F3=基准地价修正!E2)*(C110:F157))</f>
        <v>0</v>
      </c>
      <c r="J10" s="293" t="s">
        <v>1654</v>
      </c>
      <c r="K10" s="293" t="s">
        <v>1674</v>
      </c>
      <c r="L10" s="293" t="s">
        <v>1695</v>
      </c>
      <c r="M10" s="293" t="s">
        <v>1723</v>
      </c>
      <c r="N10" s="293" t="s">
        <v>1758</v>
      </c>
      <c r="O10" s="293" t="s">
        <v>1807</v>
      </c>
      <c r="P10" s="293" t="s">
        <v>1856</v>
      </c>
      <c r="Q10" s="293" t="s">
        <v>1896</v>
      </c>
      <c r="R10" s="293" t="s">
        <v>1943</v>
      </c>
      <c r="S10" s="293" t="s">
        <v>1970</v>
      </c>
    </row>
    <row r="11" spans="1:20" ht="14.25" customHeight="1">
      <c r="A11" s="288" t="s">
        <v>1645</v>
      </c>
      <c r="B11" s="297" t="s">
        <v>1647</v>
      </c>
      <c r="C11" s="293">
        <v>22950</v>
      </c>
      <c r="D11" s="293">
        <v>22630</v>
      </c>
      <c r="E11" s="293">
        <v>22030</v>
      </c>
      <c r="F11" s="301">
        <v>8330</v>
      </c>
      <c r="G11" s="295" t="s">
        <v>1798</v>
      </c>
      <c r="H11" s="296">
        <f>SUMPRODUCT((B158:B205=基准地价修正!I2)*(C3:F3=基准地价修正!E2)*(C158:F205))</f>
        <v>0</v>
      </c>
      <c r="J11" s="293" t="s">
        <v>1655</v>
      </c>
      <c r="K11" s="293" t="s">
        <v>1675</v>
      </c>
      <c r="L11" s="293" t="s">
        <v>1696</v>
      </c>
      <c r="M11" s="293" t="s">
        <v>1724</v>
      </c>
      <c r="N11" s="293" t="s">
        <v>1759</v>
      </c>
      <c r="O11" s="293" t="s">
        <v>1808</v>
      </c>
      <c r="P11" s="293" t="s">
        <v>1857</v>
      </c>
      <c r="Q11" s="293" t="s">
        <v>1897</v>
      </c>
      <c r="R11" s="293" t="s">
        <v>1944</v>
      </c>
      <c r="S11" s="293" t="s">
        <v>1971</v>
      </c>
    </row>
    <row r="12" spans="1:20" ht="14.25" customHeight="1">
      <c r="A12" s="288" t="s">
        <v>1645</v>
      </c>
      <c r="B12" s="297" t="s">
        <v>1648</v>
      </c>
      <c r="C12" s="293">
        <v>24940</v>
      </c>
      <c r="D12" s="293">
        <v>23180</v>
      </c>
      <c r="E12" s="293">
        <v>22910</v>
      </c>
      <c r="F12" s="301">
        <v>7180</v>
      </c>
      <c r="G12" s="295" t="s">
        <v>1847</v>
      </c>
      <c r="H12" s="296">
        <f>SUMPRODUCT((B206:B244=基准地价修正!I2)*(C3:F3=基准地价修正!E2)*(C206:F244))</f>
        <v>0</v>
      </c>
      <c r="J12" s="293" t="s">
        <v>1656</v>
      </c>
      <c r="K12" s="293" t="s">
        <v>1676</v>
      </c>
      <c r="L12" s="293" t="s">
        <v>1697</v>
      </c>
      <c r="M12" s="293" t="s">
        <v>1725</v>
      </c>
      <c r="N12" s="293" t="s">
        <v>1760</v>
      </c>
      <c r="O12" s="293" t="s">
        <v>1809</v>
      </c>
      <c r="P12" s="293" t="s">
        <v>1858</v>
      </c>
      <c r="Q12" s="293" t="s">
        <v>1898</v>
      </c>
      <c r="R12" s="293" t="s">
        <v>1945</v>
      </c>
      <c r="S12" s="293" t="s">
        <v>1972</v>
      </c>
    </row>
    <row r="13" spans="1:20" ht="14.25" customHeight="1">
      <c r="A13" s="288" t="s">
        <v>1645</v>
      </c>
      <c r="B13" s="297" t="s">
        <v>1649</v>
      </c>
      <c r="C13" s="293">
        <v>24140</v>
      </c>
      <c r="D13" s="293">
        <v>22270</v>
      </c>
      <c r="E13" s="293">
        <v>21950</v>
      </c>
      <c r="F13" s="301">
        <v>7600</v>
      </c>
      <c r="G13" s="295" t="s">
        <v>1887</v>
      </c>
      <c r="H13" s="296">
        <f>SUMPRODUCT((B245:B289=基准地价修正!I2)*(C3:F3=基准地价修正!E2)*(C245:F289))</f>
        <v>0</v>
      </c>
      <c r="J13" s="293" t="s">
        <v>1657</v>
      </c>
      <c r="K13" s="293" t="s">
        <v>1677</v>
      </c>
      <c r="L13" s="293" t="s">
        <v>1698</v>
      </c>
      <c r="M13" s="293" t="s">
        <v>1726</v>
      </c>
      <c r="N13" s="293" t="s">
        <v>1761</v>
      </c>
      <c r="O13" s="293" t="s">
        <v>1810</v>
      </c>
      <c r="P13" s="293" t="s">
        <v>1859</v>
      </c>
      <c r="Q13" s="293" t="s">
        <v>1899</v>
      </c>
      <c r="R13" s="293" t="s">
        <v>1946</v>
      </c>
      <c r="S13" s="293" t="s">
        <v>1973</v>
      </c>
    </row>
    <row r="14" spans="1:20" ht="14.25" customHeight="1">
      <c r="A14" s="288" t="s">
        <v>1645</v>
      </c>
      <c r="B14" s="297" t="s">
        <v>1650</v>
      </c>
      <c r="C14" s="293">
        <v>25600</v>
      </c>
      <c r="D14" s="293">
        <v>22260</v>
      </c>
      <c r="E14" s="293">
        <v>22110</v>
      </c>
      <c r="F14" s="301">
        <v>7630</v>
      </c>
      <c r="G14" s="295" t="s">
        <v>1933</v>
      </c>
      <c r="H14" s="296">
        <f>SUMPRODUCT((B290:B316=基准地价修正!I2)*(C3:F3=基准地价修正!E2)*(C290:F316))</f>
        <v>0</v>
      </c>
      <c r="J14" s="293" t="s">
        <v>1658</v>
      </c>
      <c r="K14" s="293" t="s">
        <v>1678</v>
      </c>
      <c r="L14" s="293" t="s">
        <v>1699</v>
      </c>
      <c r="M14" s="293" t="s">
        <v>1727</v>
      </c>
      <c r="N14" s="293" t="s">
        <v>1762</v>
      </c>
      <c r="O14" s="293" t="s">
        <v>1811</v>
      </c>
      <c r="P14" s="293" t="s">
        <v>1860</v>
      </c>
      <c r="Q14" s="293" t="s">
        <v>1900</v>
      </c>
      <c r="R14" s="293" t="s">
        <v>1947</v>
      </c>
      <c r="S14" s="293" t="s">
        <v>1974</v>
      </c>
    </row>
    <row r="15" spans="1:20" ht="14.25" customHeight="1">
      <c r="A15" s="288" t="s">
        <v>1645</v>
      </c>
      <c r="B15" s="297" t="s">
        <v>1651</v>
      </c>
      <c r="C15" s="293">
        <v>24760</v>
      </c>
      <c r="D15" s="293">
        <v>24440</v>
      </c>
      <c r="E15" s="293">
        <v>24130</v>
      </c>
      <c r="F15" s="301">
        <v>9480</v>
      </c>
      <c r="G15" s="295" t="s">
        <v>1961</v>
      </c>
      <c r="H15" s="296">
        <f>SUMPRODUCT((B317:B337=基准地价修正!I2)*(C3:F3=基准地价修正!E2)*(C317:F337))</f>
        <v>0</v>
      </c>
      <c r="J15" s="293" t="s">
        <v>1659</v>
      </c>
      <c r="K15" s="293" t="s">
        <v>1679</v>
      </c>
      <c r="L15" s="293" t="s">
        <v>1700</v>
      </c>
      <c r="M15" s="293" t="s">
        <v>1728</v>
      </c>
      <c r="N15" s="293" t="s">
        <v>1763</v>
      </c>
      <c r="O15" s="293" t="s">
        <v>1812</v>
      </c>
      <c r="P15" s="293" t="s">
        <v>1861</v>
      </c>
      <c r="Q15" s="293" t="s">
        <v>1901</v>
      </c>
      <c r="R15" s="293" t="s">
        <v>1948</v>
      </c>
      <c r="S15" s="293" t="s">
        <v>1975</v>
      </c>
    </row>
    <row r="16" spans="1:20" ht="14.25" customHeight="1">
      <c r="A16" s="288" t="s">
        <v>1645</v>
      </c>
      <c r="B16" s="297" t="s">
        <v>1652</v>
      </c>
      <c r="C16" s="293">
        <v>22220</v>
      </c>
      <c r="D16" s="293">
        <v>22310</v>
      </c>
      <c r="E16" s="293">
        <v>22000</v>
      </c>
      <c r="F16" s="301">
        <v>8900</v>
      </c>
      <c r="G16" s="302" t="s">
        <v>1983</v>
      </c>
      <c r="H16" s="303">
        <f>SUMPRODUCT((B338:B344=基准地价修正!I2)*(C3:F3=基准地价修正!E2)*(C338:F344))</f>
        <v>0</v>
      </c>
      <c r="J16" s="293" t="s">
        <v>1660</v>
      </c>
      <c r="K16" s="293" t="s">
        <v>1680</v>
      </c>
      <c r="L16" s="293" t="s">
        <v>1701</v>
      </c>
      <c r="M16" s="293" t="s">
        <v>1729</v>
      </c>
      <c r="N16" s="293" t="s">
        <v>1764</v>
      </c>
      <c r="O16" s="293" t="s">
        <v>1813</v>
      </c>
      <c r="P16" s="293" t="s">
        <v>1862</v>
      </c>
      <c r="Q16" s="293" t="s">
        <v>1902</v>
      </c>
      <c r="R16" s="293" t="s">
        <v>1949</v>
      </c>
      <c r="S16" s="293" t="s">
        <v>1976</v>
      </c>
    </row>
    <row r="17" spans="1:19" ht="14.25" customHeight="1">
      <c r="A17" s="288" t="s">
        <v>1645</v>
      </c>
      <c r="B17" s="297" t="s">
        <v>1653</v>
      </c>
      <c r="C17" s="293">
        <v>24700</v>
      </c>
      <c r="D17" s="293">
        <v>25150</v>
      </c>
      <c r="E17" s="293">
        <v>24700</v>
      </c>
      <c r="F17" s="304"/>
      <c r="H17" s="305"/>
      <c r="J17" s="293" t="s">
        <v>1661</v>
      </c>
      <c r="K17" s="293" t="s">
        <v>1681</v>
      </c>
      <c r="L17" s="293" t="s">
        <v>1702</v>
      </c>
      <c r="M17" s="293" t="s">
        <v>1730</v>
      </c>
      <c r="N17" s="293" t="s">
        <v>1765</v>
      </c>
      <c r="O17" s="293" t="s">
        <v>1814</v>
      </c>
      <c r="P17" s="293" t="s">
        <v>1863</v>
      </c>
      <c r="Q17" s="293" t="s">
        <v>1903</v>
      </c>
      <c r="R17" s="293" t="s">
        <v>1950</v>
      </c>
      <c r="S17" s="293" t="s">
        <v>1977</v>
      </c>
    </row>
    <row r="18" spans="1:19" ht="14.25" customHeight="1">
      <c r="A18" s="288" t="s">
        <v>1645</v>
      </c>
      <c r="B18" s="297" t="s">
        <v>1654</v>
      </c>
      <c r="C18" s="293">
        <v>22350</v>
      </c>
      <c r="D18" s="293">
        <v>24340</v>
      </c>
      <c r="E18" s="293">
        <v>24100</v>
      </c>
      <c r="F18" s="304"/>
      <c r="H18" s="305"/>
      <c r="J18" s="293" t="s">
        <v>1662</v>
      </c>
      <c r="K18" s="293" t="s">
        <v>1682</v>
      </c>
      <c r="L18" s="293" t="s">
        <v>1703</v>
      </c>
      <c r="M18" s="293" t="s">
        <v>1731</v>
      </c>
      <c r="N18" s="293" t="s">
        <v>1766</v>
      </c>
      <c r="O18" s="293" t="s">
        <v>1815</v>
      </c>
      <c r="P18" s="293" t="s">
        <v>1864</v>
      </c>
      <c r="Q18" s="293" t="s">
        <v>1904</v>
      </c>
      <c r="R18" s="293" t="s">
        <v>1951</v>
      </c>
      <c r="S18" s="293" t="s">
        <v>1978</v>
      </c>
    </row>
    <row r="19" spans="1:19" ht="14.25" customHeight="1">
      <c r="A19" s="288" t="s">
        <v>1645</v>
      </c>
      <c r="B19" s="297" t="s">
        <v>1655</v>
      </c>
      <c r="C19" s="293">
        <v>23430</v>
      </c>
      <c r="D19" s="293">
        <v>21580</v>
      </c>
      <c r="E19" s="293">
        <v>21350</v>
      </c>
      <c r="F19" s="304"/>
      <c r="H19" s="305"/>
      <c r="J19" s="293" t="s">
        <v>1663</v>
      </c>
      <c r="K19" s="293" t="s">
        <v>1683</v>
      </c>
      <c r="L19" s="293" t="s">
        <v>1704</v>
      </c>
      <c r="M19" s="293" t="s">
        <v>1732</v>
      </c>
      <c r="N19" s="293" t="s">
        <v>1767</v>
      </c>
      <c r="O19" s="293" t="s">
        <v>1816</v>
      </c>
      <c r="P19" s="293" t="s">
        <v>1865</v>
      </c>
      <c r="Q19" s="293" t="s">
        <v>1905</v>
      </c>
      <c r="R19" s="293" t="s">
        <v>1952</v>
      </c>
      <c r="S19" s="293" t="s">
        <v>1979</v>
      </c>
    </row>
    <row r="20" spans="1:19" ht="14.25" customHeight="1">
      <c r="A20" s="288" t="s">
        <v>1645</v>
      </c>
      <c r="B20" s="297" t="s">
        <v>1656</v>
      </c>
      <c r="C20" s="293">
        <v>27660</v>
      </c>
      <c r="D20" s="293">
        <v>24240</v>
      </c>
      <c r="E20" s="293">
        <v>24020</v>
      </c>
      <c r="F20" s="304"/>
      <c r="J20" s="293" t="s">
        <v>1664</v>
      </c>
      <c r="K20" s="293" t="s">
        <v>1684</v>
      </c>
      <c r="L20" s="293" t="s">
        <v>1705</v>
      </c>
      <c r="M20" s="293" t="s">
        <v>1733</v>
      </c>
      <c r="N20" s="293" t="s">
        <v>1768</v>
      </c>
      <c r="O20" s="293" t="s">
        <v>1817</v>
      </c>
      <c r="P20" s="293" t="s">
        <v>1866</v>
      </c>
      <c r="Q20" s="293" t="s">
        <v>1906</v>
      </c>
      <c r="R20" s="293" t="s">
        <v>1953</v>
      </c>
      <c r="S20" s="293" t="s">
        <v>1980</v>
      </c>
    </row>
    <row r="21" spans="1:19" ht="14.25" customHeight="1">
      <c r="A21" s="288" t="s">
        <v>1645</v>
      </c>
      <c r="B21" s="297" t="s">
        <v>1657</v>
      </c>
      <c r="C21" s="293">
        <v>24720</v>
      </c>
      <c r="D21" s="293">
        <v>21670</v>
      </c>
      <c r="E21" s="293">
        <v>21510</v>
      </c>
      <c r="F21" s="304"/>
      <c r="K21" s="293" t="s">
        <v>1685</v>
      </c>
      <c r="L21" s="293" t="s">
        <v>1706</v>
      </c>
      <c r="M21" s="293" t="s">
        <v>1734</v>
      </c>
      <c r="N21" s="293" t="s">
        <v>1769</v>
      </c>
      <c r="O21" s="293" t="s">
        <v>1818</v>
      </c>
      <c r="P21" s="293" t="s">
        <v>1867</v>
      </c>
      <c r="Q21" s="293" t="s">
        <v>1907</v>
      </c>
      <c r="R21" s="293" t="s">
        <v>1954</v>
      </c>
      <c r="S21" s="293" t="s">
        <v>1981</v>
      </c>
    </row>
    <row r="22" spans="1:19" ht="14.25" customHeight="1">
      <c r="A22" s="288" t="s">
        <v>1645</v>
      </c>
      <c r="B22" s="297" t="s">
        <v>1658</v>
      </c>
      <c r="C22" s="293">
        <v>26530</v>
      </c>
      <c r="D22" s="293">
        <v>22980</v>
      </c>
      <c r="E22" s="293">
        <v>22650</v>
      </c>
      <c r="F22" s="304"/>
      <c r="L22" s="293" t="s">
        <v>1707</v>
      </c>
      <c r="M22" s="293" t="s">
        <v>1735</v>
      </c>
      <c r="N22" s="293" t="s">
        <v>1770</v>
      </c>
      <c r="O22" s="293" t="s">
        <v>1819</v>
      </c>
      <c r="P22" s="293" t="s">
        <v>1868</v>
      </c>
      <c r="Q22" s="293" t="s">
        <v>1908</v>
      </c>
      <c r="R22" s="293" t="s">
        <v>1955</v>
      </c>
      <c r="S22" s="297" t="s">
        <v>1982</v>
      </c>
    </row>
    <row r="23" spans="1:19" ht="14.25" customHeight="1">
      <c r="A23" s="288" t="s">
        <v>1645</v>
      </c>
      <c r="B23" s="297" t="s">
        <v>1659</v>
      </c>
      <c r="C23" s="293">
        <v>24700</v>
      </c>
      <c r="D23" s="293">
        <v>27290</v>
      </c>
      <c r="E23" s="293">
        <v>26710</v>
      </c>
      <c r="F23" s="304"/>
      <c r="L23" s="293" t="s">
        <v>1708</v>
      </c>
      <c r="M23" s="293" t="s">
        <v>1736</v>
      </c>
      <c r="N23" s="293" t="s">
        <v>1771</v>
      </c>
      <c r="O23" s="293" t="s">
        <v>1820</v>
      </c>
      <c r="P23" s="293" t="s">
        <v>1869</v>
      </c>
      <c r="Q23" s="293" t="s">
        <v>1909</v>
      </c>
      <c r="R23" s="293" t="s">
        <v>1956</v>
      </c>
    </row>
    <row r="24" spans="1:19" ht="14.25" customHeight="1">
      <c r="A24" s="288" t="s">
        <v>1645</v>
      </c>
      <c r="B24" s="297" t="s">
        <v>1660</v>
      </c>
      <c r="C24" s="293">
        <v>23070</v>
      </c>
      <c r="D24" s="293">
        <v>24130</v>
      </c>
      <c r="E24" s="293">
        <v>23860</v>
      </c>
      <c r="F24" s="304"/>
      <c r="L24" s="293" t="s">
        <v>1709</v>
      </c>
      <c r="M24" s="293" t="s">
        <v>1737</v>
      </c>
      <c r="N24" s="293" t="s">
        <v>1772</v>
      </c>
      <c r="O24" s="293" t="s">
        <v>1821</v>
      </c>
      <c r="P24" s="293" t="s">
        <v>1870</v>
      </c>
      <c r="Q24" s="293" t="s">
        <v>1910</v>
      </c>
      <c r="R24" s="293" t="s">
        <v>1957</v>
      </c>
    </row>
    <row r="25" spans="1:19" ht="14.25" customHeight="1">
      <c r="A25" s="288" t="s">
        <v>1645</v>
      </c>
      <c r="B25" s="297" t="s">
        <v>1661</v>
      </c>
      <c r="C25" s="293">
        <v>27550</v>
      </c>
      <c r="D25" s="293">
        <v>25850</v>
      </c>
      <c r="E25" s="293">
        <v>25340</v>
      </c>
      <c r="F25" s="304"/>
      <c r="L25" s="293" t="s">
        <v>1710</v>
      </c>
      <c r="M25" s="293" t="s">
        <v>1738</v>
      </c>
      <c r="N25" s="293" t="s">
        <v>1773</v>
      </c>
      <c r="O25" s="293" t="s">
        <v>1822</v>
      </c>
      <c r="P25" s="293" t="s">
        <v>1871</v>
      </c>
      <c r="Q25" s="293" t="s">
        <v>1911</v>
      </c>
      <c r="R25" s="293" t="s">
        <v>1958</v>
      </c>
    </row>
    <row r="26" spans="1:19" ht="14.25" customHeight="1">
      <c r="A26" s="288" t="s">
        <v>1645</v>
      </c>
      <c r="B26" s="297" t="s">
        <v>1662</v>
      </c>
      <c r="C26" s="293"/>
      <c r="D26" s="293">
        <v>23900</v>
      </c>
      <c r="E26" s="293">
        <v>23590</v>
      </c>
      <c r="F26" s="304"/>
      <c r="L26" s="293" t="s">
        <v>1711</v>
      </c>
      <c r="M26" s="293" t="s">
        <v>1739</v>
      </c>
      <c r="N26" s="293" t="s">
        <v>1774</v>
      </c>
      <c r="O26" s="293" t="s">
        <v>1823</v>
      </c>
      <c r="P26" s="293" t="s">
        <v>1872</v>
      </c>
      <c r="Q26" s="293" t="s">
        <v>1912</v>
      </c>
      <c r="R26" s="293" t="s">
        <v>1959</v>
      </c>
    </row>
    <row r="27" spans="1:19" ht="14.25" customHeight="1">
      <c r="A27" s="288" t="s">
        <v>1645</v>
      </c>
      <c r="B27" s="297" t="s">
        <v>1663</v>
      </c>
      <c r="C27" s="293"/>
      <c r="D27" s="293">
        <v>22850</v>
      </c>
      <c r="E27" s="293">
        <v>21920</v>
      </c>
      <c r="F27" s="304"/>
      <c r="L27" s="293" t="s">
        <v>1712</v>
      </c>
      <c r="M27" s="293" t="s">
        <v>1740</v>
      </c>
      <c r="N27" s="293" t="s">
        <v>1775</v>
      </c>
      <c r="O27" s="293" t="s">
        <v>1824</v>
      </c>
      <c r="P27" s="293" t="s">
        <v>1873</v>
      </c>
      <c r="Q27" s="293" t="s">
        <v>1913</v>
      </c>
      <c r="R27" s="293" t="s">
        <v>1960</v>
      </c>
    </row>
    <row r="28" spans="1:19" ht="14.25" customHeight="1">
      <c r="A28" s="306" t="s">
        <v>1645</v>
      </c>
      <c r="B28" s="298" t="s">
        <v>1664</v>
      </c>
      <c r="C28" s="299"/>
      <c r="D28" s="299">
        <v>26610</v>
      </c>
      <c r="E28" s="299">
        <v>26370</v>
      </c>
      <c r="F28" s="300"/>
      <c r="L28" s="293" t="s">
        <v>1713</v>
      </c>
      <c r="M28" s="293" t="s">
        <v>1741</v>
      </c>
      <c r="N28" s="293" t="s">
        <v>1776</v>
      </c>
      <c r="O28" s="293" t="s">
        <v>1825</v>
      </c>
      <c r="P28" s="293" t="s">
        <v>1874</v>
      </c>
      <c r="Q28" s="293" t="s">
        <v>1914</v>
      </c>
    </row>
    <row r="29" spans="1:19" ht="14.25" customHeight="1">
      <c r="A29" s="288" t="s">
        <v>1665</v>
      </c>
      <c r="B29" s="289" t="s">
        <v>1666</v>
      </c>
      <c r="C29" s="289">
        <v>22090</v>
      </c>
      <c r="D29" s="289">
        <v>21860</v>
      </c>
      <c r="E29" s="289">
        <v>19380</v>
      </c>
      <c r="F29" s="290">
        <v>6610</v>
      </c>
      <c r="M29" s="293" t="s">
        <v>1742</v>
      </c>
      <c r="N29" s="293" t="s">
        <v>1777</v>
      </c>
      <c r="O29" s="293" t="s">
        <v>1826</v>
      </c>
      <c r="P29" s="293" t="s">
        <v>1875</v>
      </c>
      <c r="Q29" s="293" t="s">
        <v>1915</v>
      </c>
    </row>
    <row r="30" spans="1:19" ht="14.25" customHeight="1">
      <c r="A30" s="288" t="s">
        <v>1665</v>
      </c>
      <c r="B30" s="297" t="s">
        <v>1667</v>
      </c>
      <c r="C30" s="293">
        <v>21380</v>
      </c>
      <c r="D30" s="293">
        <v>19930</v>
      </c>
      <c r="E30" s="293">
        <v>19860</v>
      </c>
      <c r="F30" s="301">
        <v>6010</v>
      </c>
      <c r="H30" s="305"/>
      <c r="M30" s="293" t="s">
        <v>1743</v>
      </c>
      <c r="N30" s="293" t="s">
        <v>1778</v>
      </c>
      <c r="O30" s="293" t="s">
        <v>1827</v>
      </c>
      <c r="P30" s="293" t="s">
        <v>2029</v>
      </c>
      <c r="Q30" s="293" t="s">
        <v>1916</v>
      </c>
    </row>
    <row r="31" spans="1:19" ht="14.25" customHeight="1">
      <c r="A31" s="288" t="s">
        <v>1665</v>
      </c>
      <c r="B31" s="297" t="s">
        <v>1668</v>
      </c>
      <c r="C31" s="293">
        <v>21670</v>
      </c>
      <c r="D31" s="293">
        <v>20660</v>
      </c>
      <c r="E31" s="293">
        <v>20290</v>
      </c>
      <c r="F31" s="301">
        <v>5840</v>
      </c>
      <c r="H31" s="305"/>
      <c r="M31" s="293" t="s">
        <v>1744</v>
      </c>
      <c r="N31" s="293" t="s">
        <v>1779</v>
      </c>
      <c r="O31" s="293" t="s">
        <v>1828</v>
      </c>
      <c r="P31" s="293" t="s">
        <v>1877</v>
      </c>
      <c r="Q31" s="293" t="s">
        <v>1917</v>
      </c>
    </row>
    <row r="32" spans="1:19" ht="14.25" customHeight="1">
      <c r="A32" s="288" t="s">
        <v>1665</v>
      </c>
      <c r="B32" s="297" t="s">
        <v>1669</v>
      </c>
      <c r="C32" s="293">
        <v>22280</v>
      </c>
      <c r="D32" s="293">
        <v>21800</v>
      </c>
      <c r="E32" s="293">
        <v>17650</v>
      </c>
      <c r="F32" s="301">
        <v>4690</v>
      </c>
      <c r="H32" s="305"/>
      <c r="M32" s="293" t="s">
        <v>1745</v>
      </c>
      <c r="N32" s="293" t="s">
        <v>1780</v>
      </c>
      <c r="O32" s="293" t="s">
        <v>1829</v>
      </c>
      <c r="P32" s="293" t="s">
        <v>1878</v>
      </c>
      <c r="Q32" s="293" t="s">
        <v>1918</v>
      </c>
    </row>
    <row r="33" spans="1:17" ht="14.25" customHeight="1">
      <c r="A33" s="288" t="s">
        <v>1665</v>
      </c>
      <c r="B33" s="297" t="s">
        <v>1670</v>
      </c>
      <c r="C33" s="293">
        <v>22130</v>
      </c>
      <c r="D33" s="293">
        <v>20460</v>
      </c>
      <c r="E33" s="293">
        <v>18500</v>
      </c>
      <c r="F33" s="301">
        <v>5340</v>
      </c>
      <c r="H33" s="305"/>
      <c r="M33" s="293" t="s">
        <v>1746</v>
      </c>
      <c r="N33" s="293" t="s">
        <v>1781</v>
      </c>
      <c r="O33" s="293" t="s">
        <v>1830</v>
      </c>
      <c r="P33" s="293" t="s">
        <v>1879</v>
      </c>
      <c r="Q33" s="293" t="s">
        <v>1919</v>
      </c>
    </row>
    <row r="34" spans="1:17" ht="14.25" customHeight="1">
      <c r="A34" s="288" t="s">
        <v>1665</v>
      </c>
      <c r="B34" s="297" t="s">
        <v>1671</v>
      </c>
      <c r="C34" s="293">
        <v>22070</v>
      </c>
      <c r="D34" s="293">
        <v>20110</v>
      </c>
      <c r="E34" s="293">
        <v>18830</v>
      </c>
      <c r="F34" s="301">
        <v>5190</v>
      </c>
      <c r="H34" s="305"/>
      <c r="M34" s="293" t="s">
        <v>1747</v>
      </c>
      <c r="N34" s="293" t="s">
        <v>1782</v>
      </c>
      <c r="O34" s="293" t="s">
        <v>1831</v>
      </c>
      <c r="P34" s="293" t="s">
        <v>1880</v>
      </c>
      <c r="Q34" s="293" t="s">
        <v>1920</v>
      </c>
    </row>
    <row r="35" spans="1:17" ht="14.25" customHeight="1">
      <c r="A35" s="288" t="s">
        <v>1665</v>
      </c>
      <c r="B35" s="297" t="s">
        <v>1672</v>
      </c>
      <c r="C35" s="293">
        <v>22240</v>
      </c>
      <c r="D35" s="293">
        <v>19550</v>
      </c>
      <c r="E35" s="293">
        <v>19220</v>
      </c>
      <c r="F35" s="301">
        <v>5800</v>
      </c>
      <c r="H35" s="305"/>
      <c r="M35" s="293" t="s">
        <v>1748</v>
      </c>
      <c r="N35" s="293" t="s">
        <v>1783</v>
      </c>
      <c r="O35" s="293" t="s">
        <v>1832</v>
      </c>
      <c r="P35" s="293" t="s">
        <v>1881</v>
      </c>
      <c r="Q35" s="293" t="s">
        <v>1921</v>
      </c>
    </row>
    <row r="36" spans="1:17" ht="14.25" customHeight="1">
      <c r="A36" s="288" t="s">
        <v>1665</v>
      </c>
      <c r="B36" s="297" t="s">
        <v>1673</v>
      </c>
      <c r="C36" s="293">
        <v>19750</v>
      </c>
      <c r="D36" s="293">
        <v>19790</v>
      </c>
      <c r="E36" s="293">
        <v>18510</v>
      </c>
      <c r="F36" s="301">
        <v>6520</v>
      </c>
      <c r="H36" s="305"/>
      <c r="N36" s="293" t="s">
        <v>1784</v>
      </c>
      <c r="O36" s="293" t="s">
        <v>1833</v>
      </c>
      <c r="P36" s="293" t="s">
        <v>1882</v>
      </c>
      <c r="Q36" s="293" t="s">
        <v>1922</v>
      </c>
    </row>
    <row r="37" spans="1:17" ht="14.25" customHeight="1">
      <c r="A37" s="288" t="s">
        <v>1665</v>
      </c>
      <c r="B37" s="297" t="s">
        <v>1674</v>
      </c>
      <c r="C37" s="293">
        <v>22380</v>
      </c>
      <c r="D37" s="293">
        <v>18530</v>
      </c>
      <c r="E37" s="293">
        <v>17930</v>
      </c>
      <c r="F37" s="301">
        <v>6270</v>
      </c>
      <c r="H37" s="307"/>
      <c r="N37" s="293" t="s">
        <v>1785</v>
      </c>
      <c r="O37" s="293" t="s">
        <v>1834</v>
      </c>
      <c r="P37" s="293" t="s">
        <v>1883</v>
      </c>
      <c r="Q37" s="293" t="s">
        <v>1923</v>
      </c>
    </row>
    <row r="38" spans="1:17" ht="14.25" customHeight="1">
      <c r="A38" s="288" t="s">
        <v>1665</v>
      </c>
      <c r="B38" s="297" t="s">
        <v>1675</v>
      </c>
      <c r="C38" s="293">
        <v>20200</v>
      </c>
      <c r="D38" s="293">
        <v>20070</v>
      </c>
      <c r="E38" s="293">
        <v>19950</v>
      </c>
      <c r="F38" s="301"/>
      <c r="H38" s="308"/>
      <c r="N38" s="293" t="s">
        <v>1786</v>
      </c>
      <c r="O38" s="293" t="s">
        <v>1835</v>
      </c>
      <c r="P38" s="293" t="s">
        <v>1884</v>
      </c>
      <c r="Q38" s="293" t="s">
        <v>1924</v>
      </c>
    </row>
    <row r="39" spans="1:17" ht="14.25" customHeight="1">
      <c r="A39" s="288" t="s">
        <v>1665</v>
      </c>
      <c r="B39" s="297" t="s">
        <v>1676</v>
      </c>
      <c r="C39" s="293">
        <v>19300</v>
      </c>
      <c r="D39" s="293">
        <v>20360</v>
      </c>
      <c r="E39" s="293">
        <v>20230</v>
      </c>
      <c r="F39" s="301"/>
      <c r="H39" s="308"/>
      <c r="N39" s="293" t="s">
        <v>1787</v>
      </c>
      <c r="O39" s="293" t="s">
        <v>1836</v>
      </c>
      <c r="P39" s="293" t="s">
        <v>1885</v>
      </c>
      <c r="Q39" s="293" t="s">
        <v>1925</v>
      </c>
    </row>
    <row r="40" spans="1:17" ht="14.25" customHeight="1">
      <c r="A40" s="288" t="s">
        <v>1665</v>
      </c>
      <c r="B40" s="297" t="s">
        <v>1677</v>
      </c>
      <c r="C40" s="293">
        <v>20210</v>
      </c>
      <c r="D40" s="293">
        <v>19060</v>
      </c>
      <c r="E40" s="293">
        <v>18890</v>
      </c>
      <c r="F40" s="301"/>
      <c r="H40" s="308"/>
      <c r="N40" s="293" t="s">
        <v>1788</v>
      </c>
      <c r="O40" s="293" t="s">
        <v>1837</v>
      </c>
      <c r="P40" s="293" t="s">
        <v>1886</v>
      </c>
      <c r="Q40" s="293" t="s">
        <v>1926</v>
      </c>
    </row>
    <row r="41" spans="1:17" ht="14.25" customHeight="1">
      <c r="A41" s="288" t="s">
        <v>1665</v>
      </c>
      <c r="B41" s="297" t="s">
        <v>1678</v>
      </c>
      <c r="C41" s="293">
        <v>20560</v>
      </c>
      <c r="D41" s="293">
        <v>21040</v>
      </c>
      <c r="E41" s="293">
        <v>20740</v>
      </c>
      <c r="F41" s="301"/>
      <c r="H41" s="308"/>
      <c r="N41" s="297" t="s">
        <v>1789</v>
      </c>
      <c r="O41" s="297" t="s">
        <v>1838</v>
      </c>
      <c r="Q41" s="297" t="s">
        <v>1927</v>
      </c>
    </row>
    <row r="42" spans="1:17" ht="14.25" customHeight="1">
      <c r="A42" s="288" t="s">
        <v>1665</v>
      </c>
      <c r="B42" s="297" t="s">
        <v>1679</v>
      </c>
      <c r="C42" s="293">
        <v>19280</v>
      </c>
      <c r="D42" s="293">
        <v>22940</v>
      </c>
      <c r="E42" s="293">
        <v>22500</v>
      </c>
      <c r="F42" s="301"/>
      <c r="H42" s="308"/>
      <c r="N42" s="293" t="s">
        <v>1790</v>
      </c>
      <c r="O42" s="293" t="s">
        <v>1839</v>
      </c>
      <c r="Q42" s="293" t="s">
        <v>1928</v>
      </c>
    </row>
    <row r="43" spans="1:17" ht="14.25" customHeight="1">
      <c r="A43" s="288" t="s">
        <v>1665</v>
      </c>
      <c r="B43" s="297" t="s">
        <v>1680</v>
      </c>
      <c r="C43" s="293">
        <v>21520</v>
      </c>
      <c r="D43" s="293">
        <v>19230</v>
      </c>
      <c r="E43" s="293">
        <v>18540</v>
      </c>
      <c r="F43" s="301"/>
      <c r="H43" s="308"/>
      <c r="N43" s="293" t="s">
        <v>1791</v>
      </c>
      <c r="O43" s="293" t="s">
        <v>1840</v>
      </c>
      <c r="Q43" s="293" t="s">
        <v>1929</v>
      </c>
    </row>
    <row r="44" spans="1:17" ht="14.25" customHeight="1">
      <c r="A44" s="288" t="s">
        <v>1665</v>
      </c>
      <c r="B44" s="297" t="s">
        <v>1681</v>
      </c>
      <c r="C44" s="293">
        <v>23260</v>
      </c>
      <c r="D44" s="293">
        <v>21180</v>
      </c>
      <c r="E44" s="293">
        <v>20730</v>
      </c>
      <c r="F44" s="301"/>
      <c r="H44" s="308"/>
      <c r="N44" s="293" t="s">
        <v>1792</v>
      </c>
      <c r="O44" s="293" t="s">
        <v>1841</v>
      </c>
      <c r="Q44" s="293" t="s">
        <v>1930</v>
      </c>
    </row>
    <row r="45" spans="1:17" ht="14.25" customHeight="1">
      <c r="A45" s="288" t="s">
        <v>1665</v>
      </c>
      <c r="B45" s="297" t="s">
        <v>1682</v>
      </c>
      <c r="C45" s="293">
        <v>19610</v>
      </c>
      <c r="D45" s="293">
        <v>18090</v>
      </c>
      <c r="E45" s="293">
        <v>17970</v>
      </c>
      <c r="F45" s="301"/>
      <c r="H45" s="305"/>
      <c r="N45" s="293" t="s">
        <v>1793</v>
      </c>
      <c r="O45" s="293" t="s">
        <v>1842</v>
      </c>
      <c r="Q45" s="293" t="s">
        <v>1931</v>
      </c>
    </row>
    <row r="46" spans="1:17" ht="14.25" customHeight="1">
      <c r="A46" s="288" t="s">
        <v>1665</v>
      </c>
      <c r="B46" s="297" t="s">
        <v>1683</v>
      </c>
      <c r="C46" s="293">
        <v>21660</v>
      </c>
      <c r="D46" s="293">
        <v>19190</v>
      </c>
      <c r="E46" s="293">
        <v>19790</v>
      </c>
      <c r="F46" s="301"/>
      <c r="H46" s="308"/>
      <c r="N46" s="293" t="s">
        <v>1794</v>
      </c>
      <c r="O46" s="293" t="s">
        <v>1843</v>
      </c>
      <c r="Q46" s="293" t="s">
        <v>1932</v>
      </c>
    </row>
    <row r="47" spans="1:17" ht="14.25" customHeight="1">
      <c r="A47" s="288" t="s">
        <v>1665</v>
      </c>
      <c r="B47" s="297" t="s">
        <v>1684</v>
      </c>
      <c r="C47" s="293">
        <v>18220</v>
      </c>
      <c r="D47" s="293"/>
      <c r="E47" s="293">
        <v>17220</v>
      </c>
      <c r="F47" s="301"/>
      <c r="H47" s="308"/>
      <c r="N47" s="293" t="s">
        <v>1795</v>
      </c>
      <c r="O47" s="293" t="s">
        <v>1844</v>
      </c>
    </row>
    <row r="48" spans="1:17" ht="14.25" customHeight="1">
      <c r="A48" s="288" t="s">
        <v>1665</v>
      </c>
      <c r="B48" s="298" t="s">
        <v>1685</v>
      </c>
      <c r="C48" s="299">
        <v>19430</v>
      </c>
      <c r="D48" s="299"/>
      <c r="E48" s="299">
        <v>17830</v>
      </c>
      <c r="F48" s="309"/>
      <c r="H48" s="305"/>
      <c r="N48" s="293" t="s">
        <v>1796</v>
      </c>
      <c r="O48" s="293" t="s">
        <v>1845</v>
      </c>
    </row>
    <row r="49" spans="1:15" ht="14.25" customHeight="1">
      <c r="A49" s="288" t="s">
        <v>1686</v>
      </c>
      <c r="B49" s="289" t="s">
        <v>1687</v>
      </c>
      <c r="C49" s="289">
        <v>17090</v>
      </c>
      <c r="D49" s="289">
        <v>16950</v>
      </c>
      <c r="E49" s="289">
        <v>16310</v>
      </c>
      <c r="F49" s="290">
        <v>4540</v>
      </c>
      <c r="H49" s="308"/>
      <c r="N49" s="293" t="s">
        <v>1797</v>
      </c>
      <c r="O49" s="293" t="s">
        <v>1846</v>
      </c>
    </row>
    <row r="50" spans="1:15" ht="14.25" customHeight="1">
      <c r="A50" s="288" t="s">
        <v>1686</v>
      </c>
      <c r="B50" s="293" t="s">
        <v>1688</v>
      </c>
      <c r="C50" s="293">
        <v>19040</v>
      </c>
      <c r="D50" s="293">
        <v>16960</v>
      </c>
      <c r="E50" s="293">
        <v>14800</v>
      </c>
      <c r="F50" s="301">
        <v>3940</v>
      </c>
      <c r="H50" s="308"/>
    </row>
    <row r="51" spans="1:15" ht="14.25" customHeight="1">
      <c r="A51" s="288" t="s">
        <v>1686</v>
      </c>
      <c r="B51" s="293" t="s">
        <v>1689</v>
      </c>
      <c r="C51" s="293">
        <v>17040</v>
      </c>
      <c r="D51" s="293">
        <v>16930</v>
      </c>
      <c r="E51" s="293">
        <v>15030</v>
      </c>
      <c r="F51" s="301">
        <v>4120</v>
      </c>
      <c r="H51" s="308"/>
    </row>
    <row r="52" spans="1:15" ht="14.25" customHeight="1">
      <c r="A52" s="288" t="s">
        <v>1686</v>
      </c>
      <c r="B52" s="293" t="s">
        <v>1690</v>
      </c>
      <c r="C52" s="293">
        <v>17110</v>
      </c>
      <c r="D52" s="293">
        <v>17750</v>
      </c>
      <c r="E52" s="293">
        <v>17310</v>
      </c>
      <c r="F52" s="301">
        <v>3220</v>
      </c>
      <c r="H52" s="308"/>
    </row>
    <row r="53" spans="1:15" ht="14.25" customHeight="1">
      <c r="A53" s="288" t="s">
        <v>1686</v>
      </c>
      <c r="B53" s="293" t="s">
        <v>1691</v>
      </c>
      <c r="C53" s="293">
        <v>17810</v>
      </c>
      <c r="D53" s="293">
        <v>17260</v>
      </c>
      <c r="E53" s="293">
        <v>17090</v>
      </c>
      <c r="F53" s="301">
        <v>3520</v>
      </c>
      <c r="H53" s="308"/>
    </row>
    <row r="54" spans="1:15" ht="14.25" customHeight="1">
      <c r="A54" s="288" t="s">
        <v>1686</v>
      </c>
      <c r="B54" s="293" t="s">
        <v>1692</v>
      </c>
      <c r="C54" s="293">
        <v>17410</v>
      </c>
      <c r="D54" s="293">
        <v>16780</v>
      </c>
      <c r="E54" s="293">
        <v>16370</v>
      </c>
      <c r="F54" s="301">
        <v>3410</v>
      </c>
      <c r="H54" s="308"/>
    </row>
    <row r="55" spans="1:15" ht="14.25" customHeight="1">
      <c r="A55" s="288" t="s">
        <v>1686</v>
      </c>
      <c r="B55" s="293" t="s">
        <v>1693</v>
      </c>
      <c r="C55" s="293">
        <v>16930</v>
      </c>
      <c r="D55" s="293">
        <v>14720</v>
      </c>
      <c r="E55" s="293">
        <v>15000</v>
      </c>
      <c r="F55" s="301">
        <v>3710</v>
      </c>
      <c r="H55" s="308"/>
    </row>
    <row r="56" spans="1:15" ht="14.25" customHeight="1">
      <c r="A56" s="288" t="s">
        <v>1686</v>
      </c>
      <c r="B56" s="293" t="s">
        <v>1694</v>
      </c>
      <c r="C56" s="293">
        <v>14930</v>
      </c>
      <c r="D56" s="293">
        <v>15850</v>
      </c>
      <c r="E56" s="293">
        <v>14320</v>
      </c>
      <c r="F56" s="301">
        <v>3960</v>
      </c>
      <c r="H56" s="308"/>
    </row>
    <row r="57" spans="1:15" ht="14.25" customHeight="1">
      <c r="A57" s="288" t="s">
        <v>1686</v>
      </c>
      <c r="B57" s="293" t="s">
        <v>1695</v>
      </c>
      <c r="C57" s="293">
        <v>16160</v>
      </c>
      <c r="D57" s="293">
        <v>16190</v>
      </c>
      <c r="E57" s="293">
        <v>15650</v>
      </c>
      <c r="F57" s="301">
        <v>4200</v>
      </c>
      <c r="H57" s="308"/>
    </row>
    <row r="58" spans="1:15" ht="14.25" customHeight="1">
      <c r="A58" s="288" t="s">
        <v>1686</v>
      </c>
      <c r="B58" s="293" t="s">
        <v>1696</v>
      </c>
      <c r="C58" s="293">
        <v>16360</v>
      </c>
      <c r="D58" s="293">
        <v>14050</v>
      </c>
      <c r="E58" s="293">
        <v>16070</v>
      </c>
      <c r="F58" s="301">
        <v>3990</v>
      </c>
      <c r="H58" s="308"/>
    </row>
    <row r="59" spans="1:15" ht="14.25" customHeight="1">
      <c r="A59" s="288" t="s">
        <v>1686</v>
      </c>
      <c r="B59" s="293" t="s">
        <v>1697</v>
      </c>
      <c r="C59" s="293">
        <v>14160</v>
      </c>
      <c r="D59" s="293">
        <v>16620</v>
      </c>
      <c r="E59" s="293">
        <v>13940</v>
      </c>
      <c r="F59" s="301">
        <v>4260</v>
      </c>
      <c r="H59" s="308"/>
    </row>
    <row r="60" spans="1:15" ht="14.25" customHeight="1">
      <c r="A60" s="288" t="s">
        <v>1686</v>
      </c>
      <c r="B60" s="293" t="s">
        <v>1698</v>
      </c>
      <c r="C60" s="293">
        <v>16750</v>
      </c>
      <c r="D60" s="293">
        <v>13910</v>
      </c>
      <c r="E60" s="293">
        <v>16550</v>
      </c>
      <c r="F60" s="301">
        <v>4550</v>
      </c>
      <c r="H60" s="308"/>
    </row>
    <row r="61" spans="1:15" ht="14.25" customHeight="1">
      <c r="A61" s="288" t="s">
        <v>1686</v>
      </c>
      <c r="B61" s="293" t="s">
        <v>1699</v>
      </c>
      <c r="C61" s="293">
        <v>14000</v>
      </c>
      <c r="D61" s="293">
        <v>14550</v>
      </c>
      <c r="E61" s="293">
        <v>13860</v>
      </c>
      <c r="F61" s="310"/>
      <c r="H61" s="308"/>
    </row>
    <row r="62" spans="1:15" ht="14.25" customHeight="1">
      <c r="A62" s="288" t="s">
        <v>1686</v>
      </c>
      <c r="B62" s="293" t="s">
        <v>1700</v>
      </c>
      <c r="C62" s="293">
        <v>14660</v>
      </c>
      <c r="D62" s="293">
        <v>17450</v>
      </c>
      <c r="E62" s="293">
        <v>14470</v>
      </c>
      <c r="F62" s="310"/>
      <c r="H62" s="308"/>
    </row>
    <row r="63" spans="1:15" ht="14.25" customHeight="1">
      <c r="A63" s="288" t="s">
        <v>1686</v>
      </c>
      <c r="B63" s="293" t="s">
        <v>1701</v>
      </c>
      <c r="C63" s="293">
        <v>17610</v>
      </c>
      <c r="D63" s="293">
        <v>16500</v>
      </c>
      <c r="E63" s="293">
        <v>17330</v>
      </c>
      <c r="F63" s="310"/>
      <c r="H63" s="308"/>
    </row>
    <row r="64" spans="1:15" ht="14.25" customHeight="1">
      <c r="A64" s="288" t="s">
        <v>1686</v>
      </c>
      <c r="B64" s="293" t="s">
        <v>1702</v>
      </c>
      <c r="C64" s="293">
        <v>16590</v>
      </c>
      <c r="D64" s="293">
        <v>15130</v>
      </c>
      <c r="E64" s="293">
        <v>16420</v>
      </c>
      <c r="F64" s="310"/>
      <c r="H64" s="308"/>
    </row>
    <row r="65" spans="1:8" s="279" customFormat="1" ht="14.25" customHeight="1">
      <c r="A65" s="288" t="s">
        <v>1686</v>
      </c>
      <c r="B65" s="293" t="s">
        <v>1703</v>
      </c>
      <c r="C65" s="293">
        <v>15220</v>
      </c>
      <c r="D65" s="293">
        <v>14660</v>
      </c>
      <c r="E65" s="293">
        <v>15060</v>
      </c>
      <c r="F65" s="301"/>
      <c r="H65" s="308"/>
    </row>
    <row r="66" spans="1:8" s="279" customFormat="1" ht="14.25" customHeight="1">
      <c r="A66" s="288" t="s">
        <v>1686</v>
      </c>
      <c r="B66" s="293" t="s">
        <v>1704</v>
      </c>
      <c r="C66" s="293">
        <v>14720</v>
      </c>
      <c r="D66" s="293">
        <v>15970</v>
      </c>
      <c r="E66" s="293">
        <v>14610</v>
      </c>
      <c r="F66" s="301"/>
      <c r="H66" s="308"/>
    </row>
    <row r="67" spans="1:8" s="279" customFormat="1" ht="14.25" customHeight="1">
      <c r="A67" s="288" t="s">
        <v>1686</v>
      </c>
      <c r="B67" s="293" t="s">
        <v>1705</v>
      </c>
      <c r="C67" s="293">
        <v>16080</v>
      </c>
      <c r="D67" s="293">
        <v>14840</v>
      </c>
      <c r="E67" s="293">
        <v>15630</v>
      </c>
      <c r="F67" s="301"/>
      <c r="H67" s="308"/>
    </row>
    <row r="68" spans="1:8" s="279" customFormat="1" ht="14.25" customHeight="1">
      <c r="A68" s="288" t="s">
        <v>1686</v>
      </c>
      <c r="B68" s="293" t="s">
        <v>1706</v>
      </c>
      <c r="C68" s="293">
        <v>14940</v>
      </c>
      <c r="D68" s="293">
        <v>18000</v>
      </c>
      <c r="E68" s="293">
        <v>14040</v>
      </c>
      <c r="F68" s="301"/>
      <c r="H68" s="308"/>
    </row>
    <row r="69" spans="1:8" s="279" customFormat="1" ht="14.25" customHeight="1">
      <c r="A69" s="288" t="s">
        <v>1686</v>
      </c>
      <c r="B69" s="293" t="s">
        <v>1707</v>
      </c>
      <c r="C69" s="293">
        <v>18810</v>
      </c>
      <c r="D69" s="293">
        <v>15100</v>
      </c>
      <c r="E69" s="293">
        <v>14710</v>
      </c>
      <c r="F69" s="301"/>
      <c r="H69" s="308"/>
    </row>
    <row r="70" spans="1:8" s="279" customFormat="1" ht="14.25" customHeight="1">
      <c r="A70" s="288" t="s">
        <v>1686</v>
      </c>
      <c r="B70" s="293" t="s">
        <v>1708</v>
      </c>
      <c r="C70" s="293">
        <v>18270</v>
      </c>
      <c r="D70" s="293"/>
      <c r="E70" s="293"/>
      <c r="F70" s="301"/>
      <c r="H70" s="308"/>
    </row>
    <row r="71" spans="1:8" s="279" customFormat="1" ht="14.25" customHeight="1">
      <c r="A71" s="288" t="s">
        <v>1686</v>
      </c>
      <c r="B71" s="293" t="s">
        <v>1709</v>
      </c>
      <c r="C71" s="293">
        <v>15230</v>
      </c>
      <c r="D71" s="293"/>
      <c r="E71" s="293"/>
      <c r="F71" s="301"/>
      <c r="H71" s="308"/>
    </row>
    <row r="72" spans="1:8" s="279" customFormat="1" ht="14.25" customHeight="1">
      <c r="A72" s="288" t="s">
        <v>1686</v>
      </c>
      <c r="B72" s="293" t="s">
        <v>1710</v>
      </c>
      <c r="C72" s="293"/>
      <c r="D72" s="293"/>
      <c r="E72" s="293"/>
      <c r="F72" s="301">
        <v>4120</v>
      </c>
      <c r="H72" s="308"/>
    </row>
    <row r="73" spans="1:8" s="279" customFormat="1" ht="14.25" customHeight="1">
      <c r="A73" s="288" t="s">
        <v>1686</v>
      </c>
      <c r="B73" s="293" t="s">
        <v>1711</v>
      </c>
      <c r="C73" s="293"/>
      <c r="D73" s="293"/>
      <c r="E73" s="293"/>
      <c r="F73" s="301">
        <v>3930</v>
      </c>
      <c r="H73" s="308"/>
    </row>
    <row r="74" spans="1:8" s="279" customFormat="1" ht="14.25" customHeight="1">
      <c r="A74" s="288" t="s">
        <v>1686</v>
      </c>
      <c r="B74" s="293" t="s">
        <v>1712</v>
      </c>
      <c r="C74" s="293"/>
      <c r="D74" s="293"/>
      <c r="E74" s="293"/>
      <c r="F74" s="301">
        <v>4060</v>
      </c>
      <c r="H74" s="308"/>
    </row>
    <row r="75" spans="1:8" s="279" customFormat="1" ht="14.25" customHeight="1">
      <c r="A75" s="288" t="s">
        <v>1686</v>
      </c>
      <c r="B75" s="299" t="s">
        <v>1713</v>
      </c>
      <c r="C75" s="299"/>
      <c r="D75" s="299"/>
      <c r="E75" s="299"/>
      <c r="F75" s="309">
        <v>3750</v>
      </c>
      <c r="H75" s="308"/>
    </row>
    <row r="76" spans="1:8" s="279" customFormat="1" ht="14.25" customHeight="1">
      <c r="A76" s="288" t="s">
        <v>1714</v>
      </c>
      <c r="B76" s="289" t="s">
        <v>1715</v>
      </c>
      <c r="C76" s="289">
        <v>14690</v>
      </c>
      <c r="D76" s="289">
        <v>14640</v>
      </c>
      <c r="E76" s="289">
        <v>14590</v>
      </c>
      <c r="F76" s="290">
        <v>3060</v>
      </c>
      <c r="H76" s="308"/>
    </row>
    <row r="77" spans="1:8" s="279" customFormat="1" ht="14.25" customHeight="1">
      <c r="A77" s="288" t="s">
        <v>1714</v>
      </c>
      <c r="B77" s="293" t="s">
        <v>1716</v>
      </c>
      <c r="C77" s="293">
        <v>12550</v>
      </c>
      <c r="D77" s="293">
        <v>12480</v>
      </c>
      <c r="E77" s="293">
        <v>12450</v>
      </c>
      <c r="F77" s="301">
        <v>2590</v>
      </c>
      <c r="H77" s="308"/>
    </row>
    <row r="78" spans="1:8" s="279" customFormat="1" ht="14.25" customHeight="1">
      <c r="A78" s="288" t="s">
        <v>1714</v>
      </c>
      <c r="B78" s="293" t="s">
        <v>1717</v>
      </c>
      <c r="C78" s="293">
        <v>14360</v>
      </c>
      <c r="D78" s="293">
        <v>14320</v>
      </c>
      <c r="E78" s="293">
        <v>12510</v>
      </c>
      <c r="F78" s="301">
        <v>2700</v>
      </c>
      <c r="H78" s="308"/>
    </row>
    <row r="79" spans="1:8" s="279" customFormat="1" ht="14.25" customHeight="1">
      <c r="A79" s="288" t="s">
        <v>1714</v>
      </c>
      <c r="B79" s="293" t="s">
        <v>1718</v>
      </c>
      <c r="C79" s="293">
        <v>12590</v>
      </c>
      <c r="D79" s="293">
        <v>12540</v>
      </c>
      <c r="E79" s="293">
        <v>12350</v>
      </c>
      <c r="F79" s="301">
        <v>2740</v>
      </c>
      <c r="H79" s="308"/>
    </row>
    <row r="80" spans="1:8" s="279" customFormat="1" ht="14.25" customHeight="1">
      <c r="A80" s="288" t="s">
        <v>1714</v>
      </c>
      <c r="B80" s="293" t="s">
        <v>1719</v>
      </c>
      <c r="C80" s="293">
        <v>12450</v>
      </c>
      <c r="D80" s="293">
        <v>12370</v>
      </c>
      <c r="E80" s="293">
        <v>10790</v>
      </c>
      <c r="F80" s="301">
        <v>2290</v>
      </c>
      <c r="H80" s="308"/>
    </row>
    <row r="81" spans="1:8" s="279" customFormat="1" ht="14.25" customHeight="1">
      <c r="A81" s="288" t="s">
        <v>1714</v>
      </c>
      <c r="B81" s="293" t="s">
        <v>1720</v>
      </c>
      <c r="C81" s="293">
        <v>14210</v>
      </c>
      <c r="D81" s="293">
        <v>14150</v>
      </c>
      <c r="E81" s="293">
        <v>12730</v>
      </c>
      <c r="F81" s="301">
        <v>2240</v>
      </c>
      <c r="H81" s="308"/>
    </row>
    <row r="82" spans="1:8" s="279" customFormat="1" ht="14.25" customHeight="1">
      <c r="A82" s="288" t="s">
        <v>1714</v>
      </c>
      <c r="B82" s="293" t="s">
        <v>1721</v>
      </c>
      <c r="C82" s="293">
        <v>10860</v>
      </c>
      <c r="D82" s="293">
        <v>10820</v>
      </c>
      <c r="E82" s="293">
        <v>14720</v>
      </c>
      <c r="F82" s="301">
        <v>2490</v>
      </c>
      <c r="H82" s="308"/>
    </row>
    <row r="83" spans="1:8" s="279" customFormat="1" ht="14.25" customHeight="1">
      <c r="A83" s="288" t="s">
        <v>1714</v>
      </c>
      <c r="B83" s="293" t="s">
        <v>1722</v>
      </c>
      <c r="C83" s="293">
        <v>12810</v>
      </c>
      <c r="D83" s="293">
        <v>12760</v>
      </c>
      <c r="E83" s="293">
        <v>14830</v>
      </c>
      <c r="F83" s="301">
        <v>2450</v>
      </c>
      <c r="H83" s="308"/>
    </row>
    <row r="84" spans="1:8" s="279" customFormat="1" ht="14.25" customHeight="1">
      <c r="A84" s="288" t="s">
        <v>1714</v>
      </c>
      <c r="B84" s="293" t="s">
        <v>1723</v>
      </c>
      <c r="C84" s="293">
        <v>14950</v>
      </c>
      <c r="D84" s="293">
        <v>14810</v>
      </c>
      <c r="E84" s="293">
        <v>12590</v>
      </c>
      <c r="F84" s="301">
        <v>2540</v>
      </c>
      <c r="H84" s="308"/>
    </row>
    <row r="85" spans="1:8" s="279" customFormat="1" ht="14.25" customHeight="1">
      <c r="A85" s="288" t="s">
        <v>1714</v>
      </c>
      <c r="B85" s="293" t="s">
        <v>1724</v>
      </c>
      <c r="C85" s="293">
        <v>14960</v>
      </c>
      <c r="D85" s="293">
        <v>14890</v>
      </c>
      <c r="E85" s="293">
        <v>12840</v>
      </c>
      <c r="F85" s="301">
        <v>2840</v>
      </c>
      <c r="H85" s="308"/>
    </row>
    <row r="86" spans="1:8" s="279" customFormat="1" ht="14.25" customHeight="1">
      <c r="A86" s="288" t="s">
        <v>1714</v>
      </c>
      <c r="B86" s="293" t="s">
        <v>1725</v>
      </c>
      <c r="C86" s="293">
        <v>12730</v>
      </c>
      <c r="D86" s="293">
        <v>12660</v>
      </c>
      <c r="E86" s="293">
        <v>13310</v>
      </c>
      <c r="F86" s="301">
        <v>3140</v>
      </c>
      <c r="H86" s="308"/>
    </row>
    <row r="87" spans="1:8" s="279" customFormat="1" ht="14.25" customHeight="1">
      <c r="A87" s="288" t="s">
        <v>1714</v>
      </c>
      <c r="B87" s="293" t="s">
        <v>1726</v>
      </c>
      <c r="C87" s="293">
        <v>12940</v>
      </c>
      <c r="D87" s="293">
        <v>12890</v>
      </c>
      <c r="E87" s="293">
        <v>11580</v>
      </c>
      <c r="F87" s="310"/>
      <c r="H87" s="308"/>
    </row>
    <row r="88" spans="1:8" s="279" customFormat="1" ht="14.25" customHeight="1">
      <c r="A88" s="288" t="s">
        <v>1714</v>
      </c>
      <c r="B88" s="293" t="s">
        <v>1727</v>
      </c>
      <c r="C88" s="293">
        <v>13430</v>
      </c>
      <c r="D88" s="293">
        <v>13360</v>
      </c>
      <c r="E88" s="293">
        <v>12790</v>
      </c>
      <c r="F88" s="310"/>
      <c r="H88" s="308"/>
    </row>
    <row r="89" spans="1:8" s="279" customFormat="1" ht="14.25" customHeight="1">
      <c r="A89" s="288" t="s">
        <v>1714</v>
      </c>
      <c r="B89" s="293" t="s">
        <v>1728</v>
      </c>
      <c r="C89" s="293">
        <v>11680</v>
      </c>
      <c r="D89" s="293">
        <v>11630</v>
      </c>
      <c r="E89" s="293">
        <v>11320</v>
      </c>
      <c r="F89" s="310"/>
      <c r="H89" s="308"/>
    </row>
    <row r="90" spans="1:8" s="279" customFormat="1" ht="14.25" customHeight="1">
      <c r="A90" s="288" t="s">
        <v>1714</v>
      </c>
      <c r="B90" s="293" t="s">
        <v>1729</v>
      </c>
      <c r="C90" s="293">
        <v>12890</v>
      </c>
      <c r="D90" s="293">
        <v>12820</v>
      </c>
      <c r="E90" s="293">
        <v>12710</v>
      </c>
      <c r="F90" s="310"/>
      <c r="H90" s="308"/>
    </row>
    <row r="91" spans="1:8" s="279" customFormat="1" ht="14.25" customHeight="1">
      <c r="A91" s="288" t="s">
        <v>1714</v>
      </c>
      <c r="B91" s="293" t="s">
        <v>1730</v>
      </c>
      <c r="C91" s="293">
        <v>11410</v>
      </c>
      <c r="D91" s="293">
        <v>11360</v>
      </c>
      <c r="E91" s="293">
        <v>12670</v>
      </c>
      <c r="F91" s="310"/>
      <c r="H91" s="308"/>
    </row>
    <row r="92" spans="1:8" s="279" customFormat="1" ht="14.25" customHeight="1">
      <c r="A92" s="288" t="s">
        <v>1714</v>
      </c>
      <c r="B92" s="293" t="s">
        <v>1731</v>
      </c>
      <c r="C92" s="293">
        <v>12770</v>
      </c>
      <c r="D92" s="293">
        <v>12740</v>
      </c>
      <c r="E92" s="293">
        <v>11970</v>
      </c>
      <c r="F92" s="310"/>
      <c r="H92" s="308"/>
    </row>
    <row r="93" spans="1:8" s="279" customFormat="1" ht="14.25" customHeight="1">
      <c r="A93" s="288" t="s">
        <v>1714</v>
      </c>
      <c r="B93" s="293" t="s">
        <v>1732</v>
      </c>
      <c r="C93" s="293">
        <v>12740</v>
      </c>
      <c r="D93" s="293">
        <v>12700</v>
      </c>
      <c r="E93" s="293">
        <v>12540</v>
      </c>
      <c r="F93" s="310"/>
      <c r="H93" s="308"/>
    </row>
    <row r="94" spans="1:8" s="279" customFormat="1" ht="14.25" customHeight="1">
      <c r="A94" s="288" t="s">
        <v>1714</v>
      </c>
      <c r="B94" s="293" t="s">
        <v>1733</v>
      </c>
      <c r="C94" s="293">
        <v>12020</v>
      </c>
      <c r="D94" s="293">
        <v>11990</v>
      </c>
      <c r="E94" s="293">
        <v>13110</v>
      </c>
      <c r="F94" s="310"/>
      <c r="H94" s="308"/>
    </row>
    <row r="95" spans="1:8" s="279" customFormat="1" ht="14.25" customHeight="1">
      <c r="A95" s="288" t="s">
        <v>1714</v>
      </c>
      <c r="B95" s="293" t="s">
        <v>1734</v>
      </c>
      <c r="C95" s="293">
        <v>12620</v>
      </c>
      <c r="D95" s="293">
        <v>12580</v>
      </c>
      <c r="E95" s="293">
        <v>13160</v>
      </c>
      <c r="F95" s="301"/>
      <c r="H95" s="308"/>
    </row>
    <row r="96" spans="1:8" s="279" customFormat="1" ht="14.25" customHeight="1">
      <c r="A96" s="288" t="s">
        <v>1714</v>
      </c>
      <c r="B96" s="293" t="s">
        <v>1735</v>
      </c>
      <c r="C96" s="293">
        <v>13200</v>
      </c>
      <c r="D96" s="293">
        <v>13150</v>
      </c>
      <c r="E96" s="293">
        <v>12900</v>
      </c>
      <c r="F96" s="301"/>
      <c r="H96" s="308"/>
    </row>
    <row r="97" spans="1:8" s="279" customFormat="1" ht="14.25" customHeight="1">
      <c r="A97" s="288" t="s">
        <v>1714</v>
      </c>
      <c r="B97" s="293" t="s">
        <v>1736</v>
      </c>
      <c r="C97" s="293">
        <v>13270</v>
      </c>
      <c r="D97" s="293">
        <v>13210</v>
      </c>
      <c r="E97" s="293">
        <v>11080</v>
      </c>
      <c r="F97" s="301"/>
      <c r="H97" s="308"/>
    </row>
    <row r="98" spans="1:8" s="279" customFormat="1" ht="14.25" customHeight="1">
      <c r="A98" s="288" t="s">
        <v>1714</v>
      </c>
      <c r="B98" s="293" t="s">
        <v>1737</v>
      </c>
      <c r="C98" s="293">
        <v>13010</v>
      </c>
      <c r="D98" s="293">
        <v>12930</v>
      </c>
      <c r="E98" s="293">
        <v>12840</v>
      </c>
      <c r="F98" s="301"/>
      <c r="H98" s="308"/>
    </row>
    <row r="99" spans="1:8" s="279" customFormat="1" ht="14.25" customHeight="1">
      <c r="A99" s="288" t="s">
        <v>1714</v>
      </c>
      <c r="B99" s="293" t="s">
        <v>1738</v>
      </c>
      <c r="C99" s="293">
        <v>11190</v>
      </c>
      <c r="D99" s="293">
        <v>11130</v>
      </c>
      <c r="E99" s="293"/>
      <c r="F99" s="301"/>
      <c r="H99" s="308"/>
    </row>
    <row r="100" spans="1:8" s="279" customFormat="1" ht="14.25" customHeight="1">
      <c r="A100" s="288" t="s">
        <v>1714</v>
      </c>
      <c r="B100" s="293" t="s">
        <v>1739</v>
      </c>
      <c r="C100" s="293">
        <v>14280</v>
      </c>
      <c r="D100" s="293">
        <v>14180</v>
      </c>
      <c r="E100" s="293"/>
      <c r="F100" s="301"/>
      <c r="H100" s="308"/>
    </row>
    <row r="101" spans="1:8" s="279" customFormat="1" ht="14.25" customHeight="1">
      <c r="A101" s="288" t="s">
        <v>1714</v>
      </c>
      <c r="B101" s="293" t="s">
        <v>1740</v>
      </c>
      <c r="C101" s="293">
        <v>12960</v>
      </c>
      <c r="D101" s="293">
        <v>12890</v>
      </c>
      <c r="E101" s="293"/>
      <c r="F101" s="301"/>
      <c r="H101" s="308"/>
    </row>
    <row r="102" spans="1:8" s="279" customFormat="1" ht="14.25" customHeight="1">
      <c r="A102" s="288" t="s">
        <v>1714</v>
      </c>
      <c r="B102" s="293" t="s">
        <v>1741</v>
      </c>
      <c r="C102" s="293"/>
      <c r="D102" s="293"/>
      <c r="E102" s="293"/>
      <c r="F102" s="301">
        <v>3100</v>
      </c>
      <c r="H102" s="308"/>
    </row>
    <row r="103" spans="1:8" s="279" customFormat="1" ht="14.25" customHeight="1">
      <c r="A103" s="288" t="s">
        <v>1714</v>
      </c>
      <c r="B103" s="293" t="s">
        <v>1742</v>
      </c>
      <c r="C103" s="293"/>
      <c r="D103" s="293"/>
      <c r="E103" s="293"/>
      <c r="F103" s="301">
        <v>2320</v>
      </c>
      <c r="H103" s="308"/>
    </row>
    <row r="104" spans="1:8" s="279" customFormat="1" ht="14.25" customHeight="1">
      <c r="A104" s="288" t="s">
        <v>1714</v>
      </c>
      <c r="B104" s="293" t="s">
        <v>1743</v>
      </c>
      <c r="C104" s="293"/>
      <c r="D104" s="293"/>
      <c r="E104" s="293"/>
      <c r="F104" s="301">
        <v>2320</v>
      </c>
      <c r="H104" s="308"/>
    </row>
    <row r="105" spans="1:8" s="279" customFormat="1" ht="14.25" customHeight="1">
      <c r="A105" s="288" t="s">
        <v>1714</v>
      </c>
      <c r="B105" s="293" t="s">
        <v>1744</v>
      </c>
      <c r="C105" s="293"/>
      <c r="D105" s="293"/>
      <c r="E105" s="293"/>
      <c r="F105" s="301">
        <v>2320</v>
      </c>
      <c r="H105" s="308"/>
    </row>
    <row r="106" spans="1:8" s="279" customFormat="1" ht="14.25" customHeight="1">
      <c r="A106" s="288" t="s">
        <v>1714</v>
      </c>
      <c r="B106" s="293" t="s">
        <v>1745</v>
      </c>
      <c r="C106" s="293"/>
      <c r="D106" s="293"/>
      <c r="E106" s="293"/>
      <c r="F106" s="301">
        <v>2320</v>
      </c>
      <c r="H106" s="308"/>
    </row>
    <row r="107" spans="1:8" s="279" customFormat="1" ht="14.25" customHeight="1">
      <c r="A107" s="288" t="s">
        <v>1714</v>
      </c>
      <c r="B107" s="293" t="s">
        <v>1746</v>
      </c>
      <c r="C107" s="293"/>
      <c r="D107" s="293"/>
      <c r="E107" s="293"/>
      <c r="F107" s="301">
        <v>2280</v>
      </c>
      <c r="H107" s="308"/>
    </row>
    <row r="108" spans="1:8" s="279" customFormat="1" ht="14.25" customHeight="1">
      <c r="A108" s="288" t="s">
        <v>1714</v>
      </c>
      <c r="B108" s="293" t="s">
        <v>1747</v>
      </c>
      <c r="C108" s="293"/>
      <c r="D108" s="293"/>
      <c r="E108" s="293"/>
      <c r="F108" s="301">
        <v>2280</v>
      </c>
      <c r="H108" s="308"/>
    </row>
    <row r="109" spans="1:8" s="279" customFormat="1" ht="14.25" customHeight="1">
      <c r="A109" s="288" t="s">
        <v>1714</v>
      </c>
      <c r="B109" s="299" t="s">
        <v>1748</v>
      </c>
      <c r="C109" s="299"/>
      <c r="D109" s="299"/>
      <c r="E109" s="299"/>
      <c r="F109" s="309">
        <v>2280</v>
      </c>
      <c r="H109" s="308"/>
    </row>
    <row r="110" spans="1:8" s="279" customFormat="1" ht="14.25" customHeight="1">
      <c r="A110" s="288" t="s">
        <v>1749</v>
      </c>
      <c r="B110" s="289" t="s">
        <v>1750</v>
      </c>
      <c r="C110" s="289">
        <v>10520</v>
      </c>
      <c r="D110" s="289">
        <v>10490</v>
      </c>
      <c r="E110" s="289">
        <v>10760</v>
      </c>
      <c r="F110" s="290">
        <v>2160</v>
      </c>
      <c r="H110" s="308"/>
    </row>
    <row r="111" spans="1:8" s="279" customFormat="1" ht="14.25" customHeight="1">
      <c r="A111" s="288" t="s">
        <v>1749</v>
      </c>
      <c r="B111" s="293" t="s">
        <v>1751</v>
      </c>
      <c r="C111" s="293">
        <v>10090</v>
      </c>
      <c r="D111" s="293">
        <v>10060</v>
      </c>
      <c r="E111" s="293">
        <v>10300</v>
      </c>
      <c r="F111" s="301">
        <v>2010</v>
      </c>
      <c r="H111" s="308"/>
    </row>
    <row r="112" spans="1:8" s="279" customFormat="1" ht="14.25" customHeight="1">
      <c r="A112" s="288" t="s">
        <v>1749</v>
      </c>
      <c r="B112" s="293" t="s">
        <v>1752</v>
      </c>
      <c r="C112" s="293">
        <v>9910</v>
      </c>
      <c r="D112" s="293">
        <v>9850</v>
      </c>
      <c r="E112" s="293">
        <v>9960</v>
      </c>
      <c r="F112" s="301">
        <v>2090</v>
      </c>
      <c r="H112" s="308"/>
    </row>
    <row r="113" spans="1:8" s="279" customFormat="1" ht="14.25" customHeight="1">
      <c r="A113" s="288" t="s">
        <v>1749</v>
      </c>
      <c r="B113" s="293" t="s">
        <v>1753</v>
      </c>
      <c r="C113" s="293">
        <v>11430</v>
      </c>
      <c r="D113" s="293">
        <v>11400</v>
      </c>
      <c r="E113" s="293">
        <v>11710</v>
      </c>
      <c r="F113" s="301">
        <v>2050</v>
      </c>
      <c r="H113" s="308"/>
    </row>
    <row r="114" spans="1:8" s="279" customFormat="1" ht="14.25" customHeight="1">
      <c r="A114" s="288" t="s">
        <v>1749</v>
      </c>
      <c r="B114" s="293" t="s">
        <v>1754</v>
      </c>
      <c r="C114" s="293">
        <v>11390</v>
      </c>
      <c r="D114" s="293">
        <v>11350</v>
      </c>
      <c r="E114" s="293">
        <v>11640</v>
      </c>
      <c r="F114" s="301">
        <v>1620</v>
      </c>
      <c r="H114" s="308"/>
    </row>
    <row r="115" spans="1:8" s="279" customFormat="1" ht="14.25" customHeight="1">
      <c r="A115" s="288" t="s">
        <v>1749</v>
      </c>
      <c r="B115" s="293" t="s">
        <v>1755</v>
      </c>
      <c r="C115" s="293">
        <v>9930</v>
      </c>
      <c r="D115" s="293">
        <v>9900</v>
      </c>
      <c r="E115" s="293">
        <v>10160</v>
      </c>
      <c r="F115" s="301">
        <v>1580</v>
      </c>
      <c r="H115" s="308"/>
    </row>
    <row r="116" spans="1:8" s="279" customFormat="1" ht="14.25" customHeight="1">
      <c r="A116" s="288" t="s">
        <v>1749</v>
      </c>
      <c r="B116" s="293" t="s">
        <v>1756</v>
      </c>
      <c r="C116" s="293">
        <v>9150</v>
      </c>
      <c r="D116" s="293">
        <v>9120</v>
      </c>
      <c r="E116" s="293">
        <v>9380</v>
      </c>
      <c r="F116" s="301">
        <v>1750</v>
      </c>
      <c r="H116" s="308"/>
    </row>
    <row r="117" spans="1:8" s="279" customFormat="1" ht="14.25" customHeight="1">
      <c r="A117" s="288" t="s">
        <v>1749</v>
      </c>
      <c r="B117" s="293" t="s">
        <v>1757</v>
      </c>
      <c r="C117" s="293">
        <v>10680</v>
      </c>
      <c r="D117" s="293">
        <v>10650</v>
      </c>
      <c r="E117" s="293">
        <v>10970</v>
      </c>
      <c r="F117" s="301">
        <v>1730</v>
      </c>
      <c r="H117" s="308"/>
    </row>
    <row r="118" spans="1:8" s="279" customFormat="1" ht="14.25" customHeight="1">
      <c r="A118" s="288" t="s">
        <v>1749</v>
      </c>
      <c r="B118" s="293" t="s">
        <v>1758</v>
      </c>
      <c r="C118" s="293">
        <v>10080</v>
      </c>
      <c r="D118" s="293">
        <v>10050</v>
      </c>
      <c r="E118" s="293">
        <v>10350</v>
      </c>
      <c r="F118" s="301">
        <v>1920</v>
      </c>
      <c r="H118" s="308"/>
    </row>
    <row r="119" spans="1:8" s="279" customFormat="1" ht="14.25" customHeight="1">
      <c r="A119" s="288" t="s">
        <v>1749</v>
      </c>
      <c r="B119" s="293" t="s">
        <v>1759</v>
      </c>
      <c r="C119" s="293">
        <v>9450</v>
      </c>
      <c r="D119" s="293">
        <v>9410</v>
      </c>
      <c r="E119" s="293">
        <v>9680</v>
      </c>
      <c r="F119" s="301">
        <v>1880</v>
      </c>
      <c r="H119" s="308"/>
    </row>
    <row r="120" spans="1:8" s="279" customFormat="1" ht="14.25" customHeight="1">
      <c r="A120" s="288" t="s">
        <v>1749</v>
      </c>
      <c r="B120" s="293" t="s">
        <v>1760</v>
      </c>
      <c r="C120" s="293">
        <v>8730</v>
      </c>
      <c r="D120" s="293">
        <v>8700</v>
      </c>
      <c r="E120" s="293">
        <v>8950</v>
      </c>
      <c r="F120" s="301">
        <v>1830</v>
      </c>
      <c r="H120" s="308"/>
    </row>
    <row r="121" spans="1:8" s="279" customFormat="1" ht="14.25" customHeight="1">
      <c r="A121" s="288" t="s">
        <v>1749</v>
      </c>
      <c r="B121" s="293" t="s">
        <v>1761</v>
      </c>
      <c r="C121" s="293">
        <v>10070</v>
      </c>
      <c r="D121" s="293">
        <v>10040</v>
      </c>
      <c r="E121" s="293">
        <v>10270</v>
      </c>
      <c r="F121" s="301">
        <v>1960</v>
      </c>
      <c r="H121" s="308"/>
    </row>
    <row r="122" spans="1:8" s="279" customFormat="1" ht="14.25" customHeight="1">
      <c r="A122" s="288" t="s">
        <v>1749</v>
      </c>
      <c r="B122" s="293" t="s">
        <v>1762</v>
      </c>
      <c r="C122" s="293">
        <v>10500</v>
      </c>
      <c r="D122" s="293">
        <v>10470</v>
      </c>
      <c r="E122" s="293">
        <v>10780</v>
      </c>
      <c r="F122" s="301">
        <v>2180</v>
      </c>
      <c r="H122" s="308"/>
    </row>
    <row r="123" spans="1:8" s="279" customFormat="1" ht="14.25" customHeight="1">
      <c r="A123" s="288" t="s">
        <v>1749</v>
      </c>
      <c r="B123" s="293" t="s">
        <v>1763</v>
      </c>
      <c r="C123" s="293">
        <v>10390</v>
      </c>
      <c r="D123" s="293">
        <v>10360</v>
      </c>
      <c r="E123" s="293">
        <v>10660</v>
      </c>
      <c r="F123" s="301">
        <v>2040</v>
      </c>
      <c r="H123" s="308"/>
    </row>
    <row r="124" spans="1:8" s="279" customFormat="1" ht="14.25" customHeight="1">
      <c r="A124" s="288" t="s">
        <v>1749</v>
      </c>
      <c r="B124" s="293" t="s">
        <v>1764</v>
      </c>
      <c r="C124" s="293">
        <v>10390</v>
      </c>
      <c r="D124" s="293">
        <v>10360</v>
      </c>
      <c r="E124" s="293">
        <v>10680</v>
      </c>
      <c r="F124" s="310"/>
      <c r="H124" s="308"/>
    </row>
    <row r="125" spans="1:8" s="279" customFormat="1" ht="14.25" customHeight="1">
      <c r="A125" s="288" t="s">
        <v>1749</v>
      </c>
      <c r="B125" s="293" t="s">
        <v>1765</v>
      </c>
      <c r="C125" s="293">
        <v>10440</v>
      </c>
      <c r="D125" s="293">
        <v>10410</v>
      </c>
      <c r="E125" s="293">
        <v>10710</v>
      </c>
      <c r="F125" s="310"/>
      <c r="H125" s="308"/>
    </row>
    <row r="126" spans="1:8" s="279" customFormat="1" ht="14.25" customHeight="1">
      <c r="A126" s="288" t="s">
        <v>1749</v>
      </c>
      <c r="B126" s="293" t="s">
        <v>1766</v>
      </c>
      <c r="C126" s="293">
        <v>10780</v>
      </c>
      <c r="D126" s="293">
        <v>10750</v>
      </c>
      <c r="E126" s="293">
        <v>11080</v>
      </c>
      <c r="F126" s="310"/>
      <c r="H126" s="308"/>
    </row>
    <row r="127" spans="1:8" s="279" customFormat="1" ht="14.25" customHeight="1">
      <c r="A127" s="288" t="s">
        <v>1749</v>
      </c>
      <c r="B127" s="293" t="s">
        <v>1767</v>
      </c>
      <c r="C127" s="293">
        <v>10100</v>
      </c>
      <c r="D127" s="293">
        <v>10070</v>
      </c>
      <c r="E127" s="293">
        <v>10350</v>
      </c>
      <c r="F127" s="310"/>
      <c r="H127" s="308"/>
    </row>
    <row r="128" spans="1:8" s="279" customFormat="1" ht="14.25" customHeight="1">
      <c r="A128" s="288" t="s">
        <v>1749</v>
      </c>
      <c r="B128" s="293" t="s">
        <v>1768</v>
      </c>
      <c r="C128" s="293">
        <v>9200</v>
      </c>
      <c r="D128" s="293">
        <v>9160</v>
      </c>
      <c r="E128" s="293">
        <v>9660</v>
      </c>
      <c r="F128" s="310"/>
      <c r="H128" s="308"/>
    </row>
    <row r="129" spans="1:8" s="279" customFormat="1" ht="14.25" customHeight="1">
      <c r="A129" s="288" t="s">
        <v>1749</v>
      </c>
      <c r="B129" s="293" t="s">
        <v>1769</v>
      </c>
      <c r="C129" s="293">
        <v>10340</v>
      </c>
      <c r="D129" s="293">
        <v>10310</v>
      </c>
      <c r="E129" s="293">
        <v>10580</v>
      </c>
      <c r="F129" s="310"/>
      <c r="H129" s="308"/>
    </row>
    <row r="130" spans="1:8" s="279" customFormat="1" ht="14.25" customHeight="1">
      <c r="A130" s="288" t="s">
        <v>1749</v>
      </c>
      <c r="B130" s="293" t="s">
        <v>1770</v>
      </c>
      <c r="C130" s="293">
        <v>9680</v>
      </c>
      <c r="D130" s="293">
        <v>9660</v>
      </c>
      <c r="E130" s="293">
        <v>9950</v>
      </c>
      <c r="F130" s="310"/>
      <c r="H130" s="308"/>
    </row>
    <row r="131" spans="1:8" s="279" customFormat="1" ht="14.25" customHeight="1">
      <c r="A131" s="288" t="s">
        <v>1749</v>
      </c>
      <c r="B131" s="293" t="s">
        <v>1771</v>
      </c>
      <c r="C131" s="293">
        <v>9540</v>
      </c>
      <c r="D131" s="293">
        <v>9510</v>
      </c>
      <c r="E131" s="293">
        <v>9790</v>
      </c>
      <c r="F131" s="310"/>
      <c r="H131" s="308"/>
    </row>
    <row r="132" spans="1:8" s="279" customFormat="1" ht="14.25" customHeight="1">
      <c r="A132" s="288" t="s">
        <v>1749</v>
      </c>
      <c r="B132" s="293" t="s">
        <v>1772</v>
      </c>
      <c r="C132" s="293">
        <v>9320</v>
      </c>
      <c r="D132" s="293">
        <v>9290</v>
      </c>
      <c r="E132" s="293">
        <v>9570</v>
      </c>
      <c r="F132" s="310"/>
      <c r="H132" s="308"/>
    </row>
    <row r="133" spans="1:8" s="279" customFormat="1" ht="14.25" customHeight="1">
      <c r="A133" s="288" t="s">
        <v>1749</v>
      </c>
      <c r="B133" s="293" t="s">
        <v>1773</v>
      </c>
      <c r="C133" s="293">
        <v>10310</v>
      </c>
      <c r="D133" s="293">
        <v>10280</v>
      </c>
      <c r="E133" s="293">
        <v>10530</v>
      </c>
      <c r="F133" s="310"/>
      <c r="H133" s="308"/>
    </row>
    <row r="134" spans="1:8" s="279" customFormat="1" ht="14.25" customHeight="1">
      <c r="A134" s="288" t="s">
        <v>1749</v>
      </c>
      <c r="B134" s="293" t="s">
        <v>1774</v>
      </c>
      <c r="C134" s="293">
        <v>10370</v>
      </c>
      <c r="D134" s="293">
        <v>10310</v>
      </c>
      <c r="E134" s="293">
        <v>10240</v>
      </c>
      <c r="F134" s="301">
        <v>2060</v>
      </c>
      <c r="H134" s="308"/>
    </row>
    <row r="135" spans="1:8" s="279" customFormat="1" ht="14.25" customHeight="1">
      <c r="A135" s="288" t="s">
        <v>1749</v>
      </c>
      <c r="B135" s="293" t="s">
        <v>1775</v>
      </c>
      <c r="C135" s="293">
        <v>9300</v>
      </c>
      <c r="D135" s="293">
        <v>9270</v>
      </c>
      <c r="E135" s="293">
        <v>9350</v>
      </c>
      <c r="F135" s="310"/>
      <c r="H135" s="308"/>
    </row>
    <row r="136" spans="1:8" s="279" customFormat="1" ht="14.25" customHeight="1">
      <c r="A136" s="288" t="s">
        <v>1749</v>
      </c>
      <c r="B136" s="293" t="s">
        <v>1776</v>
      </c>
      <c r="C136" s="293">
        <v>10160</v>
      </c>
      <c r="D136" s="293">
        <v>10110</v>
      </c>
      <c r="E136" s="293">
        <v>10080</v>
      </c>
      <c r="F136" s="310"/>
      <c r="H136" s="308"/>
    </row>
    <row r="137" spans="1:8" s="279" customFormat="1" ht="14.25" customHeight="1">
      <c r="A137" s="288" t="s">
        <v>1749</v>
      </c>
      <c r="B137" s="293" t="s">
        <v>1777</v>
      </c>
      <c r="C137" s="293">
        <v>9200</v>
      </c>
      <c r="D137" s="293">
        <v>9170</v>
      </c>
      <c r="E137" s="293">
        <v>9450</v>
      </c>
      <c r="F137" s="310"/>
      <c r="H137" s="308"/>
    </row>
    <row r="138" spans="1:8" s="279" customFormat="1" ht="14.25" customHeight="1">
      <c r="A138" s="288" t="s">
        <v>1749</v>
      </c>
      <c r="B138" s="293" t="s">
        <v>1778</v>
      </c>
      <c r="C138" s="293">
        <v>9690</v>
      </c>
      <c r="D138" s="293">
        <v>9660</v>
      </c>
      <c r="E138" s="293">
        <v>9840</v>
      </c>
      <c r="F138" s="310"/>
      <c r="H138" s="308"/>
    </row>
    <row r="139" spans="1:8" s="279" customFormat="1" ht="14.25" customHeight="1">
      <c r="A139" s="288" t="s">
        <v>1749</v>
      </c>
      <c r="B139" s="293" t="s">
        <v>1779</v>
      </c>
      <c r="C139" s="293">
        <v>10290</v>
      </c>
      <c r="D139" s="293">
        <v>10260</v>
      </c>
      <c r="E139" s="293">
        <v>10550</v>
      </c>
      <c r="F139" s="301">
        <v>1700</v>
      </c>
      <c r="H139" s="308"/>
    </row>
    <row r="140" spans="1:8" s="279" customFormat="1" ht="14.25" customHeight="1">
      <c r="A140" s="288" t="s">
        <v>1749</v>
      </c>
      <c r="B140" s="293" t="s">
        <v>1780</v>
      </c>
      <c r="C140" s="293">
        <v>9740</v>
      </c>
      <c r="D140" s="293">
        <v>9710</v>
      </c>
      <c r="E140" s="293">
        <v>10000</v>
      </c>
      <c r="F140" s="301">
        <v>2000</v>
      </c>
      <c r="H140" s="308"/>
    </row>
    <row r="141" spans="1:8" s="279" customFormat="1" ht="14.25" customHeight="1">
      <c r="A141" s="288" t="s">
        <v>1749</v>
      </c>
      <c r="B141" s="293" t="s">
        <v>1781</v>
      </c>
      <c r="C141" s="293">
        <v>9810</v>
      </c>
      <c r="D141" s="293">
        <v>9770</v>
      </c>
      <c r="E141" s="293">
        <v>10060</v>
      </c>
      <c r="F141" s="310"/>
      <c r="H141" s="308"/>
    </row>
    <row r="142" spans="1:8" s="279" customFormat="1" ht="14.25" customHeight="1">
      <c r="A142" s="288" t="s">
        <v>1749</v>
      </c>
      <c r="B142" s="293" t="s">
        <v>1782</v>
      </c>
      <c r="C142" s="293">
        <v>9300</v>
      </c>
      <c r="D142" s="293">
        <v>9270</v>
      </c>
      <c r="E142" s="293">
        <v>9530</v>
      </c>
      <c r="F142" s="310"/>
      <c r="H142" s="308"/>
    </row>
    <row r="143" spans="1:8" s="279" customFormat="1" ht="14.25" customHeight="1">
      <c r="A143" s="288" t="s">
        <v>1749</v>
      </c>
      <c r="B143" s="293" t="s">
        <v>1783</v>
      </c>
      <c r="C143" s="293">
        <v>10080</v>
      </c>
      <c r="D143" s="293">
        <v>10050</v>
      </c>
      <c r="E143" s="293">
        <v>10340</v>
      </c>
      <c r="F143" s="310"/>
      <c r="H143" s="308"/>
    </row>
    <row r="144" spans="1:8" s="279" customFormat="1" ht="14.25" customHeight="1">
      <c r="A144" s="288" t="s">
        <v>1749</v>
      </c>
      <c r="B144" s="293" t="s">
        <v>1784</v>
      </c>
      <c r="C144" s="293">
        <v>9820</v>
      </c>
      <c r="D144" s="293">
        <v>9750</v>
      </c>
      <c r="E144" s="293">
        <v>9900</v>
      </c>
      <c r="F144" s="310"/>
      <c r="H144" s="308"/>
    </row>
    <row r="145" spans="1:8" s="279" customFormat="1" ht="14.25" customHeight="1">
      <c r="A145" s="288" t="s">
        <v>1749</v>
      </c>
      <c r="B145" s="293" t="s">
        <v>1785</v>
      </c>
      <c r="C145" s="293"/>
      <c r="D145" s="293"/>
      <c r="E145" s="293"/>
      <c r="F145" s="301">
        <v>1740</v>
      </c>
      <c r="H145" s="308"/>
    </row>
    <row r="146" spans="1:8" s="279" customFormat="1" ht="14.25" customHeight="1">
      <c r="A146" s="288" t="s">
        <v>1749</v>
      </c>
      <c r="B146" s="293" t="s">
        <v>1786</v>
      </c>
      <c r="C146" s="293"/>
      <c r="D146" s="293"/>
      <c r="E146" s="293"/>
      <c r="F146" s="301">
        <v>1740</v>
      </c>
      <c r="H146" s="308"/>
    </row>
    <row r="147" spans="1:8" s="279" customFormat="1" ht="14.25" customHeight="1">
      <c r="A147" s="288" t="s">
        <v>1749</v>
      </c>
      <c r="B147" s="293" t="s">
        <v>1787</v>
      </c>
      <c r="C147" s="293"/>
      <c r="D147" s="293"/>
      <c r="E147" s="293"/>
      <c r="F147" s="301">
        <v>1740</v>
      </c>
      <c r="H147" s="308"/>
    </row>
    <row r="148" spans="1:8" s="279" customFormat="1" ht="14.25" customHeight="1">
      <c r="A148" s="288" t="s">
        <v>1749</v>
      </c>
      <c r="B148" s="293" t="s">
        <v>1788</v>
      </c>
      <c r="C148" s="293"/>
      <c r="D148" s="293"/>
      <c r="E148" s="293"/>
      <c r="F148" s="301">
        <v>1740</v>
      </c>
      <c r="H148" s="308"/>
    </row>
    <row r="149" spans="1:8" s="279" customFormat="1" ht="14.25" customHeight="1">
      <c r="A149" s="288" t="s">
        <v>1749</v>
      </c>
      <c r="B149" s="293" t="s">
        <v>1789</v>
      </c>
      <c r="C149" s="293"/>
      <c r="D149" s="293"/>
      <c r="E149" s="293"/>
      <c r="F149" s="301">
        <v>1740</v>
      </c>
      <c r="H149" s="308"/>
    </row>
    <row r="150" spans="1:8" s="279" customFormat="1" ht="14.25" customHeight="1">
      <c r="A150" s="288" t="s">
        <v>1749</v>
      </c>
      <c r="B150" s="293" t="s">
        <v>1790</v>
      </c>
      <c r="C150" s="293"/>
      <c r="D150" s="293"/>
      <c r="E150" s="293"/>
      <c r="F150" s="301">
        <v>1610</v>
      </c>
      <c r="H150" s="308"/>
    </row>
    <row r="151" spans="1:8" s="279" customFormat="1" ht="14.25" customHeight="1">
      <c r="A151" s="288" t="s">
        <v>1749</v>
      </c>
      <c r="B151" s="293" t="s">
        <v>1791</v>
      </c>
      <c r="C151" s="293"/>
      <c r="D151" s="293"/>
      <c r="E151" s="293"/>
      <c r="F151" s="301">
        <v>1610</v>
      </c>
      <c r="H151" s="308"/>
    </row>
    <row r="152" spans="1:8" s="279" customFormat="1" ht="14.25" customHeight="1">
      <c r="A152" s="288" t="s">
        <v>1749</v>
      </c>
      <c r="B152" s="293" t="s">
        <v>1792</v>
      </c>
      <c r="C152" s="293"/>
      <c r="D152" s="293"/>
      <c r="E152" s="293"/>
      <c r="F152" s="301">
        <v>1610</v>
      </c>
      <c r="H152" s="308"/>
    </row>
    <row r="153" spans="1:8" s="279" customFormat="1" ht="14.25" customHeight="1">
      <c r="A153" s="288" t="s">
        <v>1749</v>
      </c>
      <c r="B153" s="293" t="s">
        <v>1793</v>
      </c>
      <c r="C153" s="293"/>
      <c r="D153" s="293"/>
      <c r="E153" s="293"/>
      <c r="F153" s="301">
        <v>1610</v>
      </c>
      <c r="H153" s="308"/>
    </row>
    <row r="154" spans="1:8" s="279" customFormat="1" ht="14.25" customHeight="1">
      <c r="A154" s="288" t="s">
        <v>1749</v>
      </c>
      <c r="B154" s="293" t="s">
        <v>1794</v>
      </c>
      <c r="C154" s="293"/>
      <c r="D154" s="293"/>
      <c r="E154" s="293"/>
      <c r="F154" s="301">
        <v>1610</v>
      </c>
      <c r="H154" s="308"/>
    </row>
    <row r="155" spans="1:8" s="279" customFormat="1" ht="14.25" customHeight="1">
      <c r="A155" s="288" t="s">
        <v>1749</v>
      </c>
      <c r="B155" s="293" t="s">
        <v>1795</v>
      </c>
      <c r="C155" s="293"/>
      <c r="D155" s="293"/>
      <c r="E155" s="293"/>
      <c r="F155" s="301">
        <v>1800</v>
      </c>
      <c r="H155" s="308"/>
    </row>
    <row r="156" spans="1:8" s="279" customFormat="1" ht="14.25" customHeight="1">
      <c r="A156" s="288" t="s">
        <v>1749</v>
      </c>
      <c r="B156" s="293" t="s">
        <v>1796</v>
      </c>
      <c r="C156" s="293"/>
      <c r="D156" s="293"/>
      <c r="E156" s="293"/>
      <c r="F156" s="301">
        <v>1910</v>
      </c>
      <c r="H156" s="308"/>
    </row>
    <row r="157" spans="1:8" s="279" customFormat="1" ht="14.25" customHeight="1">
      <c r="A157" s="288" t="s">
        <v>1749</v>
      </c>
      <c r="B157" s="299" t="s">
        <v>1797</v>
      </c>
      <c r="C157" s="299"/>
      <c r="D157" s="299"/>
      <c r="E157" s="299"/>
      <c r="F157" s="309">
        <v>1500</v>
      </c>
      <c r="H157" s="308"/>
    </row>
    <row r="158" spans="1:8" s="279" customFormat="1" ht="14.25" customHeight="1">
      <c r="A158" s="288" t="s">
        <v>1798</v>
      </c>
      <c r="B158" s="289" t="s">
        <v>1799</v>
      </c>
      <c r="C158" s="289">
        <v>8170</v>
      </c>
      <c r="D158" s="289">
        <v>8140</v>
      </c>
      <c r="E158" s="289">
        <v>8590</v>
      </c>
      <c r="F158" s="290">
        <v>1450</v>
      </c>
      <c r="H158" s="308"/>
    </row>
    <row r="159" spans="1:8" s="279" customFormat="1" ht="14.25" customHeight="1">
      <c r="A159" s="288" t="s">
        <v>1798</v>
      </c>
      <c r="B159" s="293" t="s">
        <v>1800</v>
      </c>
      <c r="C159" s="293">
        <v>7410</v>
      </c>
      <c r="D159" s="293">
        <v>7370</v>
      </c>
      <c r="E159" s="293">
        <v>8030</v>
      </c>
      <c r="F159" s="301">
        <v>1510</v>
      </c>
      <c r="H159" s="308"/>
    </row>
    <row r="160" spans="1:8" s="279" customFormat="1" ht="14.25" customHeight="1">
      <c r="A160" s="288" t="s">
        <v>1798</v>
      </c>
      <c r="B160" s="293" t="s">
        <v>1801</v>
      </c>
      <c r="C160" s="293">
        <v>7240</v>
      </c>
      <c r="D160" s="293">
        <v>7210</v>
      </c>
      <c r="E160" s="293">
        <v>7860</v>
      </c>
      <c r="F160" s="301">
        <v>1370</v>
      </c>
      <c r="H160" s="308"/>
    </row>
    <row r="161" spans="1:8" s="279" customFormat="1" ht="14.25" customHeight="1">
      <c r="A161" s="288" t="s">
        <v>1798</v>
      </c>
      <c r="B161" s="293" t="s">
        <v>1802</v>
      </c>
      <c r="C161" s="293">
        <v>7720</v>
      </c>
      <c r="D161" s="293">
        <v>7690</v>
      </c>
      <c r="E161" s="293">
        <v>8200</v>
      </c>
      <c r="F161" s="301">
        <v>1190</v>
      </c>
      <c r="H161" s="308"/>
    </row>
    <row r="162" spans="1:8" s="279" customFormat="1" ht="14.25" customHeight="1">
      <c r="A162" s="288" t="s">
        <v>1798</v>
      </c>
      <c r="B162" s="293" t="s">
        <v>1803</v>
      </c>
      <c r="C162" s="293">
        <v>6900</v>
      </c>
      <c r="D162" s="293">
        <v>6870</v>
      </c>
      <c r="E162" s="293">
        <v>7500</v>
      </c>
      <c r="F162" s="301">
        <v>1390</v>
      </c>
      <c r="H162" s="308"/>
    </row>
    <row r="163" spans="1:8" s="279" customFormat="1" ht="14.25" customHeight="1">
      <c r="A163" s="288" t="s">
        <v>1798</v>
      </c>
      <c r="B163" s="293" t="s">
        <v>1804</v>
      </c>
      <c r="C163" s="293">
        <v>7120</v>
      </c>
      <c r="D163" s="293">
        <v>7090</v>
      </c>
      <c r="E163" s="293">
        <v>7690</v>
      </c>
      <c r="F163" s="301">
        <v>1230</v>
      </c>
      <c r="H163" s="308"/>
    </row>
    <row r="164" spans="1:8" s="279" customFormat="1" ht="14.25" customHeight="1">
      <c r="A164" s="288" t="s">
        <v>1798</v>
      </c>
      <c r="B164" s="293" t="s">
        <v>1805</v>
      </c>
      <c r="C164" s="293">
        <v>6560</v>
      </c>
      <c r="D164" s="293">
        <v>6530</v>
      </c>
      <c r="E164" s="293">
        <v>7110</v>
      </c>
      <c r="F164" s="301">
        <v>1340</v>
      </c>
      <c r="H164" s="308"/>
    </row>
    <row r="165" spans="1:8" s="279" customFormat="1" ht="14.25" customHeight="1">
      <c r="A165" s="288" t="s">
        <v>1798</v>
      </c>
      <c r="B165" s="293" t="s">
        <v>1806</v>
      </c>
      <c r="C165" s="293">
        <v>7450</v>
      </c>
      <c r="D165" s="293">
        <v>7430</v>
      </c>
      <c r="E165" s="293">
        <v>8110</v>
      </c>
      <c r="F165" s="301">
        <v>1290</v>
      </c>
      <c r="H165" s="308"/>
    </row>
    <row r="166" spans="1:8" s="279" customFormat="1" ht="14.25" customHeight="1">
      <c r="A166" s="288" t="s">
        <v>1798</v>
      </c>
      <c r="B166" s="293" t="s">
        <v>1807</v>
      </c>
      <c r="C166" s="293">
        <v>7490</v>
      </c>
      <c r="D166" s="293">
        <v>7460</v>
      </c>
      <c r="E166" s="293">
        <v>8150</v>
      </c>
      <c r="F166" s="301">
        <v>1350</v>
      </c>
      <c r="H166" s="308"/>
    </row>
    <row r="167" spans="1:8" s="279" customFormat="1" ht="14.25" customHeight="1">
      <c r="A167" s="288" t="s">
        <v>1798</v>
      </c>
      <c r="B167" s="293" t="s">
        <v>1808</v>
      </c>
      <c r="C167" s="293">
        <v>7540</v>
      </c>
      <c r="D167" s="293">
        <v>7510</v>
      </c>
      <c r="E167" s="293">
        <v>8030</v>
      </c>
      <c r="F167" s="310"/>
      <c r="H167" s="308"/>
    </row>
    <row r="168" spans="1:8" s="279" customFormat="1" ht="14.25" customHeight="1">
      <c r="A168" s="288" t="s">
        <v>1798</v>
      </c>
      <c r="B168" s="293" t="s">
        <v>1809</v>
      </c>
      <c r="C168" s="293">
        <v>7210</v>
      </c>
      <c r="D168" s="293">
        <v>7180</v>
      </c>
      <c r="E168" s="293">
        <v>7830</v>
      </c>
      <c r="F168" s="310"/>
      <c r="H168" s="308"/>
    </row>
    <row r="169" spans="1:8" s="279" customFormat="1" ht="14.25" customHeight="1">
      <c r="A169" s="288" t="s">
        <v>1798</v>
      </c>
      <c r="B169" s="293" t="s">
        <v>1810</v>
      </c>
      <c r="C169" s="293">
        <v>7040</v>
      </c>
      <c r="D169" s="293">
        <v>7020</v>
      </c>
      <c r="E169" s="293">
        <v>7670</v>
      </c>
      <c r="F169" s="310"/>
      <c r="H169" s="308"/>
    </row>
    <row r="170" spans="1:8" s="279" customFormat="1" ht="14.25" customHeight="1">
      <c r="A170" s="288" t="s">
        <v>1798</v>
      </c>
      <c r="B170" s="293" t="s">
        <v>1811</v>
      </c>
      <c r="C170" s="293">
        <v>8040</v>
      </c>
      <c r="D170" s="293">
        <v>7190</v>
      </c>
      <c r="E170" s="293">
        <v>7850</v>
      </c>
      <c r="F170" s="310"/>
      <c r="H170" s="308"/>
    </row>
    <row r="171" spans="1:8" s="279" customFormat="1" ht="14.25" customHeight="1">
      <c r="A171" s="288" t="s">
        <v>1798</v>
      </c>
      <c r="B171" s="293" t="s">
        <v>1812</v>
      </c>
      <c r="C171" s="293">
        <v>7860</v>
      </c>
      <c r="D171" s="293">
        <v>7720</v>
      </c>
      <c r="E171" s="293">
        <v>8150</v>
      </c>
      <c r="F171" s="301">
        <v>1110</v>
      </c>
      <c r="H171" s="308"/>
    </row>
    <row r="172" spans="1:8" s="279" customFormat="1" ht="14.25" customHeight="1">
      <c r="A172" s="288" t="s">
        <v>1798</v>
      </c>
      <c r="B172" s="293" t="s">
        <v>1813</v>
      </c>
      <c r="C172" s="293">
        <v>7210</v>
      </c>
      <c r="D172" s="293">
        <v>7170</v>
      </c>
      <c r="E172" s="293">
        <v>7320</v>
      </c>
      <c r="F172" s="310"/>
      <c r="H172" s="308"/>
    </row>
    <row r="173" spans="1:8" s="279" customFormat="1" ht="14.25" customHeight="1">
      <c r="A173" s="288" t="s">
        <v>1798</v>
      </c>
      <c r="B173" s="293" t="s">
        <v>1814</v>
      </c>
      <c r="C173" s="293">
        <v>6860</v>
      </c>
      <c r="D173" s="293">
        <v>6810</v>
      </c>
      <c r="E173" s="293">
        <v>7440</v>
      </c>
      <c r="F173" s="310"/>
      <c r="H173" s="308"/>
    </row>
    <row r="174" spans="1:8" s="279" customFormat="1" ht="14.25" customHeight="1">
      <c r="A174" s="288" t="s">
        <v>1798</v>
      </c>
      <c r="B174" s="293" t="s">
        <v>1815</v>
      </c>
      <c r="C174" s="293">
        <v>7120</v>
      </c>
      <c r="D174" s="293">
        <v>7090</v>
      </c>
      <c r="E174" s="293">
        <v>7500</v>
      </c>
      <c r="F174" s="301">
        <v>1490</v>
      </c>
      <c r="H174" s="308"/>
    </row>
    <row r="175" spans="1:8" s="279" customFormat="1" ht="14.25" customHeight="1">
      <c r="A175" s="288" t="s">
        <v>1798</v>
      </c>
      <c r="B175" s="293" t="s">
        <v>1816</v>
      </c>
      <c r="C175" s="293">
        <v>7850</v>
      </c>
      <c r="D175" s="293">
        <v>7820</v>
      </c>
      <c r="E175" s="293">
        <v>8120</v>
      </c>
      <c r="F175" s="301">
        <v>1530</v>
      </c>
      <c r="H175" s="308"/>
    </row>
    <row r="176" spans="1:8" s="279" customFormat="1" ht="14.25" customHeight="1">
      <c r="A176" s="288" t="s">
        <v>1798</v>
      </c>
      <c r="B176" s="293" t="s">
        <v>1817</v>
      </c>
      <c r="C176" s="293">
        <v>7620</v>
      </c>
      <c r="D176" s="293">
        <v>7570</v>
      </c>
      <c r="E176" s="293">
        <v>7990</v>
      </c>
      <c r="F176" s="301">
        <v>1480</v>
      </c>
      <c r="H176" s="308"/>
    </row>
    <row r="177" spans="1:8" s="279" customFormat="1" ht="14.25" customHeight="1">
      <c r="A177" s="288" t="s">
        <v>1798</v>
      </c>
      <c r="B177" s="293" t="s">
        <v>1818</v>
      </c>
      <c r="C177" s="293">
        <v>8590</v>
      </c>
      <c r="D177" s="293">
        <v>8570</v>
      </c>
      <c r="E177" s="293">
        <v>8740</v>
      </c>
      <c r="F177" s="301">
        <v>1540</v>
      </c>
      <c r="H177" s="308"/>
    </row>
    <row r="178" spans="1:8" s="279" customFormat="1" ht="14.25" customHeight="1">
      <c r="A178" s="288" t="s">
        <v>1798</v>
      </c>
      <c r="B178" s="293" t="s">
        <v>1819</v>
      </c>
      <c r="C178" s="293">
        <v>7510</v>
      </c>
      <c r="D178" s="293">
        <v>7470</v>
      </c>
      <c r="E178" s="293">
        <v>8090</v>
      </c>
      <c r="F178" s="301">
        <v>1320</v>
      </c>
      <c r="H178" s="308"/>
    </row>
    <row r="179" spans="1:8" s="279" customFormat="1" ht="14.25" customHeight="1">
      <c r="A179" s="288" t="s">
        <v>1798</v>
      </c>
      <c r="B179" s="293" t="s">
        <v>1820</v>
      </c>
      <c r="C179" s="293">
        <v>6380</v>
      </c>
      <c r="D179" s="293">
        <v>6340</v>
      </c>
      <c r="E179" s="293">
        <v>6810</v>
      </c>
      <c r="F179" s="310"/>
      <c r="H179" s="308"/>
    </row>
    <row r="180" spans="1:8" s="279" customFormat="1" ht="14.25" customHeight="1">
      <c r="A180" s="288" t="s">
        <v>1798</v>
      </c>
      <c r="B180" s="293" t="s">
        <v>1821</v>
      </c>
      <c r="C180" s="293">
        <v>7830</v>
      </c>
      <c r="D180" s="293">
        <v>7800</v>
      </c>
      <c r="E180" s="293">
        <v>7780</v>
      </c>
      <c r="F180" s="301">
        <v>1440</v>
      </c>
      <c r="H180" s="308"/>
    </row>
    <row r="181" spans="1:8" s="279" customFormat="1" ht="14.25" customHeight="1">
      <c r="A181" s="288" t="s">
        <v>1798</v>
      </c>
      <c r="B181" s="293" t="s">
        <v>1822</v>
      </c>
      <c r="C181" s="293">
        <v>7110</v>
      </c>
      <c r="D181" s="293">
        <v>7080</v>
      </c>
      <c r="E181" s="293">
        <v>7730</v>
      </c>
      <c r="F181" s="301">
        <v>1350</v>
      </c>
      <c r="H181" s="308"/>
    </row>
    <row r="182" spans="1:8" s="279" customFormat="1" ht="14.25" customHeight="1">
      <c r="A182" s="288" t="s">
        <v>1798</v>
      </c>
      <c r="B182" s="293" t="s">
        <v>1823</v>
      </c>
      <c r="C182" s="293">
        <v>7310</v>
      </c>
      <c r="D182" s="293">
        <v>7280</v>
      </c>
      <c r="E182" s="293">
        <v>7950</v>
      </c>
      <c r="F182" s="301">
        <v>1220</v>
      </c>
      <c r="H182" s="308"/>
    </row>
    <row r="183" spans="1:8" s="279" customFormat="1" ht="14.25" customHeight="1">
      <c r="A183" s="288" t="s">
        <v>1798</v>
      </c>
      <c r="B183" s="293" t="s">
        <v>1824</v>
      </c>
      <c r="C183" s="293">
        <v>7470</v>
      </c>
      <c r="D183" s="293">
        <v>7440</v>
      </c>
      <c r="E183" s="293">
        <v>7880</v>
      </c>
      <c r="F183" s="310"/>
      <c r="H183" s="308"/>
    </row>
    <row r="184" spans="1:8" s="279" customFormat="1" ht="14.25" customHeight="1">
      <c r="A184" s="288" t="s">
        <v>1798</v>
      </c>
      <c r="B184" s="293" t="s">
        <v>1825</v>
      </c>
      <c r="C184" s="293">
        <v>6960</v>
      </c>
      <c r="D184" s="293">
        <v>6930</v>
      </c>
      <c r="E184" s="293">
        <v>7570</v>
      </c>
      <c r="F184" s="310"/>
      <c r="H184" s="308"/>
    </row>
    <row r="185" spans="1:8" s="279" customFormat="1" ht="14.25" customHeight="1">
      <c r="A185" s="288" t="s">
        <v>1798</v>
      </c>
      <c r="B185" s="293" t="s">
        <v>1826</v>
      </c>
      <c r="C185" s="293">
        <v>7260</v>
      </c>
      <c r="D185" s="293">
        <v>7230</v>
      </c>
      <c r="E185" s="293">
        <v>7710</v>
      </c>
      <c r="F185" s="301">
        <v>1360</v>
      </c>
      <c r="H185" s="308"/>
    </row>
    <row r="186" spans="1:8" s="279" customFormat="1" ht="14.25" customHeight="1">
      <c r="A186" s="288" t="s">
        <v>1798</v>
      </c>
      <c r="B186" s="293" t="s">
        <v>1827</v>
      </c>
      <c r="C186" s="293"/>
      <c r="D186" s="293"/>
      <c r="E186" s="293"/>
      <c r="F186" s="301">
        <v>1560</v>
      </c>
      <c r="H186" s="308"/>
    </row>
    <row r="187" spans="1:8" s="279" customFormat="1" ht="14.25" customHeight="1">
      <c r="A187" s="288" t="s">
        <v>1798</v>
      </c>
      <c r="B187" s="293" t="s">
        <v>1828</v>
      </c>
      <c r="C187" s="293"/>
      <c r="D187" s="293"/>
      <c r="E187" s="293"/>
      <c r="F187" s="301">
        <v>1560</v>
      </c>
      <c r="H187" s="308"/>
    </row>
    <row r="188" spans="1:8" s="279" customFormat="1" ht="14.25" customHeight="1">
      <c r="A188" s="288" t="s">
        <v>1798</v>
      </c>
      <c r="B188" s="293" t="s">
        <v>1829</v>
      </c>
      <c r="C188" s="293"/>
      <c r="D188" s="293"/>
      <c r="E188" s="293"/>
      <c r="F188" s="301">
        <v>1560</v>
      </c>
      <c r="H188" s="308"/>
    </row>
    <row r="189" spans="1:8" s="279" customFormat="1" ht="14.25" customHeight="1">
      <c r="A189" s="288" t="s">
        <v>1798</v>
      </c>
      <c r="B189" s="293" t="s">
        <v>1830</v>
      </c>
      <c r="C189" s="293"/>
      <c r="D189" s="293"/>
      <c r="E189" s="293"/>
      <c r="F189" s="301">
        <v>1320</v>
      </c>
      <c r="H189" s="308"/>
    </row>
    <row r="190" spans="1:8" s="279" customFormat="1" ht="14.25" customHeight="1">
      <c r="A190" s="288" t="s">
        <v>1798</v>
      </c>
      <c r="B190" s="293" t="s">
        <v>1831</v>
      </c>
      <c r="C190" s="293"/>
      <c r="D190" s="293"/>
      <c r="E190" s="293"/>
      <c r="F190" s="301">
        <v>1320</v>
      </c>
      <c r="H190" s="308"/>
    </row>
    <row r="191" spans="1:8" s="279" customFormat="1" ht="14.25" customHeight="1">
      <c r="A191" s="288" t="s">
        <v>1798</v>
      </c>
      <c r="B191" s="293" t="s">
        <v>1832</v>
      </c>
      <c r="C191" s="293"/>
      <c r="D191" s="293"/>
      <c r="E191" s="293"/>
      <c r="F191" s="301">
        <v>1320</v>
      </c>
      <c r="H191" s="308"/>
    </row>
    <row r="192" spans="1:8" s="279" customFormat="1" ht="14.25" customHeight="1">
      <c r="A192" s="288" t="s">
        <v>1798</v>
      </c>
      <c r="B192" s="293" t="s">
        <v>1833</v>
      </c>
      <c r="C192" s="293"/>
      <c r="D192" s="293"/>
      <c r="E192" s="293"/>
      <c r="F192" s="301">
        <v>1100</v>
      </c>
      <c r="H192" s="308"/>
    </row>
    <row r="193" spans="1:8" s="279" customFormat="1" ht="14.25" customHeight="1">
      <c r="A193" s="288" t="s">
        <v>1798</v>
      </c>
      <c r="B193" s="293" t="s">
        <v>1834</v>
      </c>
      <c r="C193" s="293"/>
      <c r="D193" s="293"/>
      <c r="E193" s="293"/>
      <c r="F193" s="301">
        <v>1100</v>
      </c>
      <c r="H193" s="308"/>
    </row>
    <row r="194" spans="1:8" s="279" customFormat="1" ht="14.25" customHeight="1">
      <c r="A194" s="288" t="s">
        <v>1798</v>
      </c>
      <c r="B194" s="293" t="s">
        <v>1835</v>
      </c>
      <c r="C194" s="293"/>
      <c r="D194" s="293"/>
      <c r="E194" s="293"/>
      <c r="F194" s="301">
        <v>1080</v>
      </c>
      <c r="H194" s="308"/>
    </row>
    <row r="195" spans="1:8" s="279" customFormat="1" ht="14.25" customHeight="1">
      <c r="A195" s="288" t="s">
        <v>1798</v>
      </c>
      <c r="B195" s="293" t="s">
        <v>1836</v>
      </c>
      <c r="C195" s="293"/>
      <c r="D195" s="293"/>
      <c r="E195" s="293"/>
      <c r="F195" s="301">
        <v>1270</v>
      </c>
      <c r="H195" s="308"/>
    </row>
    <row r="196" spans="1:8" s="279" customFormat="1" ht="14.25" customHeight="1">
      <c r="A196" s="288" t="s">
        <v>1798</v>
      </c>
      <c r="B196" s="293" t="s">
        <v>1837</v>
      </c>
      <c r="C196" s="293"/>
      <c r="D196" s="293"/>
      <c r="E196" s="293"/>
      <c r="F196" s="301">
        <v>1150</v>
      </c>
      <c r="H196" s="308"/>
    </row>
    <row r="197" spans="1:8" s="279" customFormat="1" ht="14.25" customHeight="1">
      <c r="A197" s="288" t="s">
        <v>1798</v>
      </c>
      <c r="B197" s="293" t="s">
        <v>1838</v>
      </c>
      <c r="C197" s="293"/>
      <c r="D197" s="293"/>
      <c r="E197" s="293"/>
      <c r="F197" s="301">
        <v>1330</v>
      </c>
      <c r="H197" s="308"/>
    </row>
    <row r="198" spans="1:8" s="279" customFormat="1" ht="14.25" customHeight="1">
      <c r="A198" s="288" t="s">
        <v>1798</v>
      </c>
      <c r="B198" s="293" t="s">
        <v>1839</v>
      </c>
      <c r="C198" s="293"/>
      <c r="D198" s="293"/>
      <c r="E198" s="293"/>
      <c r="F198" s="301">
        <v>1170</v>
      </c>
      <c r="H198" s="308"/>
    </row>
    <row r="199" spans="1:8" s="279" customFormat="1" ht="14.25" customHeight="1">
      <c r="A199" s="288" t="s">
        <v>1798</v>
      </c>
      <c r="B199" s="293" t="s">
        <v>1840</v>
      </c>
      <c r="C199" s="293"/>
      <c r="D199" s="293"/>
      <c r="E199" s="293"/>
      <c r="F199" s="301">
        <v>1120</v>
      </c>
      <c r="H199" s="308"/>
    </row>
    <row r="200" spans="1:8" s="279" customFormat="1" ht="14.25" customHeight="1">
      <c r="A200" s="288" t="s">
        <v>1798</v>
      </c>
      <c r="B200" s="293" t="s">
        <v>1841</v>
      </c>
      <c r="C200" s="293"/>
      <c r="D200" s="293"/>
      <c r="E200" s="293"/>
      <c r="F200" s="301">
        <v>1120</v>
      </c>
      <c r="H200" s="308"/>
    </row>
    <row r="201" spans="1:8" s="279" customFormat="1" ht="14.25" customHeight="1">
      <c r="A201" s="288" t="s">
        <v>1798</v>
      </c>
      <c r="B201" s="293" t="s">
        <v>1842</v>
      </c>
      <c r="C201" s="293"/>
      <c r="D201" s="293"/>
      <c r="E201" s="293"/>
      <c r="F201" s="301">
        <v>1540</v>
      </c>
      <c r="H201" s="308"/>
    </row>
    <row r="202" spans="1:8" s="279" customFormat="1" ht="14.25" customHeight="1">
      <c r="A202" s="288" t="s">
        <v>1798</v>
      </c>
      <c r="B202" s="293" t="s">
        <v>1843</v>
      </c>
      <c r="C202" s="293"/>
      <c r="D202" s="293"/>
      <c r="E202" s="293"/>
      <c r="F202" s="301">
        <v>1310</v>
      </c>
      <c r="H202" s="308"/>
    </row>
    <row r="203" spans="1:8" s="279" customFormat="1" ht="14.25" customHeight="1">
      <c r="A203" s="288" t="s">
        <v>1798</v>
      </c>
      <c r="B203" s="293" t="s">
        <v>1844</v>
      </c>
      <c r="C203" s="293"/>
      <c r="D203" s="293"/>
      <c r="E203" s="293"/>
      <c r="F203" s="301">
        <v>1310</v>
      </c>
      <c r="H203" s="308"/>
    </row>
    <row r="204" spans="1:8" s="279" customFormat="1" ht="14.25" customHeight="1">
      <c r="A204" s="288" t="s">
        <v>1798</v>
      </c>
      <c r="B204" s="293" t="s">
        <v>1845</v>
      </c>
      <c r="C204" s="293"/>
      <c r="D204" s="293"/>
      <c r="E204" s="293"/>
      <c r="F204" s="301">
        <v>1080</v>
      </c>
      <c r="H204" s="308"/>
    </row>
    <row r="205" spans="1:8" s="279" customFormat="1" ht="14.25" customHeight="1">
      <c r="A205" s="288" t="s">
        <v>1798</v>
      </c>
      <c r="B205" s="293" t="s">
        <v>1846</v>
      </c>
      <c r="C205" s="293"/>
      <c r="D205" s="293"/>
      <c r="E205" s="293"/>
      <c r="F205" s="301">
        <v>1080</v>
      </c>
      <c r="H205" s="308"/>
    </row>
    <row r="206" spans="1:8" s="279" customFormat="1" ht="14.25" customHeight="1">
      <c r="A206" s="288" t="s">
        <v>1847</v>
      </c>
      <c r="B206" s="289" t="s">
        <v>1848</v>
      </c>
      <c r="C206" s="289">
        <v>5450</v>
      </c>
      <c r="D206" s="289">
        <v>5430</v>
      </c>
      <c r="E206" s="289">
        <v>5700</v>
      </c>
      <c r="F206" s="290">
        <v>1020</v>
      </c>
      <c r="H206" s="308"/>
    </row>
    <row r="207" spans="1:8" s="279" customFormat="1" ht="14.25" customHeight="1">
      <c r="A207" s="288" t="s">
        <v>1847</v>
      </c>
      <c r="B207" s="293" t="s">
        <v>1849</v>
      </c>
      <c r="C207" s="293">
        <v>5860</v>
      </c>
      <c r="D207" s="293">
        <v>5820</v>
      </c>
      <c r="E207" s="293">
        <v>6050</v>
      </c>
      <c r="F207" s="301">
        <v>1080</v>
      </c>
      <c r="H207" s="308"/>
    </row>
    <row r="208" spans="1:8" s="279" customFormat="1" ht="14.25" customHeight="1">
      <c r="A208" s="288" t="s">
        <v>1847</v>
      </c>
      <c r="B208" s="293" t="s">
        <v>1850</v>
      </c>
      <c r="C208" s="293">
        <v>4630</v>
      </c>
      <c r="D208" s="293">
        <v>4600</v>
      </c>
      <c r="E208" s="293">
        <v>4840</v>
      </c>
      <c r="F208" s="301">
        <v>900</v>
      </c>
      <c r="H208" s="308"/>
    </row>
    <row r="209" spans="1:8" s="279" customFormat="1" ht="14.25" customHeight="1">
      <c r="A209" s="288" t="s">
        <v>1847</v>
      </c>
      <c r="B209" s="293" t="s">
        <v>1851</v>
      </c>
      <c r="C209" s="293">
        <v>5320</v>
      </c>
      <c r="D209" s="293">
        <v>5270</v>
      </c>
      <c r="E209" s="293">
        <v>5540</v>
      </c>
      <c r="F209" s="301">
        <v>980</v>
      </c>
      <c r="H209" s="308"/>
    </row>
    <row r="210" spans="1:8" s="279" customFormat="1" ht="14.25" customHeight="1">
      <c r="A210" s="288" t="s">
        <v>1847</v>
      </c>
      <c r="B210" s="293" t="s">
        <v>1852</v>
      </c>
      <c r="C210" s="293">
        <v>5760</v>
      </c>
      <c r="D210" s="293">
        <v>5710</v>
      </c>
      <c r="E210" s="293">
        <v>6010</v>
      </c>
      <c r="F210" s="301">
        <v>870</v>
      </c>
      <c r="H210" s="308"/>
    </row>
    <row r="211" spans="1:8" s="279" customFormat="1" ht="14.25" customHeight="1">
      <c r="A211" s="288" t="s">
        <v>1847</v>
      </c>
      <c r="B211" s="293" t="s">
        <v>1853</v>
      </c>
      <c r="C211" s="293">
        <v>4160</v>
      </c>
      <c r="D211" s="293">
        <v>4100</v>
      </c>
      <c r="E211" s="293">
        <v>4270</v>
      </c>
      <c r="F211" s="301">
        <v>790</v>
      </c>
      <c r="H211" s="308"/>
    </row>
    <row r="212" spans="1:8" s="279" customFormat="1" ht="14.25" customHeight="1">
      <c r="A212" s="288" t="s">
        <v>1847</v>
      </c>
      <c r="B212" s="293" t="s">
        <v>1854</v>
      </c>
      <c r="C212" s="293">
        <v>4880</v>
      </c>
      <c r="D212" s="293">
        <v>4850</v>
      </c>
      <c r="E212" s="293">
        <v>5110</v>
      </c>
      <c r="F212" s="301">
        <v>940</v>
      </c>
      <c r="H212" s="308"/>
    </row>
    <row r="213" spans="1:8" s="279" customFormat="1" ht="14.25" customHeight="1">
      <c r="A213" s="288" t="s">
        <v>1847</v>
      </c>
      <c r="B213" s="293" t="s">
        <v>1855</v>
      </c>
      <c r="C213" s="293">
        <v>4640</v>
      </c>
      <c r="D213" s="293">
        <v>4590</v>
      </c>
      <c r="E213" s="293">
        <v>4700</v>
      </c>
      <c r="F213" s="301">
        <v>1030</v>
      </c>
      <c r="H213" s="308"/>
    </row>
    <row r="214" spans="1:8" s="279" customFormat="1" ht="14.25" customHeight="1">
      <c r="A214" s="288" t="s">
        <v>1847</v>
      </c>
      <c r="B214" s="293" t="s">
        <v>1856</v>
      </c>
      <c r="C214" s="293">
        <v>4540</v>
      </c>
      <c r="D214" s="293">
        <v>4490</v>
      </c>
      <c r="E214" s="293">
        <v>4610</v>
      </c>
      <c r="F214" s="310"/>
      <c r="H214" s="308"/>
    </row>
    <row r="215" spans="1:8" s="279" customFormat="1" ht="14.25" customHeight="1">
      <c r="A215" s="288" t="s">
        <v>1847</v>
      </c>
      <c r="B215" s="293" t="s">
        <v>1857</v>
      </c>
      <c r="C215" s="293">
        <v>5280</v>
      </c>
      <c r="D215" s="293">
        <v>5250</v>
      </c>
      <c r="E215" s="293">
        <v>5520</v>
      </c>
      <c r="F215" s="301">
        <v>1000</v>
      </c>
      <c r="H215" s="308"/>
    </row>
    <row r="216" spans="1:8" s="279" customFormat="1" ht="14.25" customHeight="1">
      <c r="A216" s="288" t="s">
        <v>1847</v>
      </c>
      <c r="B216" s="293" t="s">
        <v>1858</v>
      </c>
      <c r="C216" s="293">
        <v>5100</v>
      </c>
      <c r="D216" s="293">
        <v>5050</v>
      </c>
      <c r="E216" s="293">
        <v>5300</v>
      </c>
      <c r="F216" s="301">
        <v>950</v>
      </c>
      <c r="H216" s="308"/>
    </row>
    <row r="217" spans="1:8" s="279" customFormat="1" ht="14.25" customHeight="1">
      <c r="A217" s="288" t="s">
        <v>1847</v>
      </c>
      <c r="B217" s="293" t="s">
        <v>1859</v>
      </c>
      <c r="C217" s="293">
        <v>5370</v>
      </c>
      <c r="D217" s="293">
        <v>5320</v>
      </c>
      <c r="E217" s="293">
        <v>5410</v>
      </c>
      <c r="F217" s="301">
        <v>950</v>
      </c>
      <c r="H217" s="308"/>
    </row>
    <row r="218" spans="1:8" s="279" customFormat="1" ht="14.25" customHeight="1">
      <c r="A218" s="288" t="s">
        <v>1847</v>
      </c>
      <c r="B218" s="293" t="s">
        <v>1860</v>
      </c>
      <c r="C218" s="293">
        <v>5540</v>
      </c>
      <c r="D218" s="293">
        <v>5480</v>
      </c>
      <c r="E218" s="293">
        <v>5740</v>
      </c>
      <c r="F218" s="301">
        <v>1020</v>
      </c>
      <c r="H218" s="308"/>
    </row>
    <row r="219" spans="1:8" s="279" customFormat="1" ht="14.25" customHeight="1">
      <c r="A219" s="288" t="s">
        <v>1847</v>
      </c>
      <c r="B219" s="293" t="s">
        <v>1861</v>
      </c>
      <c r="C219" s="293">
        <v>5140</v>
      </c>
      <c r="D219" s="293">
        <v>5100</v>
      </c>
      <c r="E219" s="293">
        <v>5350</v>
      </c>
      <c r="F219" s="301">
        <v>1120</v>
      </c>
      <c r="H219" s="308"/>
    </row>
    <row r="220" spans="1:8" s="279" customFormat="1" ht="14.25" customHeight="1">
      <c r="A220" s="288" t="s">
        <v>1847</v>
      </c>
      <c r="B220" s="293" t="s">
        <v>1862</v>
      </c>
      <c r="C220" s="293">
        <v>5040</v>
      </c>
      <c r="D220" s="293">
        <v>5000</v>
      </c>
      <c r="E220" s="293">
        <v>5240</v>
      </c>
      <c r="F220" s="301">
        <v>980</v>
      </c>
      <c r="H220" s="308"/>
    </row>
    <row r="221" spans="1:8" s="279" customFormat="1" ht="14.25" customHeight="1">
      <c r="A221" s="288" t="s">
        <v>1847</v>
      </c>
      <c r="B221" s="293" t="s">
        <v>1863</v>
      </c>
      <c r="C221" s="313"/>
      <c r="D221" s="313"/>
      <c r="E221" s="313"/>
      <c r="F221" s="301">
        <v>1070</v>
      </c>
      <c r="H221" s="308"/>
    </row>
    <row r="222" spans="1:8" s="279" customFormat="1" ht="14.25" customHeight="1">
      <c r="A222" s="288" t="s">
        <v>1847</v>
      </c>
      <c r="B222" s="293" t="s">
        <v>1864</v>
      </c>
      <c r="C222" s="313"/>
      <c r="D222" s="313"/>
      <c r="E222" s="313"/>
      <c r="F222" s="301">
        <v>870</v>
      </c>
      <c r="H222" s="308"/>
    </row>
    <row r="223" spans="1:8" s="279" customFormat="1" ht="14.25" customHeight="1">
      <c r="A223" s="288" t="s">
        <v>1847</v>
      </c>
      <c r="B223" s="293" t="s">
        <v>1865</v>
      </c>
      <c r="C223" s="313"/>
      <c r="D223" s="313"/>
      <c r="E223" s="313"/>
      <c r="F223" s="301">
        <v>940</v>
      </c>
      <c r="H223" s="308"/>
    </row>
    <row r="224" spans="1:8" s="279" customFormat="1" ht="14.25" customHeight="1">
      <c r="A224" s="288" t="s">
        <v>1847</v>
      </c>
      <c r="B224" s="293" t="s">
        <v>1866</v>
      </c>
      <c r="C224" s="313"/>
      <c r="D224" s="313"/>
      <c r="E224" s="313"/>
      <c r="F224" s="301">
        <v>990</v>
      </c>
      <c r="H224" s="308"/>
    </row>
    <row r="225" spans="1:8" s="279" customFormat="1" ht="14.25" customHeight="1">
      <c r="A225" s="288" t="s">
        <v>1847</v>
      </c>
      <c r="B225" s="293" t="s">
        <v>1867</v>
      </c>
      <c r="C225" s="293">
        <v>5730</v>
      </c>
      <c r="D225" s="293">
        <v>5680</v>
      </c>
      <c r="E225" s="293">
        <v>6020</v>
      </c>
      <c r="F225" s="301">
        <v>1000</v>
      </c>
      <c r="H225" s="308"/>
    </row>
    <row r="226" spans="1:8" s="279" customFormat="1" ht="14.25" customHeight="1">
      <c r="A226" s="288" t="s">
        <v>1847</v>
      </c>
      <c r="B226" s="293" t="s">
        <v>1868</v>
      </c>
      <c r="C226" s="293">
        <v>4970</v>
      </c>
      <c r="D226" s="293">
        <v>4940</v>
      </c>
      <c r="E226" s="293">
        <v>5180</v>
      </c>
      <c r="F226" s="301">
        <v>960</v>
      </c>
      <c r="H226" s="308"/>
    </row>
    <row r="227" spans="1:8" s="279" customFormat="1" ht="14.25" customHeight="1">
      <c r="A227" s="288" t="s">
        <v>1847</v>
      </c>
      <c r="B227" s="293" t="s">
        <v>1869</v>
      </c>
      <c r="C227" s="293">
        <v>5550</v>
      </c>
      <c r="D227" s="293">
        <v>5500</v>
      </c>
      <c r="E227" s="293">
        <v>5780</v>
      </c>
      <c r="F227" s="301">
        <v>940</v>
      </c>
      <c r="H227" s="308"/>
    </row>
    <row r="228" spans="1:8" s="279" customFormat="1" ht="14.25" customHeight="1">
      <c r="A228" s="288" t="s">
        <v>1847</v>
      </c>
      <c r="B228" s="293" t="s">
        <v>1870</v>
      </c>
      <c r="C228" s="293">
        <v>5460</v>
      </c>
      <c r="D228" s="293">
        <v>5420</v>
      </c>
      <c r="E228" s="293">
        <v>5690</v>
      </c>
      <c r="F228" s="301">
        <v>910</v>
      </c>
      <c r="H228" s="308"/>
    </row>
    <row r="229" spans="1:8" s="279" customFormat="1" ht="14.25" customHeight="1">
      <c r="A229" s="288" t="s">
        <v>1847</v>
      </c>
      <c r="B229" s="293" t="s">
        <v>1871</v>
      </c>
      <c r="C229" s="293">
        <v>5310</v>
      </c>
      <c r="D229" s="293">
        <v>5270</v>
      </c>
      <c r="E229" s="293">
        <v>5510</v>
      </c>
      <c r="F229" s="310"/>
      <c r="H229" s="308"/>
    </row>
    <row r="230" spans="1:8" s="279" customFormat="1" ht="14.25" customHeight="1">
      <c r="A230" s="288" t="s">
        <v>1847</v>
      </c>
      <c r="B230" s="293" t="s">
        <v>1872</v>
      </c>
      <c r="C230" s="293">
        <v>4540</v>
      </c>
      <c r="D230" s="293">
        <v>4500</v>
      </c>
      <c r="E230" s="293">
        <v>4730</v>
      </c>
      <c r="F230" s="310"/>
      <c r="H230" s="308"/>
    </row>
    <row r="231" spans="1:8" s="279" customFormat="1" ht="14.25" customHeight="1">
      <c r="A231" s="288" t="s">
        <v>1847</v>
      </c>
      <c r="B231" s="293" t="s">
        <v>1873</v>
      </c>
      <c r="C231" s="293">
        <v>4480</v>
      </c>
      <c r="D231" s="293">
        <v>4410</v>
      </c>
      <c r="E231" s="293">
        <v>4640</v>
      </c>
      <c r="F231" s="310"/>
      <c r="H231" s="308"/>
    </row>
    <row r="232" spans="1:8" s="279" customFormat="1" ht="14.25" customHeight="1">
      <c r="A232" s="288" t="s">
        <v>1847</v>
      </c>
      <c r="B232" s="293" t="s">
        <v>1874</v>
      </c>
      <c r="C232" s="293">
        <v>5670</v>
      </c>
      <c r="D232" s="293">
        <v>5600</v>
      </c>
      <c r="E232" s="293">
        <v>5890</v>
      </c>
      <c r="F232" s="301">
        <v>1150</v>
      </c>
      <c r="H232" s="308"/>
    </row>
    <row r="233" spans="1:8" s="279" customFormat="1" ht="14.25" customHeight="1">
      <c r="A233" s="288" t="s">
        <v>1847</v>
      </c>
      <c r="B233" s="293" t="s">
        <v>1875</v>
      </c>
      <c r="C233" s="293">
        <v>4590</v>
      </c>
      <c r="D233" s="293">
        <v>4500</v>
      </c>
      <c r="E233" s="293">
        <v>4600</v>
      </c>
      <c r="F233" s="310"/>
      <c r="H233" s="308"/>
    </row>
    <row r="234" spans="1:8" s="279" customFormat="1" ht="14.25" customHeight="1">
      <c r="A234" s="288" t="s">
        <v>1847</v>
      </c>
      <c r="B234" s="293" t="s">
        <v>2029</v>
      </c>
      <c r="C234" s="293">
        <v>3990</v>
      </c>
      <c r="D234" s="293">
        <v>3950</v>
      </c>
      <c r="E234" s="293">
        <v>4180</v>
      </c>
      <c r="F234" s="310"/>
      <c r="H234" s="308"/>
    </row>
    <row r="235" spans="1:8" s="279" customFormat="1" ht="14.25" customHeight="1">
      <c r="A235" s="288" t="s">
        <v>1847</v>
      </c>
      <c r="B235" s="293" t="s">
        <v>1877</v>
      </c>
      <c r="C235" s="293">
        <v>5590</v>
      </c>
      <c r="D235" s="293">
        <v>5540</v>
      </c>
      <c r="E235" s="293">
        <v>5810</v>
      </c>
      <c r="F235" s="301">
        <v>970</v>
      </c>
      <c r="H235" s="308"/>
    </row>
    <row r="236" spans="1:8" s="279" customFormat="1" ht="14.25" customHeight="1">
      <c r="A236" s="288" t="s">
        <v>1847</v>
      </c>
      <c r="B236" s="293" t="s">
        <v>1878</v>
      </c>
      <c r="C236" s="293"/>
      <c r="D236" s="293"/>
      <c r="E236" s="293"/>
      <c r="F236" s="301">
        <v>1020</v>
      </c>
      <c r="H236" s="308"/>
    </row>
    <row r="237" spans="1:8" s="279" customFormat="1" ht="14.25" customHeight="1">
      <c r="A237" s="288" t="s">
        <v>1847</v>
      </c>
      <c r="B237" s="293" t="s">
        <v>1879</v>
      </c>
      <c r="C237" s="293"/>
      <c r="D237" s="293"/>
      <c r="E237" s="293"/>
      <c r="F237" s="301">
        <v>960</v>
      </c>
      <c r="H237" s="308"/>
    </row>
    <row r="238" spans="1:8" s="279" customFormat="1" ht="14.25" customHeight="1">
      <c r="A238" s="288" t="s">
        <v>1847</v>
      </c>
      <c r="B238" s="293" t="s">
        <v>1880</v>
      </c>
      <c r="C238" s="293"/>
      <c r="D238" s="293"/>
      <c r="E238" s="293"/>
      <c r="F238" s="301">
        <v>960</v>
      </c>
      <c r="H238" s="308"/>
    </row>
    <row r="239" spans="1:8" s="279" customFormat="1" ht="14.25" customHeight="1">
      <c r="A239" s="288" t="s">
        <v>1847</v>
      </c>
      <c r="B239" s="293" t="s">
        <v>1881</v>
      </c>
      <c r="C239" s="293"/>
      <c r="D239" s="293"/>
      <c r="E239" s="293"/>
      <c r="F239" s="301">
        <v>960</v>
      </c>
      <c r="H239" s="308"/>
    </row>
    <row r="240" spans="1:8" s="279" customFormat="1" ht="14.25" customHeight="1">
      <c r="A240" s="288" t="s">
        <v>1847</v>
      </c>
      <c r="B240" s="293" t="s">
        <v>1882</v>
      </c>
      <c r="C240" s="293"/>
      <c r="D240" s="293"/>
      <c r="E240" s="293"/>
      <c r="F240" s="301">
        <v>990</v>
      </c>
      <c r="H240" s="308"/>
    </row>
    <row r="241" spans="1:8" s="279" customFormat="1" ht="14.25" customHeight="1">
      <c r="A241" s="288" t="s">
        <v>1847</v>
      </c>
      <c r="B241" s="293" t="s">
        <v>1883</v>
      </c>
      <c r="C241" s="293"/>
      <c r="D241" s="293"/>
      <c r="E241" s="293"/>
      <c r="F241" s="301">
        <v>1000</v>
      </c>
      <c r="H241" s="308"/>
    </row>
    <row r="242" spans="1:8" s="279" customFormat="1" ht="14.25" customHeight="1">
      <c r="A242" s="288" t="s">
        <v>1847</v>
      </c>
      <c r="B242" s="293" t="s">
        <v>1884</v>
      </c>
      <c r="C242" s="293"/>
      <c r="D242" s="293"/>
      <c r="E242" s="293"/>
      <c r="F242" s="301">
        <v>980</v>
      </c>
      <c r="H242" s="308"/>
    </row>
    <row r="243" spans="1:8" s="279" customFormat="1" ht="14.25" customHeight="1">
      <c r="A243" s="288" t="s">
        <v>1847</v>
      </c>
      <c r="B243" s="293" t="s">
        <v>1885</v>
      </c>
      <c r="C243" s="293"/>
      <c r="D243" s="293"/>
      <c r="E243" s="293"/>
      <c r="F243" s="301">
        <v>970</v>
      </c>
      <c r="H243" s="308"/>
    </row>
    <row r="244" spans="1:8" s="279" customFormat="1" ht="14.25" customHeight="1">
      <c r="A244" s="288" t="s">
        <v>1847</v>
      </c>
      <c r="B244" s="299" t="s">
        <v>1886</v>
      </c>
      <c r="C244" s="299"/>
      <c r="D244" s="299"/>
      <c r="E244" s="299"/>
      <c r="F244" s="309">
        <v>970</v>
      </c>
      <c r="H244" s="308"/>
    </row>
    <row r="245" spans="1:8" s="279" customFormat="1" ht="14.25" customHeight="1">
      <c r="A245" s="288" t="s">
        <v>1887</v>
      </c>
      <c r="B245" s="289" t="s">
        <v>1888</v>
      </c>
      <c r="C245" s="289">
        <v>4050</v>
      </c>
      <c r="D245" s="289">
        <v>4020</v>
      </c>
      <c r="E245" s="289">
        <v>4160</v>
      </c>
      <c r="F245" s="290">
        <v>840</v>
      </c>
      <c r="H245" s="308"/>
    </row>
    <row r="246" spans="1:8" s="279" customFormat="1" ht="14.25" customHeight="1">
      <c r="A246" s="288" t="s">
        <v>1887</v>
      </c>
      <c r="B246" s="293" t="s">
        <v>1889</v>
      </c>
      <c r="C246" s="293">
        <v>4010</v>
      </c>
      <c r="D246" s="293">
        <v>3960</v>
      </c>
      <c r="E246" s="293">
        <v>4130</v>
      </c>
      <c r="F246" s="301">
        <v>840</v>
      </c>
      <c r="H246" s="308"/>
    </row>
    <row r="247" spans="1:8" s="279" customFormat="1" ht="14.25" customHeight="1">
      <c r="A247" s="288" t="s">
        <v>1887</v>
      </c>
      <c r="B247" s="293" t="s">
        <v>1890</v>
      </c>
      <c r="C247" s="293">
        <v>3170</v>
      </c>
      <c r="D247" s="293">
        <v>3140</v>
      </c>
      <c r="E247" s="293">
        <v>3270</v>
      </c>
      <c r="F247" s="301">
        <v>640</v>
      </c>
      <c r="H247" s="308"/>
    </row>
    <row r="248" spans="1:8" s="279" customFormat="1" ht="14.25" customHeight="1">
      <c r="A248" s="288" t="s">
        <v>1887</v>
      </c>
      <c r="B248" s="293" t="s">
        <v>1891</v>
      </c>
      <c r="C248" s="293">
        <v>3140</v>
      </c>
      <c r="D248" s="293">
        <v>3120</v>
      </c>
      <c r="E248" s="293">
        <v>3240</v>
      </c>
      <c r="F248" s="301">
        <v>620</v>
      </c>
      <c r="H248" s="308"/>
    </row>
    <row r="249" spans="1:8" s="279" customFormat="1" ht="14.25" customHeight="1">
      <c r="A249" s="288" t="s">
        <v>1887</v>
      </c>
      <c r="B249" s="293" t="s">
        <v>1892</v>
      </c>
      <c r="C249" s="293">
        <v>3200</v>
      </c>
      <c r="D249" s="293">
        <v>3100</v>
      </c>
      <c r="E249" s="293">
        <v>3230</v>
      </c>
      <c r="F249" s="301">
        <v>750</v>
      </c>
      <c r="H249" s="308"/>
    </row>
    <row r="250" spans="1:8" s="279" customFormat="1" ht="14.25" customHeight="1">
      <c r="A250" s="288" t="s">
        <v>1887</v>
      </c>
      <c r="B250" s="293" t="s">
        <v>1893</v>
      </c>
      <c r="C250" s="293">
        <v>4060</v>
      </c>
      <c r="D250" s="293">
        <v>4000</v>
      </c>
      <c r="E250" s="293">
        <v>4140</v>
      </c>
      <c r="F250" s="301">
        <v>790</v>
      </c>
      <c r="H250" s="308"/>
    </row>
    <row r="251" spans="1:8" s="279" customFormat="1" ht="14.25" customHeight="1">
      <c r="A251" s="288" t="s">
        <v>1887</v>
      </c>
      <c r="B251" s="293" t="s">
        <v>1894</v>
      </c>
      <c r="C251" s="293">
        <v>3990</v>
      </c>
      <c r="D251" s="293">
        <v>3970</v>
      </c>
      <c r="E251" s="293">
        <v>4110</v>
      </c>
      <c r="F251" s="301">
        <v>730</v>
      </c>
      <c r="H251" s="308"/>
    </row>
    <row r="252" spans="1:8" s="279" customFormat="1" ht="14.25" customHeight="1">
      <c r="A252" s="288" t="s">
        <v>1887</v>
      </c>
      <c r="B252" s="293" t="s">
        <v>1895</v>
      </c>
      <c r="C252" s="293">
        <v>3560</v>
      </c>
      <c r="D252" s="293">
        <v>3530</v>
      </c>
      <c r="E252" s="293">
        <v>3650</v>
      </c>
      <c r="F252" s="301">
        <v>750</v>
      </c>
      <c r="H252" s="308"/>
    </row>
    <row r="253" spans="1:8" s="279" customFormat="1" ht="14.25" customHeight="1">
      <c r="A253" s="288" t="s">
        <v>1887</v>
      </c>
      <c r="B253" s="293" t="s">
        <v>1896</v>
      </c>
      <c r="C253" s="293">
        <v>3780</v>
      </c>
      <c r="D253" s="293">
        <v>3750</v>
      </c>
      <c r="E253" s="293">
        <v>3870</v>
      </c>
      <c r="F253" s="301">
        <v>770</v>
      </c>
      <c r="H253" s="308"/>
    </row>
    <row r="254" spans="1:8" s="279" customFormat="1" ht="14.25" customHeight="1">
      <c r="A254" s="288" t="s">
        <v>1887</v>
      </c>
      <c r="B254" s="293" t="s">
        <v>1897</v>
      </c>
      <c r="C254" s="313"/>
      <c r="D254" s="313"/>
      <c r="E254" s="313"/>
      <c r="F254" s="301">
        <v>740</v>
      </c>
      <c r="H254" s="308"/>
    </row>
    <row r="255" spans="1:8" s="279" customFormat="1" ht="14.25" customHeight="1">
      <c r="A255" s="288" t="s">
        <v>1887</v>
      </c>
      <c r="B255" s="293" t="s">
        <v>1898</v>
      </c>
      <c r="C255" s="313"/>
      <c r="D255" s="313"/>
      <c r="E255" s="313"/>
      <c r="F255" s="301">
        <v>760</v>
      </c>
      <c r="H255" s="308"/>
    </row>
    <row r="256" spans="1:8" s="279" customFormat="1" ht="14.25" customHeight="1">
      <c r="A256" s="288" t="s">
        <v>1887</v>
      </c>
      <c r="B256" s="293" t="s">
        <v>1899</v>
      </c>
      <c r="C256" s="293">
        <v>3760</v>
      </c>
      <c r="D256" s="293">
        <v>3730</v>
      </c>
      <c r="E256" s="293">
        <v>3870</v>
      </c>
      <c r="F256" s="301">
        <v>830</v>
      </c>
      <c r="H256" s="308"/>
    </row>
    <row r="257" spans="1:8" s="279" customFormat="1" ht="14.25" customHeight="1">
      <c r="A257" s="288" t="s">
        <v>1887</v>
      </c>
      <c r="B257" s="293" t="s">
        <v>1900</v>
      </c>
      <c r="C257" s="293">
        <v>3570</v>
      </c>
      <c r="D257" s="293">
        <v>3540</v>
      </c>
      <c r="E257" s="293">
        <v>3650</v>
      </c>
      <c r="F257" s="301">
        <v>790</v>
      </c>
      <c r="H257" s="308"/>
    </row>
    <row r="258" spans="1:8" s="279" customFormat="1" ht="14.25" customHeight="1">
      <c r="A258" s="288" t="s">
        <v>1887</v>
      </c>
      <c r="B258" s="293" t="s">
        <v>1901</v>
      </c>
      <c r="C258" s="293">
        <v>3410</v>
      </c>
      <c r="D258" s="293">
        <v>3380</v>
      </c>
      <c r="E258" s="293">
        <v>3500</v>
      </c>
      <c r="F258" s="301">
        <v>830</v>
      </c>
      <c r="H258" s="308"/>
    </row>
    <row r="259" spans="1:8" s="279" customFormat="1" ht="14.25" customHeight="1">
      <c r="A259" s="288" t="s">
        <v>1887</v>
      </c>
      <c r="B259" s="293" t="s">
        <v>1902</v>
      </c>
      <c r="C259" s="293">
        <v>3870</v>
      </c>
      <c r="D259" s="293">
        <v>3840</v>
      </c>
      <c r="E259" s="293">
        <v>3970</v>
      </c>
      <c r="F259" s="301">
        <v>830</v>
      </c>
      <c r="H259" s="308"/>
    </row>
    <row r="260" spans="1:8" s="279" customFormat="1" ht="14.25" customHeight="1">
      <c r="A260" s="288" t="s">
        <v>1887</v>
      </c>
      <c r="B260" s="293" t="s">
        <v>1903</v>
      </c>
      <c r="C260" s="293">
        <v>3700</v>
      </c>
      <c r="D260" s="293">
        <v>3660</v>
      </c>
      <c r="E260" s="293">
        <v>3810</v>
      </c>
      <c r="F260" s="301">
        <v>790</v>
      </c>
      <c r="H260" s="308"/>
    </row>
    <row r="261" spans="1:8" s="279" customFormat="1" ht="14.25" customHeight="1">
      <c r="A261" s="288" t="s">
        <v>1887</v>
      </c>
      <c r="B261" s="293" t="s">
        <v>1904</v>
      </c>
      <c r="C261" s="293">
        <v>3470</v>
      </c>
      <c r="D261" s="293">
        <v>3430</v>
      </c>
      <c r="E261" s="293">
        <v>3640</v>
      </c>
      <c r="F261" s="301">
        <v>760</v>
      </c>
      <c r="H261" s="308"/>
    </row>
    <row r="262" spans="1:8" s="279" customFormat="1" ht="14.25" customHeight="1">
      <c r="A262" s="288" t="s">
        <v>1887</v>
      </c>
      <c r="B262" s="293" t="s">
        <v>1905</v>
      </c>
      <c r="C262" s="293">
        <v>3510</v>
      </c>
      <c r="D262" s="293">
        <v>3470</v>
      </c>
      <c r="E262" s="293">
        <v>3680</v>
      </c>
      <c r="F262" s="310"/>
      <c r="H262" s="308"/>
    </row>
    <row r="263" spans="1:8" s="279" customFormat="1" ht="14.25" customHeight="1">
      <c r="A263" s="288" t="s">
        <v>1887</v>
      </c>
      <c r="B263" s="293" t="s">
        <v>1906</v>
      </c>
      <c r="C263" s="293">
        <v>3960</v>
      </c>
      <c r="D263" s="293">
        <v>3930</v>
      </c>
      <c r="E263" s="293">
        <v>4070</v>
      </c>
      <c r="F263" s="301">
        <v>830</v>
      </c>
      <c r="H263" s="308"/>
    </row>
    <row r="264" spans="1:8" s="279" customFormat="1" ht="14.25" customHeight="1">
      <c r="A264" s="288" t="s">
        <v>1887</v>
      </c>
      <c r="B264" s="293" t="s">
        <v>1907</v>
      </c>
      <c r="C264" s="293">
        <v>4010</v>
      </c>
      <c r="D264" s="293">
        <v>3980</v>
      </c>
      <c r="E264" s="293">
        <v>4150</v>
      </c>
      <c r="F264" s="301">
        <v>760</v>
      </c>
      <c r="H264" s="308"/>
    </row>
    <row r="265" spans="1:8" s="279" customFormat="1" ht="14.25" customHeight="1">
      <c r="A265" s="288" t="s">
        <v>1887</v>
      </c>
      <c r="B265" s="293" t="s">
        <v>1908</v>
      </c>
      <c r="C265" s="293">
        <v>3910</v>
      </c>
      <c r="D265" s="293">
        <v>3890</v>
      </c>
      <c r="E265" s="293">
        <v>4040</v>
      </c>
      <c r="F265" s="301">
        <v>780</v>
      </c>
      <c r="H265" s="308"/>
    </row>
    <row r="266" spans="1:8" s="279" customFormat="1" ht="14.25" customHeight="1">
      <c r="A266" s="288" t="s">
        <v>1887</v>
      </c>
      <c r="B266" s="293" t="s">
        <v>1909</v>
      </c>
      <c r="C266" s="293">
        <v>3930</v>
      </c>
      <c r="D266" s="293">
        <v>3900</v>
      </c>
      <c r="E266" s="293">
        <v>4080</v>
      </c>
      <c r="F266" s="301">
        <v>770</v>
      </c>
      <c r="H266" s="308"/>
    </row>
    <row r="267" spans="1:8" s="279" customFormat="1" ht="14.25" customHeight="1">
      <c r="A267" s="288" t="s">
        <v>1887</v>
      </c>
      <c r="B267" s="293" t="s">
        <v>1910</v>
      </c>
      <c r="C267" s="293">
        <v>3800</v>
      </c>
      <c r="D267" s="293">
        <v>3780</v>
      </c>
      <c r="E267" s="293">
        <v>3930</v>
      </c>
      <c r="F267" s="310"/>
      <c r="H267" s="308"/>
    </row>
    <row r="268" spans="1:8" s="279" customFormat="1" ht="14.25" customHeight="1">
      <c r="A268" s="288" t="s">
        <v>1887</v>
      </c>
      <c r="B268" s="293" t="s">
        <v>1911</v>
      </c>
      <c r="C268" s="293">
        <v>3460</v>
      </c>
      <c r="D268" s="293">
        <v>3430</v>
      </c>
      <c r="E268" s="293">
        <v>3560</v>
      </c>
      <c r="F268" s="301">
        <v>840</v>
      </c>
      <c r="H268" s="308"/>
    </row>
    <row r="269" spans="1:8" s="279" customFormat="1" ht="14.25" customHeight="1">
      <c r="A269" s="288" t="s">
        <v>1887</v>
      </c>
      <c r="B269" s="293" t="s">
        <v>1912</v>
      </c>
      <c r="C269" s="293">
        <v>3210</v>
      </c>
      <c r="D269" s="293">
        <v>3190</v>
      </c>
      <c r="E269" s="293">
        <v>3310</v>
      </c>
      <c r="F269" s="301">
        <v>730</v>
      </c>
      <c r="H269" s="308"/>
    </row>
    <row r="270" spans="1:8" s="279" customFormat="1" ht="14.25" customHeight="1">
      <c r="A270" s="288" t="s">
        <v>1887</v>
      </c>
      <c r="B270" s="293" t="s">
        <v>1913</v>
      </c>
      <c r="C270" s="293">
        <v>3240</v>
      </c>
      <c r="D270" s="293">
        <v>3210</v>
      </c>
      <c r="E270" s="293">
        <v>3390</v>
      </c>
      <c r="F270" s="301">
        <v>820</v>
      </c>
      <c r="H270" s="308"/>
    </row>
    <row r="271" spans="1:8" s="279" customFormat="1" ht="14.25" customHeight="1">
      <c r="A271" s="288" t="s">
        <v>1887</v>
      </c>
      <c r="B271" s="293" t="s">
        <v>1914</v>
      </c>
      <c r="C271" s="293">
        <v>3300</v>
      </c>
      <c r="D271" s="293">
        <v>3270</v>
      </c>
      <c r="E271" s="293">
        <v>3380</v>
      </c>
      <c r="F271" s="301">
        <v>750</v>
      </c>
      <c r="H271" s="308"/>
    </row>
    <row r="272" spans="1:8" s="279" customFormat="1" ht="14.25" customHeight="1">
      <c r="A272" s="288" t="s">
        <v>1887</v>
      </c>
      <c r="B272" s="293" t="s">
        <v>1915</v>
      </c>
      <c r="C272" s="313"/>
      <c r="D272" s="313"/>
      <c r="E272" s="313"/>
      <c r="F272" s="301">
        <v>740</v>
      </c>
      <c r="H272" s="308"/>
    </row>
    <row r="273" spans="1:8" s="279" customFormat="1" ht="14.25" customHeight="1">
      <c r="A273" s="288" t="s">
        <v>1887</v>
      </c>
      <c r="B273" s="293" t="s">
        <v>1916</v>
      </c>
      <c r="C273" s="293">
        <v>3130</v>
      </c>
      <c r="D273" s="293">
        <v>3100</v>
      </c>
      <c r="E273" s="293">
        <v>3230</v>
      </c>
      <c r="F273" s="301">
        <v>700</v>
      </c>
      <c r="H273" s="308"/>
    </row>
    <row r="274" spans="1:8" s="279" customFormat="1" ht="14.25" customHeight="1">
      <c r="A274" s="288" t="s">
        <v>1887</v>
      </c>
      <c r="B274" s="293" t="s">
        <v>1917</v>
      </c>
      <c r="C274" s="293">
        <v>3460</v>
      </c>
      <c r="D274" s="293">
        <v>3430</v>
      </c>
      <c r="E274" s="293">
        <v>3560</v>
      </c>
      <c r="F274" s="301">
        <v>690</v>
      </c>
      <c r="H274" s="308"/>
    </row>
    <row r="275" spans="1:8" s="279" customFormat="1" ht="14.25" customHeight="1">
      <c r="A275" s="288" t="s">
        <v>1887</v>
      </c>
      <c r="B275" s="293" t="s">
        <v>1918</v>
      </c>
      <c r="C275" s="293">
        <v>4040</v>
      </c>
      <c r="D275" s="293">
        <v>4020</v>
      </c>
      <c r="E275" s="293">
        <v>4160</v>
      </c>
      <c r="F275" s="301">
        <v>820</v>
      </c>
      <c r="H275" s="308"/>
    </row>
    <row r="276" spans="1:8" s="279" customFormat="1" ht="14.25" customHeight="1">
      <c r="A276" s="288" t="s">
        <v>1887</v>
      </c>
      <c r="B276" s="293" t="s">
        <v>1919</v>
      </c>
      <c r="C276" s="293">
        <v>3270</v>
      </c>
      <c r="D276" s="293">
        <v>3240</v>
      </c>
      <c r="E276" s="293">
        <v>3350</v>
      </c>
      <c r="F276" s="301">
        <v>680</v>
      </c>
      <c r="H276" s="308"/>
    </row>
    <row r="277" spans="1:8" s="279" customFormat="1" ht="14.25" customHeight="1">
      <c r="A277" s="288" t="s">
        <v>1887</v>
      </c>
      <c r="B277" s="293" t="s">
        <v>1920</v>
      </c>
      <c r="C277" s="293">
        <v>2930</v>
      </c>
      <c r="D277" s="293">
        <v>2900</v>
      </c>
      <c r="E277" s="293">
        <v>3000</v>
      </c>
      <c r="F277" s="301">
        <v>640</v>
      </c>
      <c r="H277" s="308"/>
    </row>
    <row r="278" spans="1:8" s="279" customFormat="1" ht="14.25" customHeight="1">
      <c r="A278" s="288" t="s">
        <v>1887</v>
      </c>
      <c r="B278" s="293" t="s">
        <v>1921</v>
      </c>
      <c r="C278" s="293">
        <v>4080</v>
      </c>
      <c r="D278" s="293">
        <v>4030</v>
      </c>
      <c r="E278" s="293">
        <v>4140</v>
      </c>
      <c r="F278" s="301">
        <v>850</v>
      </c>
      <c r="H278" s="308"/>
    </row>
    <row r="279" spans="1:8" s="279" customFormat="1" ht="14.25" customHeight="1">
      <c r="A279" s="288" t="s">
        <v>1887</v>
      </c>
      <c r="B279" s="293" t="s">
        <v>1922</v>
      </c>
      <c r="C279" s="293"/>
      <c r="D279" s="293"/>
      <c r="E279" s="293"/>
      <c r="F279" s="301">
        <v>760</v>
      </c>
      <c r="H279" s="308"/>
    </row>
    <row r="280" spans="1:8" s="279" customFormat="1" ht="14.25" customHeight="1">
      <c r="A280" s="288" t="s">
        <v>1887</v>
      </c>
      <c r="B280" s="293" t="s">
        <v>1923</v>
      </c>
      <c r="C280" s="293"/>
      <c r="D280" s="293"/>
      <c r="E280" s="293"/>
      <c r="F280" s="301">
        <v>760</v>
      </c>
      <c r="H280" s="308"/>
    </row>
    <row r="281" spans="1:8" s="279" customFormat="1" ht="14.25" customHeight="1">
      <c r="A281" s="288" t="s">
        <v>1887</v>
      </c>
      <c r="B281" s="293" t="s">
        <v>1924</v>
      </c>
      <c r="C281" s="293"/>
      <c r="D281" s="293"/>
      <c r="E281" s="293"/>
      <c r="F281" s="301">
        <v>780</v>
      </c>
      <c r="H281" s="308"/>
    </row>
    <row r="282" spans="1:8" s="279" customFormat="1" ht="14.25" customHeight="1">
      <c r="A282" s="288" t="s">
        <v>1887</v>
      </c>
      <c r="B282" s="293" t="s">
        <v>1925</v>
      </c>
      <c r="C282" s="293"/>
      <c r="D282" s="293"/>
      <c r="E282" s="293"/>
      <c r="F282" s="301">
        <v>730</v>
      </c>
      <c r="H282" s="308"/>
    </row>
    <row r="283" spans="1:8" s="279" customFormat="1" ht="14.25" customHeight="1">
      <c r="A283" s="288" t="s">
        <v>1887</v>
      </c>
      <c r="B283" s="293" t="s">
        <v>1926</v>
      </c>
      <c r="C283" s="293"/>
      <c r="D283" s="293"/>
      <c r="E283" s="293"/>
      <c r="F283" s="301">
        <v>770</v>
      </c>
      <c r="H283" s="308"/>
    </row>
    <row r="284" spans="1:8" s="279" customFormat="1" ht="14.25" customHeight="1">
      <c r="A284" s="288" t="s">
        <v>1887</v>
      </c>
      <c r="B284" s="293" t="s">
        <v>1927</v>
      </c>
      <c r="C284" s="293"/>
      <c r="D284" s="293"/>
      <c r="E284" s="293"/>
      <c r="F284" s="301">
        <v>640</v>
      </c>
      <c r="H284" s="308"/>
    </row>
    <row r="285" spans="1:8" s="279" customFormat="1" ht="14.25" customHeight="1">
      <c r="A285" s="288" t="s">
        <v>1887</v>
      </c>
      <c r="B285" s="293" t="s">
        <v>1928</v>
      </c>
      <c r="C285" s="293"/>
      <c r="D285" s="293"/>
      <c r="E285" s="293"/>
      <c r="F285" s="301">
        <v>640</v>
      </c>
      <c r="H285" s="308"/>
    </row>
    <row r="286" spans="1:8" s="279" customFormat="1" ht="14.25" customHeight="1">
      <c r="A286" s="288" t="s">
        <v>1887</v>
      </c>
      <c r="B286" s="293" t="s">
        <v>1929</v>
      </c>
      <c r="C286" s="293"/>
      <c r="D286" s="293"/>
      <c r="E286" s="293"/>
      <c r="F286" s="301">
        <v>850</v>
      </c>
      <c r="H286" s="308"/>
    </row>
    <row r="287" spans="1:8" s="279" customFormat="1" ht="14.25" customHeight="1">
      <c r="A287" s="288" t="s">
        <v>1887</v>
      </c>
      <c r="B287" s="293" t="s">
        <v>1930</v>
      </c>
      <c r="C287" s="293"/>
      <c r="D287" s="293"/>
      <c r="E287" s="293"/>
      <c r="F287" s="301">
        <v>760</v>
      </c>
      <c r="H287" s="308"/>
    </row>
    <row r="288" spans="1:8" s="279" customFormat="1" ht="14.25" customHeight="1">
      <c r="A288" s="288" t="s">
        <v>1887</v>
      </c>
      <c r="B288" s="293" t="s">
        <v>1931</v>
      </c>
      <c r="C288" s="293"/>
      <c r="D288" s="293"/>
      <c r="E288" s="293"/>
      <c r="F288" s="301">
        <v>830</v>
      </c>
      <c r="H288" s="308"/>
    </row>
    <row r="289" spans="1:8" s="279" customFormat="1" ht="14.25" customHeight="1">
      <c r="A289" s="288" t="s">
        <v>1887</v>
      </c>
      <c r="B289" s="299" t="s">
        <v>1932</v>
      </c>
      <c r="C289" s="299"/>
      <c r="D289" s="299"/>
      <c r="E289" s="299"/>
      <c r="F289" s="309">
        <v>680</v>
      </c>
      <c r="H289" s="308"/>
    </row>
    <row r="290" spans="1:8" s="279" customFormat="1" ht="14.25" customHeight="1">
      <c r="A290" s="288" t="s">
        <v>1933</v>
      </c>
      <c r="B290" s="289" t="s">
        <v>1934</v>
      </c>
      <c r="C290" s="289">
        <v>2770</v>
      </c>
      <c r="D290" s="289">
        <v>2740</v>
      </c>
      <c r="E290" s="289">
        <v>2720</v>
      </c>
      <c r="F290" s="314"/>
      <c r="H290" s="308"/>
    </row>
    <row r="291" spans="1:8" s="279" customFormat="1" ht="14.25" customHeight="1">
      <c r="A291" s="288" t="s">
        <v>1933</v>
      </c>
      <c r="B291" s="293" t="s">
        <v>1935</v>
      </c>
      <c r="C291" s="293">
        <v>2670</v>
      </c>
      <c r="D291" s="293">
        <v>2640</v>
      </c>
      <c r="E291" s="293">
        <v>2620</v>
      </c>
      <c r="F291" s="310"/>
      <c r="H291" s="308"/>
    </row>
    <row r="292" spans="1:8" s="279" customFormat="1" ht="14.25" customHeight="1">
      <c r="A292" s="288" t="s">
        <v>1933</v>
      </c>
      <c r="B292" s="293" t="s">
        <v>1936</v>
      </c>
      <c r="C292" s="293">
        <v>2180</v>
      </c>
      <c r="D292" s="293">
        <v>2140</v>
      </c>
      <c r="E292" s="293">
        <v>2120</v>
      </c>
      <c r="F292" s="301">
        <v>490</v>
      </c>
      <c r="H292" s="308"/>
    </row>
    <row r="293" spans="1:8" s="279" customFormat="1" ht="14.25" customHeight="1">
      <c r="A293" s="288" t="s">
        <v>1933</v>
      </c>
      <c r="B293" s="293" t="s">
        <v>1937</v>
      </c>
      <c r="C293" s="293"/>
      <c r="D293" s="293"/>
      <c r="E293" s="293"/>
      <c r="F293" s="301">
        <v>470</v>
      </c>
      <c r="H293" s="308"/>
    </row>
    <row r="294" spans="1:8" s="279" customFormat="1" ht="14.25" customHeight="1">
      <c r="A294" s="288" t="s">
        <v>1933</v>
      </c>
      <c r="B294" s="293" t="s">
        <v>1938</v>
      </c>
      <c r="C294" s="293">
        <v>2730</v>
      </c>
      <c r="D294" s="293">
        <v>2700</v>
      </c>
      <c r="E294" s="293">
        <v>2680</v>
      </c>
      <c r="F294" s="301">
        <v>490</v>
      </c>
      <c r="H294" s="308"/>
    </row>
    <row r="295" spans="1:8" s="279" customFormat="1" ht="14.25" customHeight="1">
      <c r="A295" s="288" t="s">
        <v>1933</v>
      </c>
      <c r="B295" s="293" t="s">
        <v>1939</v>
      </c>
      <c r="C295" s="293">
        <v>2380</v>
      </c>
      <c r="D295" s="293">
        <v>2350</v>
      </c>
      <c r="E295" s="293">
        <v>2330</v>
      </c>
      <c r="F295" s="301">
        <v>530</v>
      </c>
      <c r="H295" s="308"/>
    </row>
    <row r="296" spans="1:8" s="279" customFormat="1" ht="14.25" customHeight="1">
      <c r="A296" s="288" t="s">
        <v>1933</v>
      </c>
      <c r="B296" s="293" t="s">
        <v>1940</v>
      </c>
      <c r="C296" s="293">
        <v>2650</v>
      </c>
      <c r="D296" s="293">
        <v>2620</v>
      </c>
      <c r="E296" s="293">
        <v>2590</v>
      </c>
      <c r="F296" s="301">
        <v>590</v>
      </c>
      <c r="H296" s="308"/>
    </row>
    <row r="297" spans="1:8" s="279" customFormat="1" ht="14.25" customHeight="1">
      <c r="A297" s="288" t="s">
        <v>1933</v>
      </c>
      <c r="B297" s="293" t="s">
        <v>1941</v>
      </c>
      <c r="C297" s="293">
        <v>2700</v>
      </c>
      <c r="D297" s="293">
        <v>2670</v>
      </c>
      <c r="E297" s="293">
        <v>2650</v>
      </c>
      <c r="F297" s="301">
        <v>630</v>
      </c>
      <c r="H297" s="308"/>
    </row>
    <row r="298" spans="1:8" s="279" customFormat="1" ht="14.25" customHeight="1">
      <c r="A298" s="288" t="s">
        <v>1933</v>
      </c>
      <c r="B298" s="293" t="s">
        <v>1942</v>
      </c>
      <c r="C298" s="293">
        <v>2650</v>
      </c>
      <c r="D298" s="293">
        <v>2620</v>
      </c>
      <c r="E298" s="293">
        <v>2590</v>
      </c>
      <c r="F298" s="301">
        <v>640</v>
      </c>
      <c r="H298" s="308"/>
    </row>
    <row r="299" spans="1:8" s="279" customFormat="1" ht="14.25" customHeight="1">
      <c r="A299" s="288" t="s">
        <v>1933</v>
      </c>
      <c r="B299" s="293" t="s">
        <v>1943</v>
      </c>
      <c r="C299" s="293">
        <v>2500</v>
      </c>
      <c r="D299" s="293">
        <v>2480</v>
      </c>
      <c r="E299" s="293">
        <v>2460</v>
      </c>
      <c r="F299" s="310"/>
      <c r="H299" s="308"/>
    </row>
    <row r="300" spans="1:8" s="279" customFormat="1" ht="14.25" customHeight="1">
      <c r="A300" s="288" t="s">
        <v>1933</v>
      </c>
      <c r="B300" s="293" t="s">
        <v>1944</v>
      </c>
      <c r="C300" s="293">
        <v>2760</v>
      </c>
      <c r="D300" s="293">
        <v>2730</v>
      </c>
      <c r="E300" s="293">
        <v>2700</v>
      </c>
      <c r="F300" s="301">
        <v>630</v>
      </c>
      <c r="H300" s="308"/>
    </row>
    <row r="301" spans="1:8" s="279" customFormat="1" ht="14.25" customHeight="1">
      <c r="A301" s="288" t="s">
        <v>1933</v>
      </c>
      <c r="B301" s="293" t="s">
        <v>1945</v>
      </c>
      <c r="C301" s="293">
        <v>2510</v>
      </c>
      <c r="D301" s="293">
        <v>2480</v>
      </c>
      <c r="E301" s="293">
        <v>2460</v>
      </c>
      <c r="F301" s="310"/>
      <c r="H301" s="308"/>
    </row>
    <row r="302" spans="1:8" s="279" customFormat="1" ht="14.25" customHeight="1">
      <c r="A302" s="288" t="s">
        <v>1933</v>
      </c>
      <c r="B302" s="293" t="s">
        <v>1946</v>
      </c>
      <c r="C302" s="293">
        <v>2480</v>
      </c>
      <c r="D302" s="293">
        <v>2450</v>
      </c>
      <c r="E302" s="293">
        <v>2420</v>
      </c>
      <c r="F302" s="301">
        <v>600</v>
      </c>
      <c r="H302" s="308"/>
    </row>
    <row r="303" spans="1:8" s="279" customFormat="1" ht="14.25" customHeight="1">
      <c r="A303" s="288" t="s">
        <v>1933</v>
      </c>
      <c r="B303" s="293" t="s">
        <v>1947</v>
      </c>
      <c r="C303" s="293">
        <v>2270</v>
      </c>
      <c r="D303" s="293">
        <v>2240</v>
      </c>
      <c r="E303" s="293">
        <v>2210</v>
      </c>
      <c r="F303" s="301">
        <v>540</v>
      </c>
      <c r="H303" s="308"/>
    </row>
    <row r="304" spans="1:8" s="279" customFormat="1" ht="14.25" customHeight="1">
      <c r="A304" s="288" t="s">
        <v>1933</v>
      </c>
      <c r="B304" s="293" t="s">
        <v>1948</v>
      </c>
      <c r="C304" s="293">
        <v>2310</v>
      </c>
      <c r="D304" s="293">
        <v>2290</v>
      </c>
      <c r="E304" s="293">
        <v>2270</v>
      </c>
      <c r="F304" s="310"/>
      <c r="H304" s="308"/>
    </row>
    <row r="305" spans="1:8" s="279" customFormat="1" ht="14.25" customHeight="1">
      <c r="A305" s="288" t="s">
        <v>1933</v>
      </c>
      <c r="B305" s="293" t="s">
        <v>1949</v>
      </c>
      <c r="C305" s="293">
        <v>2490</v>
      </c>
      <c r="D305" s="293">
        <v>2470</v>
      </c>
      <c r="E305" s="293">
        <v>2440</v>
      </c>
      <c r="F305" s="301">
        <v>560</v>
      </c>
      <c r="H305" s="308"/>
    </row>
    <row r="306" spans="1:8" s="279" customFormat="1" ht="14.25" customHeight="1">
      <c r="A306" s="288" t="s">
        <v>1933</v>
      </c>
      <c r="B306" s="293" t="s">
        <v>1950</v>
      </c>
      <c r="C306" s="293">
        <v>2420</v>
      </c>
      <c r="D306" s="293">
        <v>2400</v>
      </c>
      <c r="E306" s="293">
        <v>2380</v>
      </c>
      <c r="F306" s="310"/>
      <c r="H306" s="308"/>
    </row>
    <row r="307" spans="1:8" s="279" customFormat="1" ht="14.25" customHeight="1">
      <c r="A307" s="288" t="s">
        <v>1933</v>
      </c>
      <c r="B307" s="293" t="s">
        <v>1951</v>
      </c>
      <c r="C307" s="293">
        <v>2770</v>
      </c>
      <c r="D307" s="293">
        <v>2740</v>
      </c>
      <c r="E307" s="293">
        <v>2710</v>
      </c>
      <c r="F307" s="301">
        <v>650</v>
      </c>
      <c r="H307" s="308"/>
    </row>
    <row r="308" spans="1:8" s="279" customFormat="1" ht="14.25" customHeight="1">
      <c r="A308" s="288" t="s">
        <v>1933</v>
      </c>
      <c r="B308" s="293" t="s">
        <v>1952</v>
      </c>
      <c r="C308" s="293">
        <v>2610</v>
      </c>
      <c r="D308" s="293">
        <v>2580</v>
      </c>
      <c r="E308" s="293">
        <v>2550</v>
      </c>
      <c r="F308" s="301">
        <v>580</v>
      </c>
      <c r="H308" s="308"/>
    </row>
    <row r="309" spans="1:8" s="279" customFormat="1" ht="14.25" customHeight="1">
      <c r="A309" s="288" t="s">
        <v>1933</v>
      </c>
      <c r="B309" s="293" t="s">
        <v>1953</v>
      </c>
      <c r="C309" s="293">
        <v>2690</v>
      </c>
      <c r="D309" s="293">
        <v>2670</v>
      </c>
      <c r="E309" s="293">
        <v>2650</v>
      </c>
      <c r="F309" s="310"/>
      <c r="H309" s="308"/>
    </row>
    <row r="310" spans="1:8" s="279" customFormat="1" ht="14.25" customHeight="1">
      <c r="A310" s="288" t="s">
        <v>1933</v>
      </c>
      <c r="B310" s="293" t="s">
        <v>1954</v>
      </c>
      <c r="C310" s="293">
        <v>2360</v>
      </c>
      <c r="D310" s="293">
        <v>2330</v>
      </c>
      <c r="E310" s="293">
        <v>2310</v>
      </c>
      <c r="F310" s="301">
        <v>560</v>
      </c>
      <c r="H310" s="308"/>
    </row>
    <row r="311" spans="1:8" s="279" customFormat="1" ht="14.25" customHeight="1">
      <c r="A311" s="288" t="s">
        <v>1933</v>
      </c>
      <c r="B311" s="293" t="s">
        <v>1955</v>
      </c>
      <c r="C311" s="293">
        <v>1970</v>
      </c>
      <c r="D311" s="293">
        <v>1950</v>
      </c>
      <c r="E311" s="293">
        <v>1920</v>
      </c>
      <c r="F311" s="301">
        <v>470</v>
      </c>
      <c r="H311" s="308"/>
    </row>
    <row r="312" spans="1:8" s="279" customFormat="1" ht="14.25" customHeight="1">
      <c r="A312" s="288" t="s">
        <v>1933</v>
      </c>
      <c r="B312" s="293" t="s">
        <v>1956</v>
      </c>
      <c r="C312" s="293">
        <v>2230</v>
      </c>
      <c r="D312" s="293">
        <v>2200</v>
      </c>
      <c r="E312" s="293">
        <v>2170</v>
      </c>
      <c r="F312" s="301">
        <v>460</v>
      </c>
      <c r="H312" s="308"/>
    </row>
    <row r="313" spans="1:8" s="279" customFormat="1" ht="14.25" customHeight="1">
      <c r="A313" s="288" t="s">
        <v>1933</v>
      </c>
      <c r="B313" s="293" t="s">
        <v>1957</v>
      </c>
      <c r="C313" s="293">
        <v>2770</v>
      </c>
      <c r="D313" s="293">
        <v>2740</v>
      </c>
      <c r="E313" s="293">
        <v>2710</v>
      </c>
      <c r="F313" s="301">
        <v>610</v>
      </c>
      <c r="H313" s="308"/>
    </row>
    <row r="314" spans="1:8" s="279" customFormat="1" ht="14.25" customHeight="1">
      <c r="A314" s="288" t="s">
        <v>1933</v>
      </c>
      <c r="B314" s="293" t="s">
        <v>1958</v>
      </c>
      <c r="C314" s="293"/>
      <c r="D314" s="293"/>
      <c r="E314" s="293"/>
      <c r="F314" s="301">
        <v>490</v>
      </c>
      <c r="H314" s="308"/>
    </row>
    <row r="315" spans="1:8" s="279" customFormat="1" ht="14.25" customHeight="1">
      <c r="A315" s="288" t="s">
        <v>1933</v>
      </c>
      <c r="B315" s="293" t="s">
        <v>1959</v>
      </c>
      <c r="C315" s="293"/>
      <c r="D315" s="293"/>
      <c r="E315" s="293"/>
      <c r="F315" s="301">
        <v>520</v>
      </c>
      <c r="H315" s="308"/>
    </row>
    <row r="316" spans="1:8" s="279" customFormat="1" ht="14.25" customHeight="1">
      <c r="A316" s="288" t="s">
        <v>1933</v>
      </c>
      <c r="B316" s="299" t="s">
        <v>1960</v>
      </c>
      <c r="C316" s="299"/>
      <c r="D316" s="299"/>
      <c r="E316" s="299"/>
      <c r="F316" s="309">
        <v>460</v>
      </c>
      <c r="H316" s="308"/>
    </row>
    <row r="317" spans="1:8" s="279" customFormat="1" ht="14.25" customHeight="1">
      <c r="A317" s="288" t="s">
        <v>1961</v>
      </c>
      <c r="B317" s="289" t="s">
        <v>1962</v>
      </c>
      <c r="C317" s="289">
        <v>1200</v>
      </c>
      <c r="D317" s="289">
        <v>1180</v>
      </c>
      <c r="E317" s="289">
        <v>1160</v>
      </c>
      <c r="F317" s="290">
        <v>370</v>
      </c>
      <c r="H317" s="281"/>
    </row>
    <row r="318" spans="1:8" s="279" customFormat="1" ht="14.25" customHeight="1">
      <c r="A318" s="288" t="s">
        <v>1961</v>
      </c>
      <c r="B318" s="293" t="s">
        <v>1963</v>
      </c>
      <c r="C318" s="293">
        <v>1090</v>
      </c>
      <c r="D318" s="293">
        <v>1060</v>
      </c>
      <c r="E318" s="293">
        <v>1040</v>
      </c>
      <c r="F318" s="310"/>
      <c r="H318" s="281"/>
    </row>
    <row r="319" spans="1:8" s="279" customFormat="1" ht="14.25" customHeight="1">
      <c r="A319" s="288" t="s">
        <v>1961</v>
      </c>
      <c r="B319" s="293" t="s">
        <v>1964</v>
      </c>
      <c r="C319" s="293">
        <v>1520</v>
      </c>
      <c r="D319" s="293">
        <v>1470</v>
      </c>
      <c r="E319" s="293">
        <v>1440</v>
      </c>
      <c r="F319" s="301">
        <v>370</v>
      </c>
      <c r="H319" s="281"/>
    </row>
    <row r="320" spans="1:8" s="279" customFormat="1" ht="14.25" customHeight="1">
      <c r="A320" s="288" t="s">
        <v>1961</v>
      </c>
      <c r="B320" s="293" t="s">
        <v>1965</v>
      </c>
      <c r="C320" s="293">
        <v>1360</v>
      </c>
      <c r="D320" s="293">
        <v>1300</v>
      </c>
      <c r="E320" s="293">
        <v>1270</v>
      </c>
      <c r="F320" s="310"/>
      <c r="H320" s="281"/>
    </row>
    <row r="321" spans="1:8" s="279" customFormat="1" ht="14.25" customHeight="1">
      <c r="A321" s="288" t="s">
        <v>1961</v>
      </c>
      <c r="B321" s="293" t="s">
        <v>1966</v>
      </c>
      <c r="C321" s="293">
        <v>1750</v>
      </c>
      <c r="D321" s="293">
        <v>1690</v>
      </c>
      <c r="E321" s="293">
        <v>1660</v>
      </c>
      <c r="F321" s="310"/>
      <c r="H321" s="281"/>
    </row>
    <row r="322" spans="1:8" s="279" customFormat="1" ht="14.25" customHeight="1">
      <c r="A322" s="288" t="s">
        <v>1961</v>
      </c>
      <c r="B322" s="293" t="s">
        <v>1967</v>
      </c>
      <c r="C322" s="293">
        <v>1650</v>
      </c>
      <c r="D322" s="293">
        <v>1610</v>
      </c>
      <c r="E322" s="293">
        <v>1580</v>
      </c>
      <c r="F322" s="301">
        <v>500</v>
      </c>
      <c r="H322" s="281"/>
    </row>
    <row r="323" spans="1:8" s="279" customFormat="1" ht="14.25" customHeight="1">
      <c r="A323" s="288" t="s">
        <v>1961</v>
      </c>
      <c r="B323" s="293" t="s">
        <v>1968</v>
      </c>
      <c r="C323" s="293">
        <v>1780</v>
      </c>
      <c r="D323" s="293">
        <v>1740</v>
      </c>
      <c r="E323" s="293">
        <v>1720</v>
      </c>
      <c r="F323" s="310"/>
      <c r="H323" s="281"/>
    </row>
    <row r="324" spans="1:8" s="279" customFormat="1" ht="14.25" customHeight="1">
      <c r="A324" s="288" t="s">
        <v>1961</v>
      </c>
      <c r="B324" s="293" t="s">
        <v>1969</v>
      </c>
      <c r="C324" s="293">
        <v>1650</v>
      </c>
      <c r="D324" s="293">
        <v>1610</v>
      </c>
      <c r="E324" s="293">
        <v>1580</v>
      </c>
      <c r="F324" s="310"/>
      <c r="H324" s="281"/>
    </row>
    <row r="325" spans="1:8" s="279" customFormat="1" ht="14.25" customHeight="1">
      <c r="A325" s="288" t="s">
        <v>1961</v>
      </c>
      <c r="B325" s="293" t="s">
        <v>1970</v>
      </c>
      <c r="C325" s="293">
        <v>1330</v>
      </c>
      <c r="D325" s="293">
        <v>1270</v>
      </c>
      <c r="E325" s="293">
        <v>1240</v>
      </c>
      <c r="F325" s="301">
        <v>430</v>
      </c>
      <c r="H325" s="281"/>
    </row>
    <row r="326" spans="1:8" s="279" customFormat="1" ht="14.25" customHeight="1">
      <c r="A326" s="288" t="s">
        <v>1961</v>
      </c>
      <c r="B326" s="293" t="s">
        <v>1971</v>
      </c>
      <c r="C326" s="293">
        <v>1470</v>
      </c>
      <c r="D326" s="293">
        <v>1430</v>
      </c>
      <c r="E326" s="293">
        <v>1400</v>
      </c>
      <c r="F326" s="310"/>
      <c r="H326" s="281"/>
    </row>
    <row r="327" spans="1:8" s="279" customFormat="1" ht="14.25" customHeight="1">
      <c r="A327" s="288" t="s">
        <v>1961</v>
      </c>
      <c r="B327" s="293" t="s">
        <v>1972</v>
      </c>
      <c r="C327" s="293">
        <v>1420</v>
      </c>
      <c r="D327" s="293">
        <v>1380</v>
      </c>
      <c r="E327" s="293">
        <v>1360</v>
      </c>
      <c r="F327" s="301">
        <v>420</v>
      </c>
      <c r="H327" s="281"/>
    </row>
    <row r="328" spans="1:8" s="279" customFormat="1" ht="14.25" customHeight="1">
      <c r="A328" s="288" t="s">
        <v>1961</v>
      </c>
      <c r="B328" s="293" t="s">
        <v>1973</v>
      </c>
      <c r="C328" s="293">
        <v>1400</v>
      </c>
      <c r="D328" s="293">
        <v>1360</v>
      </c>
      <c r="E328" s="293">
        <v>1330</v>
      </c>
      <c r="F328" s="301">
        <v>460</v>
      </c>
      <c r="H328" s="281"/>
    </row>
    <row r="329" spans="1:8" s="279" customFormat="1" ht="14.25" customHeight="1">
      <c r="A329" s="288" t="s">
        <v>1961</v>
      </c>
      <c r="B329" s="293" t="s">
        <v>1974</v>
      </c>
      <c r="C329" s="293">
        <v>1640</v>
      </c>
      <c r="D329" s="293">
        <v>1610</v>
      </c>
      <c r="E329" s="293">
        <v>1580</v>
      </c>
      <c r="F329" s="301">
        <v>410</v>
      </c>
      <c r="H329" s="281"/>
    </row>
    <row r="330" spans="1:8" s="279" customFormat="1" ht="14.25" customHeight="1">
      <c r="A330" s="288" t="s">
        <v>1961</v>
      </c>
      <c r="B330" s="293" t="s">
        <v>1975</v>
      </c>
      <c r="C330" s="293">
        <v>1260</v>
      </c>
      <c r="D330" s="293">
        <v>1220</v>
      </c>
      <c r="E330" s="293">
        <v>1200</v>
      </c>
      <c r="F330" s="310"/>
      <c r="H330" s="281"/>
    </row>
    <row r="331" spans="1:8" s="279" customFormat="1" ht="14.25" customHeight="1">
      <c r="A331" s="288" t="s">
        <v>1961</v>
      </c>
      <c r="B331" s="293" t="s">
        <v>1976</v>
      </c>
      <c r="C331" s="293">
        <v>1620</v>
      </c>
      <c r="D331" s="293">
        <v>1560</v>
      </c>
      <c r="E331" s="293">
        <v>1530</v>
      </c>
      <c r="F331" s="301">
        <v>490</v>
      </c>
      <c r="H331" s="281"/>
    </row>
    <row r="332" spans="1:8" s="279" customFormat="1" ht="14.25" customHeight="1">
      <c r="A332" s="288" t="s">
        <v>1961</v>
      </c>
      <c r="B332" s="293" t="s">
        <v>1977</v>
      </c>
      <c r="C332" s="293">
        <v>1520</v>
      </c>
      <c r="D332" s="293">
        <v>1470</v>
      </c>
      <c r="E332" s="293">
        <v>1440</v>
      </c>
      <c r="F332" s="301">
        <v>440</v>
      </c>
      <c r="H332" s="281"/>
    </row>
    <row r="333" spans="1:8" s="279" customFormat="1" ht="14.25" customHeight="1">
      <c r="A333" s="288" t="s">
        <v>1961</v>
      </c>
      <c r="B333" s="293" t="s">
        <v>1978</v>
      </c>
      <c r="C333" s="293">
        <v>1370</v>
      </c>
      <c r="D333" s="293">
        <v>1320</v>
      </c>
      <c r="E333" s="293">
        <v>1300</v>
      </c>
      <c r="F333" s="301">
        <v>460</v>
      </c>
      <c r="H333" s="281"/>
    </row>
    <row r="334" spans="1:8" s="279" customFormat="1" ht="14.25" customHeight="1">
      <c r="A334" s="288" t="s">
        <v>1961</v>
      </c>
      <c r="B334" s="293" t="s">
        <v>1979</v>
      </c>
      <c r="C334" s="293">
        <v>1410</v>
      </c>
      <c r="D334" s="293">
        <v>1340</v>
      </c>
      <c r="E334" s="293">
        <v>1310</v>
      </c>
      <c r="F334" s="301">
        <v>410</v>
      </c>
      <c r="H334" s="281"/>
    </row>
    <row r="335" spans="1:8" s="279" customFormat="1" ht="14.25" customHeight="1">
      <c r="A335" s="288" t="s">
        <v>1961</v>
      </c>
      <c r="B335" s="293" t="s">
        <v>1980</v>
      </c>
      <c r="C335" s="293">
        <v>1260</v>
      </c>
      <c r="D335" s="293">
        <v>1220</v>
      </c>
      <c r="E335" s="293">
        <v>1200</v>
      </c>
      <c r="F335" s="310"/>
      <c r="H335" s="281"/>
    </row>
    <row r="336" spans="1:8" s="279" customFormat="1" ht="14.25" customHeight="1">
      <c r="A336" s="288" t="s">
        <v>1961</v>
      </c>
      <c r="B336" s="293" t="s">
        <v>1981</v>
      </c>
      <c r="C336" s="293">
        <v>1160</v>
      </c>
      <c r="D336" s="293">
        <v>1140</v>
      </c>
      <c r="E336" s="293">
        <v>1120</v>
      </c>
      <c r="F336" s="301">
        <v>430</v>
      </c>
      <c r="H336" s="281"/>
    </row>
    <row r="337" spans="1:8" s="279" customFormat="1" ht="14.25" customHeight="1">
      <c r="A337" s="288" t="s">
        <v>1961</v>
      </c>
      <c r="B337" s="299" t="s">
        <v>1982</v>
      </c>
      <c r="C337" s="299"/>
      <c r="D337" s="299"/>
      <c r="E337" s="299"/>
      <c r="F337" s="309">
        <v>380</v>
      </c>
      <c r="H337" s="281"/>
    </row>
    <row r="338" spans="1:8" s="279" customFormat="1" ht="14.25" customHeight="1">
      <c r="A338" s="288" t="s">
        <v>1983</v>
      </c>
      <c r="B338" s="289" t="s">
        <v>1984</v>
      </c>
      <c r="C338" s="289">
        <v>880</v>
      </c>
      <c r="D338" s="289">
        <v>850</v>
      </c>
      <c r="E338" s="289">
        <v>830</v>
      </c>
      <c r="F338" s="314"/>
      <c r="H338" s="281"/>
    </row>
    <row r="339" spans="1:8" s="279" customFormat="1" ht="14.25" customHeight="1">
      <c r="A339" s="288" t="s">
        <v>1983</v>
      </c>
      <c r="B339" s="293" t="s">
        <v>1985</v>
      </c>
      <c r="C339" s="293">
        <v>830</v>
      </c>
      <c r="D339" s="293">
        <v>800</v>
      </c>
      <c r="E339" s="293">
        <v>780</v>
      </c>
      <c r="F339" s="310"/>
      <c r="H339" s="281"/>
    </row>
    <row r="340" spans="1:8" s="279" customFormat="1" ht="14.25" customHeight="1">
      <c r="A340" s="288" t="s">
        <v>1983</v>
      </c>
      <c r="B340" s="293" t="s">
        <v>1986</v>
      </c>
      <c r="C340" s="293">
        <v>980</v>
      </c>
      <c r="D340" s="293">
        <v>950</v>
      </c>
      <c r="E340" s="293">
        <v>920</v>
      </c>
      <c r="F340" s="310"/>
      <c r="H340" s="281"/>
    </row>
    <row r="341" spans="1:8" s="279" customFormat="1" ht="14.25" customHeight="1">
      <c r="A341" s="288" t="s">
        <v>1983</v>
      </c>
      <c r="B341" s="293" t="s">
        <v>1987</v>
      </c>
      <c r="C341" s="293">
        <v>760</v>
      </c>
      <c r="D341" s="293">
        <v>720</v>
      </c>
      <c r="E341" s="293">
        <v>690</v>
      </c>
      <c r="F341" s="301">
        <v>350</v>
      </c>
      <c r="H341" s="281"/>
    </row>
    <row r="342" spans="1:8" s="279" customFormat="1" ht="14.25" customHeight="1">
      <c r="A342" s="288" t="s">
        <v>1983</v>
      </c>
      <c r="B342" s="293" t="s">
        <v>1988</v>
      </c>
      <c r="C342" s="293">
        <v>910</v>
      </c>
      <c r="D342" s="293">
        <v>870</v>
      </c>
      <c r="E342" s="293">
        <v>850</v>
      </c>
      <c r="F342" s="301">
        <v>370</v>
      </c>
      <c r="H342" s="281"/>
    </row>
    <row r="343" spans="1:8" s="279" customFormat="1" ht="14.25" customHeight="1">
      <c r="A343" s="288" t="s">
        <v>1983</v>
      </c>
      <c r="B343" s="293" t="s">
        <v>1989</v>
      </c>
      <c r="C343" s="293">
        <v>800</v>
      </c>
      <c r="D343" s="293">
        <v>760</v>
      </c>
      <c r="E343" s="293">
        <v>730</v>
      </c>
      <c r="F343" s="301">
        <v>340</v>
      </c>
      <c r="H343" s="281"/>
    </row>
    <row r="344" spans="1:8" s="279" customFormat="1" ht="14.25" customHeight="1">
      <c r="A344" s="288" t="s">
        <v>1983</v>
      </c>
      <c r="B344" s="299" t="s">
        <v>1990</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2030</v>
      </c>
      <c r="B1" s="236" t="s">
        <v>1639</v>
      </c>
      <c r="C1" s="236" t="s">
        <v>1645</v>
      </c>
      <c r="D1" s="236" t="s">
        <v>1665</v>
      </c>
      <c r="E1" s="236" t="s">
        <v>1686</v>
      </c>
      <c r="F1" s="236" t="s">
        <v>1714</v>
      </c>
      <c r="G1" s="236" t="s">
        <v>1749</v>
      </c>
      <c r="H1" s="236" t="s">
        <v>1798</v>
      </c>
      <c r="I1" s="236" t="s">
        <v>1847</v>
      </c>
      <c r="J1" s="236" t="s">
        <v>1887</v>
      </c>
      <c r="K1" s="236" t="s">
        <v>1933</v>
      </c>
      <c r="L1" s="236" t="s">
        <v>1961</v>
      </c>
      <c r="M1" s="271" t="s">
        <v>1983</v>
      </c>
    </row>
    <row r="2" spans="1:13" ht="19.5" customHeight="1">
      <c r="A2" s="237" t="s">
        <v>1634</v>
      </c>
      <c r="B2" s="238">
        <v>3.5</v>
      </c>
      <c r="C2" s="238">
        <v>3.5</v>
      </c>
      <c r="D2" s="239">
        <v>2.5</v>
      </c>
      <c r="E2" s="239">
        <v>2.5</v>
      </c>
      <c r="F2" s="239">
        <v>2.5</v>
      </c>
      <c r="G2" s="239">
        <v>2.5</v>
      </c>
      <c r="H2" s="239">
        <v>2.5</v>
      </c>
      <c r="I2" s="238">
        <v>2</v>
      </c>
      <c r="J2" s="238">
        <v>2</v>
      </c>
      <c r="K2" s="238">
        <v>2</v>
      </c>
      <c r="L2" s="238">
        <v>2</v>
      </c>
      <c r="M2" s="272">
        <v>2</v>
      </c>
    </row>
    <row r="3" spans="1:13" ht="19.5" customHeight="1">
      <c r="A3" s="240" t="s">
        <v>1635</v>
      </c>
      <c r="B3" s="241">
        <v>3.5</v>
      </c>
      <c r="C3" s="241">
        <v>3.5</v>
      </c>
      <c r="D3" s="242">
        <v>2.5</v>
      </c>
      <c r="E3" s="242">
        <v>2.5</v>
      </c>
      <c r="F3" s="242">
        <v>2.5</v>
      </c>
      <c r="G3" s="242">
        <v>2.5</v>
      </c>
      <c r="H3" s="242">
        <v>2.5</v>
      </c>
      <c r="I3" s="241">
        <v>2</v>
      </c>
      <c r="J3" s="241">
        <v>2</v>
      </c>
      <c r="K3" s="241">
        <v>2</v>
      </c>
      <c r="L3" s="241">
        <v>2</v>
      </c>
      <c r="M3" s="273">
        <v>2</v>
      </c>
    </row>
    <row r="4" spans="1:13" ht="19.5" customHeight="1">
      <c r="A4" s="240" t="s">
        <v>369</v>
      </c>
      <c r="B4" s="242">
        <v>2.5</v>
      </c>
      <c r="C4" s="242">
        <v>2.5</v>
      </c>
      <c r="D4" s="242">
        <v>2.5</v>
      </c>
      <c r="E4" s="242">
        <v>2.5</v>
      </c>
      <c r="F4" s="242">
        <v>2.5</v>
      </c>
      <c r="G4" s="242">
        <v>2.5</v>
      </c>
      <c r="H4" s="242">
        <v>2.5</v>
      </c>
      <c r="I4" s="241">
        <v>1.5</v>
      </c>
      <c r="J4" s="241">
        <v>1.5</v>
      </c>
      <c r="K4" s="241">
        <v>1.5</v>
      </c>
      <c r="L4" s="241">
        <v>1.5</v>
      </c>
      <c r="M4" s="273">
        <v>1.5</v>
      </c>
    </row>
    <row r="5" spans="1:13" ht="19.5" customHeight="1">
      <c r="A5" s="243" t="s">
        <v>1636</v>
      </c>
      <c r="B5" s="244">
        <v>1.5</v>
      </c>
      <c r="C5" s="244">
        <v>1.5</v>
      </c>
      <c r="D5" s="244">
        <v>1.5</v>
      </c>
      <c r="E5" s="244">
        <v>1.5</v>
      </c>
      <c r="F5" s="244">
        <v>1.5</v>
      </c>
      <c r="G5" s="245">
        <v>1.2</v>
      </c>
      <c r="H5" s="245">
        <v>1.2</v>
      </c>
      <c r="I5" s="245">
        <v>1</v>
      </c>
      <c r="J5" s="245">
        <v>1</v>
      </c>
      <c r="K5" s="245">
        <v>1</v>
      </c>
      <c r="L5" s="245">
        <v>1</v>
      </c>
      <c r="M5" s="274">
        <v>1</v>
      </c>
    </row>
    <row r="6" spans="1:13" ht="19.5" customHeight="1">
      <c r="A6" s="246" t="s">
        <v>2031</v>
      </c>
      <c r="B6" s="247">
        <v>80</v>
      </c>
      <c r="C6" s="247">
        <v>80</v>
      </c>
      <c r="D6" s="247">
        <v>65</v>
      </c>
      <c r="E6" s="247">
        <v>65</v>
      </c>
      <c r="F6" s="247">
        <v>65</v>
      </c>
      <c r="G6" s="247">
        <v>65</v>
      </c>
      <c r="H6" s="247">
        <v>65</v>
      </c>
      <c r="I6" s="247">
        <v>50</v>
      </c>
      <c r="J6" s="247">
        <v>50</v>
      </c>
      <c r="K6" s="247">
        <v>50</v>
      </c>
      <c r="L6" s="247">
        <v>50</v>
      </c>
      <c r="M6" s="275">
        <v>50</v>
      </c>
    </row>
    <row r="7" spans="1:13" ht="19.5" customHeight="1">
      <c r="A7" s="248" t="s">
        <v>2032</v>
      </c>
      <c r="B7" s="249">
        <v>70</v>
      </c>
      <c r="C7" s="249">
        <v>70</v>
      </c>
      <c r="D7" s="249">
        <v>55</v>
      </c>
      <c r="E7" s="249">
        <v>55</v>
      </c>
      <c r="F7" s="249">
        <v>55</v>
      </c>
      <c r="G7" s="249">
        <v>55</v>
      </c>
      <c r="H7" s="249">
        <v>55</v>
      </c>
      <c r="I7" s="249">
        <v>40</v>
      </c>
      <c r="J7" s="249">
        <v>40</v>
      </c>
      <c r="K7" s="249">
        <v>40</v>
      </c>
      <c r="L7" s="249">
        <v>40</v>
      </c>
      <c r="M7" s="276">
        <v>40</v>
      </c>
    </row>
    <row r="8" spans="1:13" ht="19.5" customHeight="1">
      <c r="A8" s="248" t="s">
        <v>2033</v>
      </c>
      <c r="B8" s="249">
        <v>20</v>
      </c>
      <c r="C8" s="249">
        <v>20</v>
      </c>
      <c r="D8" s="249">
        <v>15</v>
      </c>
      <c r="E8" s="249">
        <v>15</v>
      </c>
      <c r="F8" s="249">
        <v>15</v>
      </c>
      <c r="G8" s="249">
        <v>15</v>
      </c>
      <c r="H8" s="249">
        <v>15</v>
      </c>
      <c r="I8" s="249">
        <v>10</v>
      </c>
      <c r="J8" s="249">
        <v>10</v>
      </c>
      <c r="K8" s="249">
        <v>10</v>
      </c>
      <c r="L8" s="249">
        <v>10</v>
      </c>
      <c r="M8" s="276">
        <v>10</v>
      </c>
    </row>
    <row r="9" spans="1:13" ht="19.5" customHeight="1">
      <c r="A9" s="248" t="s">
        <v>2034</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2035</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2036</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2037</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2038</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2039</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2040</v>
      </c>
      <c r="B16" s="253"/>
      <c r="C16" s="254"/>
      <c r="D16" s="254"/>
      <c r="E16" s="253"/>
      <c r="F16" s="254"/>
      <c r="G16" s="254"/>
    </row>
    <row r="17" spans="1:9" ht="19.5" customHeight="1">
      <c r="A17" s="249" t="s">
        <v>2041</v>
      </c>
      <c r="B17" s="255" t="s">
        <v>2042</v>
      </c>
      <c r="C17" s="255" t="s">
        <v>2043</v>
      </c>
      <c r="D17" s="256"/>
      <c r="E17" s="249" t="s">
        <v>2044</v>
      </c>
      <c r="F17" s="257"/>
      <c r="G17" s="257"/>
    </row>
    <row r="18" spans="1:9" s="232" customFormat="1" ht="19.5" customHeight="1">
      <c r="A18" s="3098" t="s">
        <v>1634</v>
      </c>
      <c r="B18" s="258" t="s">
        <v>2045</v>
      </c>
      <c r="C18" s="259" t="s">
        <v>2046</v>
      </c>
      <c r="D18" s="260"/>
      <c r="E18" s="258">
        <v>1</v>
      </c>
      <c r="F18" s="261" t="s">
        <v>2047</v>
      </c>
      <c r="G18" s="262"/>
      <c r="H18" s="233"/>
      <c r="I18" s="233"/>
    </row>
    <row r="19" spans="1:9" s="232" customFormat="1" ht="19.5" customHeight="1">
      <c r="A19" s="3098"/>
      <c r="B19" s="3098" t="s">
        <v>2048</v>
      </c>
      <c r="C19" s="259" t="s">
        <v>2049</v>
      </c>
      <c r="D19" s="260"/>
      <c r="E19" s="258">
        <v>0.9</v>
      </c>
      <c r="F19" s="261" t="s">
        <v>2050</v>
      </c>
      <c r="G19" s="262"/>
      <c r="H19" s="233"/>
      <c r="I19" s="233"/>
    </row>
    <row r="20" spans="1:9" s="232" customFormat="1" ht="19.5" customHeight="1">
      <c r="A20" s="3098"/>
      <c r="B20" s="3098"/>
      <c r="C20" s="259" t="s">
        <v>2051</v>
      </c>
      <c r="D20" s="260"/>
      <c r="E20" s="258">
        <v>1.1000000000000001</v>
      </c>
      <c r="F20" s="261" t="s">
        <v>2052</v>
      </c>
      <c r="G20" s="262"/>
      <c r="H20" s="233"/>
      <c r="I20" s="233"/>
    </row>
    <row r="21" spans="1:9" s="232" customFormat="1" ht="19.5" customHeight="1">
      <c r="A21" s="3098"/>
      <c r="B21" s="3098"/>
      <c r="C21" s="259" t="s">
        <v>2053</v>
      </c>
      <c r="D21" s="260"/>
      <c r="E21" s="258">
        <v>0.8</v>
      </c>
      <c r="F21" s="261" t="s">
        <v>2054</v>
      </c>
      <c r="G21" s="262"/>
      <c r="H21" s="233"/>
      <c r="I21" s="233"/>
    </row>
    <row r="22" spans="1:9" s="232" customFormat="1" ht="19.5" customHeight="1">
      <c r="A22" s="3098"/>
      <c r="B22" s="3098"/>
      <c r="C22" s="259" t="s">
        <v>2055</v>
      </c>
      <c r="D22" s="260"/>
      <c r="E22" s="258">
        <v>0.5</v>
      </c>
      <c r="F22" s="261"/>
      <c r="G22" s="262"/>
      <c r="H22" s="233"/>
      <c r="I22" s="233"/>
    </row>
    <row r="23" spans="1:9" s="232" customFormat="1" ht="19.5" customHeight="1">
      <c r="A23" s="3098" t="s">
        <v>1635</v>
      </c>
      <c r="B23" s="258" t="s">
        <v>2045</v>
      </c>
      <c r="C23" s="259" t="s">
        <v>2056</v>
      </c>
      <c r="D23" s="260"/>
      <c r="E23" s="258">
        <v>1</v>
      </c>
      <c r="F23" s="261" t="s">
        <v>2057</v>
      </c>
      <c r="G23" s="262"/>
      <c r="H23" s="233"/>
      <c r="I23" s="233"/>
    </row>
    <row r="24" spans="1:9" s="232" customFormat="1" ht="19.5" customHeight="1">
      <c r="A24" s="3098"/>
      <c r="B24" s="3098" t="s">
        <v>2048</v>
      </c>
      <c r="C24" s="259" t="s">
        <v>2058</v>
      </c>
      <c r="D24" s="260"/>
      <c r="E24" s="258">
        <v>0.5</v>
      </c>
      <c r="F24" s="261"/>
      <c r="G24" s="262"/>
      <c r="H24" s="233"/>
      <c r="I24" s="233"/>
    </row>
    <row r="25" spans="1:9" s="232" customFormat="1" ht="19.5" customHeight="1">
      <c r="A25" s="3098"/>
      <c r="B25" s="3098"/>
      <c r="C25" s="259" t="s">
        <v>2059</v>
      </c>
      <c r="D25" s="260"/>
      <c r="E25" s="258">
        <v>1.1000000000000001</v>
      </c>
      <c r="F25" s="261"/>
      <c r="G25" s="262"/>
      <c r="H25" s="233"/>
      <c r="I25" s="233"/>
    </row>
    <row r="26" spans="1:9" s="232" customFormat="1" ht="19.5" customHeight="1">
      <c r="A26" s="3098"/>
      <c r="B26" s="3098"/>
      <c r="C26" s="259" t="s">
        <v>2060</v>
      </c>
      <c r="D26" s="260"/>
      <c r="E26" s="258">
        <v>1.1000000000000001</v>
      </c>
      <c r="F26" s="261"/>
      <c r="G26" s="262"/>
      <c r="H26" s="233"/>
      <c r="I26" s="233"/>
    </row>
    <row r="27" spans="1:9" s="232" customFormat="1" ht="19.5" customHeight="1">
      <c r="A27" s="3098"/>
      <c r="B27" s="3098"/>
      <c r="C27" s="259" t="s">
        <v>2061</v>
      </c>
      <c r="D27" s="260"/>
      <c r="E27" s="258">
        <v>0.9</v>
      </c>
      <c r="F27" s="261" t="s">
        <v>2062</v>
      </c>
      <c r="G27" s="262"/>
      <c r="H27" s="233"/>
      <c r="I27" s="233"/>
    </row>
    <row r="28" spans="1:9" s="232" customFormat="1" ht="19.5" customHeight="1">
      <c r="A28" s="3098"/>
      <c r="B28" s="3098"/>
      <c r="C28" s="259" t="s">
        <v>2063</v>
      </c>
      <c r="D28" s="260"/>
      <c r="E28" s="258">
        <v>0.9</v>
      </c>
      <c r="F28" s="261" t="s">
        <v>2064</v>
      </c>
      <c r="G28" s="262"/>
      <c r="H28" s="233"/>
      <c r="I28" s="233"/>
    </row>
    <row r="29" spans="1:9" s="232" customFormat="1" ht="19.5" customHeight="1">
      <c r="A29" s="3098"/>
      <c r="B29" s="3098"/>
      <c r="C29" s="259" t="s">
        <v>2065</v>
      </c>
      <c r="D29" s="260"/>
      <c r="E29" s="258">
        <v>0.9</v>
      </c>
      <c r="F29" s="261" t="s">
        <v>2066</v>
      </c>
      <c r="G29" s="262"/>
      <c r="H29" s="233"/>
      <c r="I29" s="233"/>
    </row>
    <row r="30" spans="1:9" s="232" customFormat="1" ht="19.5" customHeight="1">
      <c r="A30" s="3098"/>
      <c r="B30" s="3098"/>
      <c r="C30" s="259" t="s">
        <v>2067</v>
      </c>
      <c r="D30" s="260"/>
      <c r="E30" s="258">
        <v>0.9</v>
      </c>
      <c r="F30" s="261" t="s">
        <v>2068</v>
      </c>
      <c r="G30" s="262"/>
      <c r="H30" s="233"/>
      <c r="I30" s="233"/>
    </row>
    <row r="31" spans="1:9" s="232" customFormat="1" ht="19.5" customHeight="1">
      <c r="A31" s="3098"/>
      <c r="B31" s="3098"/>
      <c r="C31" s="259" t="s">
        <v>2069</v>
      </c>
      <c r="D31" s="260"/>
      <c r="E31" s="258">
        <v>0.8</v>
      </c>
      <c r="F31" s="261" t="s">
        <v>2070</v>
      </c>
      <c r="G31" s="262"/>
      <c r="H31" s="233"/>
      <c r="I31" s="233"/>
    </row>
    <row r="32" spans="1:9" s="232" customFormat="1" ht="19.5" customHeight="1">
      <c r="A32" s="3098"/>
      <c r="B32" s="3098"/>
      <c r="C32" s="259" t="s">
        <v>2071</v>
      </c>
      <c r="D32" s="260"/>
      <c r="E32" s="258">
        <v>0.8</v>
      </c>
      <c r="F32" s="261" t="s">
        <v>2072</v>
      </c>
      <c r="G32" s="262"/>
      <c r="H32" s="233"/>
      <c r="I32" s="233"/>
    </row>
    <row r="33" spans="1:9" s="232" customFormat="1" ht="19.5" customHeight="1">
      <c r="A33" s="3098" t="s">
        <v>2073</v>
      </c>
      <c r="B33" s="258" t="s">
        <v>2045</v>
      </c>
      <c r="C33" s="259" t="s">
        <v>2074</v>
      </c>
      <c r="D33" s="260"/>
      <c r="E33" s="258">
        <v>1</v>
      </c>
      <c r="F33" s="261" t="s">
        <v>2075</v>
      </c>
      <c r="G33" s="262"/>
      <c r="H33" s="233"/>
      <c r="I33" s="233"/>
    </row>
    <row r="34" spans="1:9" s="232" customFormat="1" ht="19.5" customHeight="1">
      <c r="A34" s="3098"/>
      <c r="B34" s="258" t="s">
        <v>2048</v>
      </c>
      <c r="C34" s="259" t="s">
        <v>2076</v>
      </c>
      <c r="D34" s="260"/>
      <c r="E34" s="258">
        <v>1.5</v>
      </c>
      <c r="F34" s="261" t="s">
        <v>2077</v>
      </c>
      <c r="G34" s="262"/>
      <c r="H34" s="233"/>
      <c r="I34" s="233"/>
    </row>
    <row r="35" spans="1:9" s="232" customFormat="1" ht="19.5" customHeight="1">
      <c r="A35" s="3098" t="s">
        <v>1636</v>
      </c>
      <c r="B35" s="258" t="s">
        <v>2045</v>
      </c>
      <c r="C35" s="259" t="s">
        <v>2078</v>
      </c>
      <c r="D35" s="260"/>
      <c r="E35" s="258">
        <v>1</v>
      </c>
      <c r="F35" s="261" t="s">
        <v>2079</v>
      </c>
      <c r="G35" s="262"/>
      <c r="H35" s="233"/>
      <c r="I35" s="233"/>
    </row>
    <row r="36" spans="1:9" s="232" customFormat="1" ht="19.5" customHeight="1">
      <c r="A36" s="3098"/>
      <c r="B36" s="3098" t="s">
        <v>2048</v>
      </c>
      <c r="C36" s="259" t="s">
        <v>2080</v>
      </c>
      <c r="D36" s="260"/>
      <c r="E36" s="258">
        <v>1</v>
      </c>
      <c r="F36" s="261" t="s">
        <v>2081</v>
      </c>
      <c r="G36" s="262"/>
      <c r="H36" s="233"/>
      <c r="I36" s="233"/>
    </row>
    <row r="37" spans="1:9" s="232" customFormat="1" ht="19.5" customHeight="1">
      <c r="A37" s="3098"/>
      <c r="B37" s="3098"/>
      <c r="C37" s="259" t="s">
        <v>2082</v>
      </c>
      <c r="D37" s="260"/>
      <c r="E37" s="258">
        <v>1.5</v>
      </c>
      <c r="F37" s="261" t="s">
        <v>2083</v>
      </c>
      <c r="G37" s="262"/>
      <c r="H37" s="233"/>
      <c r="I37" s="233"/>
    </row>
    <row r="38" spans="1:9" s="232" customFormat="1" ht="19.5" customHeight="1">
      <c r="A38" s="3098"/>
      <c r="B38" s="3098"/>
      <c r="C38" s="259" t="s">
        <v>2084</v>
      </c>
      <c r="D38" s="260"/>
      <c r="E38" s="258">
        <v>1</v>
      </c>
      <c r="F38" s="261" t="s">
        <v>2085</v>
      </c>
      <c r="G38" s="262"/>
      <c r="H38" s="233"/>
      <c r="I38" s="233"/>
    </row>
    <row r="39" spans="1:9" s="232" customFormat="1" ht="19.5" customHeight="1">
      <c r="A39" s="3098"/>
      <c r="B39" s="3098"/>
      <c r="C39" s="259" t="s">
        <v>2086</v>
      </c>
      <c r="D39" s="260"/>
      <c r="E39" s="258">
        <v>1</v>
      </c>
      <c r="F39" s="261" t="s">
        <v>2087</v>
      </c>
      <c r="G39" s="262"/>
      <c r="H39" s="233"/>
      <c r="I39" s="233"/>
    </row>
    <row r="40" spans="1:9" s="232" customFormat="1" ht="19.5" customHeight="1">
      <c r="A40" s="263" t="s">
        <v>2088</v>
      </c>
      <c r="B40" s="263"/>
      <c r="C40" s="263"/>
      <c r="D40" s="263"/>
      <c r="E40" s="263"/>
      <c r="F40" s="264"/>
      <c r="G40" s="264"/>
      <c r="H40" s="233"/>
      <c r="I40" s="233"/>
    </row>
    <row r="42" spans="1:9" ht="19.5" customHeight="1">
      <c r="A42" s="265"/>
      <c r="B42" s="249" t="s">
        <v>2089</v>
      </c>
      <c r="C42" s="249" t="s">
        <v>2089</v>
      </c>
      <c r="D42" s="249" t="s">
        <v>2089</v>
      </c>
      <c r="E42" s="251" t="s">
        <v>2089</v>
      </c>
      <c r="F42" s="251" t="s">
        <v>2089</v>
      </c>
      <c r="G42" s="251" t="s">
        <v>2090</v>
      </c>
      <c r="H42" s="251" t="s">
        <v>2089</v>
      </c>
    </row>
    <row r="43" spans="1:9" ht="19.5" customHeight="1">
      <c r="A43" s="266"/>
      <c r="B43" s="251" t="s">
        <v>1634</v>
      </c>
      <c r="C43" s="251" t="s">
        <v>1634</v>
      </c>
      <c r="D43" s="251" t="s">
        <v>1634</v>
      </c>
      <c r="E43" s="251" t="s">
        <v>1634</v>
      </c>
      <c r="F43" s="249" t="s">
        <v>1635</v>
      </c>
      <c r="G43" s="249" t="s">
        <v>1636</v>
      </c>
      <c r="H43" s="249" t="s">
        <v>2091</v>
      </c>
    </row>
    <row r="44" spans="1:9" ht="19.5" customHeight="1">
      <c r="A44" s="267"/>
      <c r="B44" s="249">
        <v>1</v>
      </c>
      <c r="C44" s="249">
        <v>2</v>
      </c>
      <c r="D44" s="249">
        <v>3</v>
      </c>
      <c r="E44" s="251">
        <v>4</v>
      </c>
      <c r="F44" s="256" t="s">
        <v>2092</v>
      </c>
      <c r="G44" s="256" t="s">
        <v>2092</v>
      </c>
      <c r="H44" s="256" t="s">
        <v>2092</v>
      </c>
    </row>
    <row r="45" spans="1:9" ht="19.5" customHeight="1">
      <c r="A45" s="268" t="s">
        <v>1639</v>
      </c>
      <c r="B45" s="249">
        <v>0.8</v>
      </c>
      <c r="C45" s="249">
        <v>0.5</v>
      </c>
      <c r="D45" s="249">
        <v>0.36</v>
      </c>
      <c r="E45" s="249">
        <v>0.3</v>
      </c>
      <c r="F45" s="256">
        <v>0.3</v>
      </c>
      <c r="G45" s="249">
        <v>0.3</v>
      </c>
      <c r="H45" s="249">
        <v>0.25</v>
      </c>
    </row>
    <row r="46" spans="1:9" ht="19.5" customHeight="1">
      <c r="A46" s="268" t="s">
        <v>1645</v>
      </c>
      <c r="B46" s="249">
        <v>0.8</v>
      </c>
      <c r="C46" s="249">
        <v>0.5</v>
      </c>
      <c r="D46" s="249">
        <v>0.36</v>
      </c>
      <c r="E46" s="249">
        <v>0.3</v>
      </c>
      <c r="F46" s="249">
        <v>0.3</v>
      </c>
      <c r="G46" s="249">
        <v>0.3</v>
      </c>
      <c r="H46" s="249">
        <v>0.25</v>
      </c>
    </row>
    <row r="47" spans="1:9" ht="19.5" customHeight="1">
      <c r="A47" s="268" t="s">
        <v>1665</v>
      </c>
      <c r="B47" s="249">
        <v>0.7</v>
      </c>
      <c r="C47" s="249">
        <v>0.4</v>
      </c>
      <c r="D47" s="249">
        <v>0.28000000000000003</v>
      </c>
      <c r="E47" s="249">
        <v>0.25</v>
      </c>
      <c r="F47" s="249">
        <v>0.25</v>
      </c>
      <c r="G47" s="249">
        <v>0.25</v>
      </c>
      <c r="H47" s="249">
        <v>0.2</v>
      </c>
    </row>
    <row r="48" spans="1:9" ht="19.5" customHeight="1">
      <c r="A48" s="268" t="s">
        <v>1686</v>
      </c>
      <c r="B48" s="249">
        <v>0.7</v>
      </c>
      <c r="C48" s="249">
        <v>0.4</v>
      </c>
      <c r="D48" s="249">
        <v>0.28000000000000003</v>
      </c>
      <c r="E48" s="249">
        <v>0.25</v>
      </c>
      <c r="F48" s="249">
        <v>0.25</v>
      </c>
      <c r="G48" s="249">
        <v>0.25</v>
      </c>
      <c r="H48" s="249">
        <v>0.2</v>
      </c>
    </row>
    <row r="49" spans="1:8" s="233" customFormat="1" ht="19.5" customHeight="1">
      <c r="A49" s="268" t="s">
        <v>1714</v>
      </c>
      <c r="B49" s="249">
        <v>0.7</v>
      </c>
      <c r="C49" s="249">
        <v>0.4</v>
      </c>
      <c r="D49" s="249">
        <v>0.28000000000000003</v>
      </c>
      <c r="E49" s="249">
        <v>0.25</v>
      </c>
      <c r="F49" s="249">
        <v>0.25</v>
      </c>
      <c r="G49" s="249">
        <v>0.25</v>
      </c>
      <c r="H49" s="249">
        <v>0.2</v>
      </c>
    </row>
    <row r="50" spans="1:8" s="233" customFormat="1" ht="19.5" customHeight="1">
      <c r="A50" s="268" t="s">
        <v>1749</v>
      </c>
      <c r="B50" s="249">
        <v>0.7</v>
      </c>
      <c r="C50" s="249">
        <v>0.4</v>
      </c>
      <c r="D50" s="249">
        <v>0.28000000000000003</v>
      </c>
      <c r="E50" s="249">
        <v>0.25</v>
      </c>
      <c r="F50" s="249">
        <v>0.25</v>
      </c>
      <c r="G50" s="249">
        <v>0.25</v>
      </c>
      <c r="H50" s="249">
        <v>0.2</v>
      </c>
    </row>
    <row r="51" spans="1:8" s="233" customFormat="1" ht="19.5" customHeight="1">
      <c r="A51" s="268" t="s">
        <v>1798</v>
      </c>
      <c r="B51" s="249">
        <v>0.7</v>
      </c>
      <c r="C51" s="249">
        <v>0.4</v>
      </c>
      <c r="D51" s="249">
        <v>0.28000000000000003</v>
      </c>
      <c r="E51" s="249">
        <v>0.25</v>
      </c>
      <c r="F51" s="249">
        <v>0.25</v>
      </c>
      <c r="G51" s="249">
        <v>0.25</v>
      </c>
      <c r="H51" s="249">
        <v>0.2</v>
      </c>
    </row>
    <row r="52" spans="1:8" s="233" customFormat="1" ht="19.5" customHeight="1">
      <c r="A52" s="268" t="s">
        <v>1847</v>
      </c>
      <c r="B52" s="249">
        <v>0.6</v>
      </c>
      <c r="C52" s="249">
        <v>0.3</v>
      </c>
      <c r="D52" s="249">
        <v>0.2</v>
      </c>
      <c r="E52" s="249">
        <v>0.2</v>
      </c>
      <c r="F52" s="249">
        <v>0.2</v>
      </c>
      <c r="G52" s="249">
        <v>0.2</v>
      </c>
      <c r="H52" s="249">
        <v>0.15</v>
      </c>
    </row>
    <row r="53" spans="1:8" s="233" customFormat="1" ht="19.5" customHeight="1">
      <c r="A53" s="268" t="s">
        <v>1887</v>
      </c>
      <c r="B53" s="249">
        <v>0.6</v>
      </c>
      <c r="C53" s="249">
        <v>0.3</v>
      </c>
      <c r="D53" s="249">
        <v>0.2</v>
      </c>
      <c r="E53" s="249">
        <v>0.2</v>
      </c>
      <c r="F53" s="249">
        <v>0.2</v>
      </c>
      <c r="G53" s="249">
        <v>0.2</v>
      </c>
      <c r="H53" s="249">
        <v>0.15</v>
      </c>
    </row>
    <row r="54" spans="1:8" s="233" customFormat="1" ht="19.5" customHeight="1">
      <c r="A54" s="268" t="s">
        <v>1933</v>
      </c>
      <c r="B54" s="249">
        <v>0.6</v>
      </c>
      <c r="C54" s="249">
        <v>0.3</v>
      </c>
      <c r="D54" s="249">
        <v>0.2</v>
      </c>
      <c r="E54" s="249">
        <v>0.2</v>
      </c>
      <c r="F54" s="249">
        <v>0.2</v>
      </c>
      <c r="G54" s="249">
        <v>0.2</v>
      </c>
      <c r="H54" s="249">
        <v>0.15</v>
      </c>
    </row>
    <row r="55" spans="1:8" s="233" customFormat="1" ht="19.5" customHeight="1">
      <c r="A55" s="268" t="s">
        <v>1961</v>
      </c>
      <c r="B55" s="249">
        <v>0.6</v>
      </c>
      <c r="C55" s="249">
        <v>0.3</v>
      </c>
      <c r="D55" s="249">
        <v>0.2</v>
      </c>
      <c r="E55" s="249">
        <v>0.2</v>
      </c>
      <c r="F55" s="249">
        <v>0.2</v>
      </c>
      <c r="G55" s="249">
        <v>0.2</v>
      </c>
      <c r="H55" s="249">
        <v>0.15</v>
      </c>
    </row>
    <row r="56" spans="1:8" s="233" customFormat="1" ht="19.5" customHeight="1">
      <c r="A56" s="268" t="s">
        <v>1983</v>
      </c>
      <c r="B56" s="249">
        <v>0.6</v>
      </c>
      <c r="C56" s="249">
        <v>0.3</v>
      </c>
      <c r="D56" s="249">
        <v>0.2</v>
      </c>
      <c r="E56" s="249">
        <v>0.2</v>
      </c>
      <c r="F56" s="249">
        <v>0.2</v>
      </c>
      <c r="G56" s="249">
        <v>0.2</v>
      </c>
      <c r="H56" s="249">
        <v>0.15</v>
      </c>
    </row>
    <row r="58" spans="1:8" s="233" customFormat="1" ht="19.5" customHeight="1">
      <c r="A58" s="269"/>
      <c r="B58" s="253"/>
      <c r="C58" s="253"/>
      <c r="D58" s="253" t="s">
        <v>2093</v>
      </c>
      <c r="E58" s="253"/>
      <c r="F58" s="253"/>
    </row>
    <row r="59" spans="1:8" s="233" customFormat="1" ht="19.5" customHeight="1">
      <c r="A59" s="258" t="s">
        <v>2094</v>
      </c>
      <c r="B59" s="258" t="s">
        <v>2095</v>
      </c>
      <c r="C59" s="258" t="s">
        <v>2096</v>
      </c>
      <c r="D59" s="258" t="s">
        <v>2097</v>
      </c>
      <c r="E59" s="258" t="s">
        <v>2098</v>
      </c>
      <c r="F59" s="258" t="s">
        <v>2099</v>
      </c>
    </row>
    <row r="60" spans="1:8" ht="13.5">
      <c r="A60" s="258"/>
      <c r="B60" s="258"/>
      <c r="C60" s="258" t="s">
        <v>2100</v>
      </c>
      <c r="D60" s="258"/>
      <c r="E60" s="270" t="s">
        <v>121</v>
      </c>
      <c r="F60" s="258" t="s">
        <v>121</v>
      </c>
    </row>
    <row r="61" spans="1:8" s="233" customFormat="1" ht="24">
      <c r="A61" s="258">
        <v>1</v>
      </c>
      <c r="B61" s="3098" t="s">
        <v>2101</v>
      </c>
      <c r="C61" s="249" t="s">
        <v>2102</v>
      </c>
      <c r="D61" s="249" t="s">
        <v>2103</v>
      </c>
      <c r="E61" s="270">
        <v>0.5</v>
      </c>
      <c r="F61" s="258">
        <v>80</v>
      </c>
    </row>
    <row r="62" spans="1:8" s="233" customFormat="1" ht="24">
      <c r="A62" s="258">
        <v>2</v>
      </c>
      <c r="B62" s="3098"/>
      <c r="C62" s="249" t="s">
        <v>2104</v>
      </c>
      <c r="D62" s="249" t="s">
        <v>2105</v>
      </c>
      <c r="E62" s="270">
        <v>0.5</v>
      </c>
      <c r="F62" s="258">
        <v>80</v>
      </c>
    </row>
    <row r="63" spans="1:8" s="233" customFormat="1" ht="36">
      <c r="A63" s="258">
        <v>3</v>
      </c>
      <c r="B63" s="3098"/>
      <c r="C63" s="249" t="s">
        <v>2106</v>
      </c>
      <c r="D63" s="249" t="s">
        <v>2107</v>
      </c>
      <c r="E63" s="270">
        <v>0.5</v>
      </c>
      <c r="F63" s="258">
        <v>80</v>
      </c>
    </row>
    <row r="64" spans="1:8" s="233" customFormat="1" ht="36">
      <c r="A64" s="258">
        <v>4</v>
      </c>
      <c r="B64" s="3098"/>
      <c r="C64" s="249" t="s">
        <v>2108</v>
      </c>
      <c r="D64" s="249" t="s">
        <v>2109</v>
      </c>
      <c r="E64" s="270">
        <v>0.4</v>
      </c>
      <c r="F64" s="258">
        <v>60</v>
      </c>
    </row>
    <row r="65" spans="1:6" s="233" customFormat="1" ht="36">
      <c r="A65" s="258">
        <v>5</v>
      </c>
      <c r="B65" s="3098"/>
      <c r="C65" s="249" t="s">
        <v>2110</v>
      </c>
      <c r="D65" s="249" t="s">
        <v>2111</v>
      </c>
      <c r="E65" s="270">
        <v>0.2</v>
      </c>
      <c r="F65" s="258">
        <v>30</v>
      </c>
    </row>
    <row r="66" spans="1:6" s="233" customFormat="1" ht="36">
      <c r="A66" s="258">
        <v>6</v>
      </c>
      <c r="B66" s="3098"/>
      <c r="C66" s="249" t="s">
        <v>2112</v>
      </c>
      <c r="D66" s="249" t="s">
        <v>2113</v>
      </c>
      <c r="E66" s="270">
        <v>0.3</v>
      </c>
      <c r="F66" s="258">
        <v>50</v>
      </c>
    </row>
    <row r="67" spans="1:6" s="233" customFormat="1" ht="36">
      <c r="A67" s="258">
        <v>7</v>
      </c>
      <c r="B67" s="3098"/>
      <c r="C67" s="249" t="s">
        <v>2114</v>
      </c>
      <c r="D67" s="249" t="s">
        <v>2115</v>
      </c>
      <c r="E67" s="270">
        <v>0.2</v>
      </c>
      <c r="F67" s="258">
        <v>30</v>
      </c>
    </row>
    <row r="68" spans="1:6" s="233" customFormat="1" ht="36">
      <c r="A68" s="258">
        <v>8</v>
      </c>
      <c r="B68" s="3098"/>
      <c r="C68" s="249" t="s">
        <v>2116</v>
      </c>
      <c r="D68" s="249" t="s">
        <v>2117</v>
      </c>
      <c r="E68" s="270">
        <v>0.2</v>
      </c>
      <c r="F68" s="258">
        <v>30</v>
      </c>
    </row>
    <row r="69" spans="1:6" s="233" customFormat="1" ht="36">
      <c r="A69" s="258">
        <v>9</v>
      </c>
      <c r="B69" s="3098"/>
      <c r="C69" s="249" t="s">
        <v>2118</v>
      </c>
      <c r="D69" s="249" t="s">
        <v>2119</v>
      </c>
      <c r="E69" s="270">
        <v>0.2</v>
      </c>
      <c r="F69" s="258">
        <v>30</v>
      </c>
    </row>
    <row r="70" spans="1:6" s="233" customFormat="1" ht="48">
      <c r="A70" s="258">
        <v>10</v>
      </c>
      <c r="B70" s="3098"/>
      <c r="C70" s="249" t="s">
        <v>2120</v>
      </c>
      <c r="D70" s="249" t="s">
        <v>2121</v>
      </c>
      <c r="E70" s="270">
        <v>0.2</v>
      </c>
      <c r="F70" s="258">
        <v>30</v>
      </c>
    </row>
    <row r="71" spans="1:6" s="233" customFormat="1" ht="48">
      <c r="A71" s="258">
        <v>11</v>
      </c>
      <c r="B71" s="3098"/>
      <c r="C71" s="249" t="s">
        <v>2122</v>
      </c>
      <c r="D71" s="249" t="s">
        <v>2123</v>
      </c>
      <c r="E71" s="270">
        <v>0.2</v>
      </c>
      <c r="F71" s="258">
        <v>30</v>
      </c>
    </row>
    <row r="72" spans="1:6" s="233" customFormat="1" ht="36">
      <c r="A72" s="258">
        <v>12</v>
      </c>
      <c r="B72" s="3098"/>
      <c r="C72" s="249" t="s">
        <v>2124</v>
      </c>
      <c r="D72" s="249" t="s">
        <v>2125</v>
      </c>
      <c r="E72" s="270">
        <v>0.5</v>
      </c>
      <c r="F72" s="258">
        <v>80</v>
      </c>
    </row>
    <row r="73" spans="1:6" s="233" customFormat="1" ht="24">
      <c r="A73" s="258">
        <v>13</v>
      </c>
      <c r="B73" s="3098"/>
      <c r="C73" s="249" t="s">
        <v>2126</v>
      </c>
      <c r="D73" s="249" t="s">
        <v>2127</v>
      </c>
      <c r="E73" s="270">
        <v>0.4</v>
      </c>
      <c r="F73" s="258">
        <v>60</v>
      </c>
    </row>
    <row r="74" spans="1:6" s="233" customFormat="1" ht="24">
      <c r="A74" s="258">
        <v>14</v>
      </c>
      <c r="B74" s="3098"/>
      <c r="C74" s="249" t="s">
        <v>2128</v>
      </c>
      <c r="D74" s="249" t="s">
        <v>2129</v>
      </c>
      <c r="E74" s="270">
        <v>0.2</v>
      </c>
      <c r="F74" s="258">
        <v>30</v>
      </c>
    </row>
    <row r="75" spans="1:6" s="233" customFormat="1" ht="24">
      <c r="A75" s="258">
        <v>15</v>
      </c>
      <c r="B75" s="3098"/>
      <c r="C75" s="249" t="s">
        <v>2130</v>
      </c>
      <c r="D75" s="249" t="s">
        <v>2131</v>
      </c>
      <c r="E75" s="270">
        <v>0.2</v>
      </c>
      <c r="F75" s="258">
        <v>30</v>
      </c>
    </row>
    <row r="76" spans="1:6" s="233" customFormat="1" ht="24">
      <c r="A76" s="258">
        <v>16</v>
      </c>
      <c r="B76" s="3098" t="s">
        <v>2132</v>
      </c>
      <c r="C76" s="249" t="s">
        <v>2133</v>
      </c>
      <c r="D76" s="249" t="s">
        <v>2134</v>
      </c>
      <c r="E76" s="270">
        <v>0.5</v>
      </c>
      <c r="F76" s="258">
        <v>80</v>
      </c>
    </row>
    <row r="77" spans="1:6" s="233" customFormat="1" ht="24">
      <c r="A77" s="258">
        <v>17</v>
      </c>
      <c r="B77" s="3098"/>
      <c r="C77" s="249" t="s">
        <v>2135</v>
      </c>
      <c r="D77" s="249" t="s">
        <v>2136</v>
      </c>
      <c r="E77" s="270">
        <v>0.5</v>
      </c>
      <c r="F77" s="258">
        <v>80</v>
      </c>
    </row>
    <row r="78" spans="1:6" s="233" customFormat="1" ht="24">
      <c r="A78" s="258">
        <v>18</v>
      </c>
      <c r="B78" s="3098"/>
      <c r="C78" s="249" t="s">
        <v>2137</v>
      </c>
      <c r="D78" s="249" t="s">
        <v>2138</v>
      </c>
      <c r="E78" s="270">
        <v>0.2</v>
      </c>
      <c r="F78" s="258">
        <v>30</v>
      </c>
    </row>
    <row r="79" spans="1:6" s="233" customFormat="1" ht="24">
      <c r="A79" s="258">
        <v>19</v>
      </c>
      <c r="B79" s="3098"/>
      <c r="C79" s="249" t="s">
        <v>2139</v>
      </c>
      <c r="D79" s="249" t="s">
        <v>2140</v>
      </c>
      <c r="E79" s="270">
        <v>0.5</v>
      </c>
      <c r="F79" s="258">
        <v>80</v>
      </c>
    </row>
    <row r="80" spans="1:6" s="233" customFormat="1" ht="36">
      <c r="A80" s="258">
        <v>20</v>
      </c>
      <c r="B80" s="3098"/>
      <c r="C80" s="249" t="s">
        <v>2141</v>
      </c>
      <c r="D80" s="249" t="s">
        <v>2142</v>
      </c>
      <c r="E80" s="270">
        <v>0.2</v>
      </c>
      <c r="F80" s="258">
        <v>30</v>
      </c>
    </row>
    <row r="81" spans="1:6" s="233" customFormat="1" ht="36">
      <c r="A81" s="258">
        <v>21</v>
      </c>
      <c r="B81" s="3098"/>
      <c r="C81" s="249" t="s">
        <v>2143</v>
      </c>
      <c r="D81" s="249" t="s">
        <v>2144</v>
      </c>
      <c r="E81" s="270">
        <v>0.2</v>
      </c>
      <c r="F81" s="258">
        <v>30</v>
      </c>
    </row>
    <row r="82" spans="1:6" s="233" customFormat="1" ht="48">
      <c r="A82" s="258">
        <v>22</v>
      </c>
      <c r="B82" s="3098"/>
      <c r="C82" s="249" t="s">
        <v>2145</v>
      </c>
      <c r="D82" s="249" t="s">
        <v>2146</v>
      </c>
      <c r="E82" s="270">
        <v>0.2</v>
      </c>
      <c r="F82" s="258">
        <v>30</v>
      </c>
    </row>
    <row r="83" spans="1:6" s="233" customFormat="1" ht="48">
      <c r="A83" s="258">
        <v>23</v>
      </c>
      <c r="B83" s="3098"/>
      <c r="C83" s="249" t="s">
        <v>2147</v>
      </c>
      <c r="D83" s="249" t="s">
        <v>2148</v>
      </c>
      <c r="E83" s="270">
        <v>0.2</v>
      </c>
      <c r="F83" s="258">
        <v>30</v>
      </c>
    </row>
    <row r="84" spans="1:6" s="233" customFormat="1" ht="36">
      <c r="A84" s="258">
        <v>24</v>
      </c>
      <c r="B84" s="3098"/>
      <c r="C84" s="249" t="s">
        <v>2149</v>
      </c>
      <c r="D84" s="249" t="s">
        <v>2150</v>
      </c>
      <c r="E84" s="270">
        <v>0.2</v>
      </c>
      <c r="F84" s="258">
        <v>30</v>
      </c>
    </row>
    <row r="85" spans="1:6" s="233" customFormat="1" ht="36">
      <c r="A85" s="258">
        <v>25</v>
      </c>
      <c r="B85" s="3098"/>
      <c r="C85" s="249" t="s">
        <v>2151</v>
      </c>
      <c r="D85" s="249" t="s">
        <v>2152</v>
      </c>
      <c r="E85" s="270">
        <v>0.5</v>
      </c>
      <c r="F85" s="258">
        <v>80</v>
      </c>
    </row>
    <row r="86" spans="1:6" s="233" customFormat="1" ht="36">
      <c r="A86" s="258">
        <v>26</v>
      </c>
      <c r="B86" s="3098"/>
      <c r="C86" s="249" t="s">
        <v>2153</v>
      </c>
      <c r="D86" s="249" t="s">
        <v>2154</v>
      </c>
      <c r="E86" s="270">
        <v>0.2</v>
      </c>
      <c r="F86" s="258">
        <v>30</v>
      </c>
    </row>
    <row r="87" spans="1:6" s="233" customFormat="1" ht="36">
      <c r="A87" s="258">
        <v>27</v>
      </c>
      <c r="B87" s="3098"/>
      <c r="C87" s="249" t="s">
        <v>2155</v>
      </c>
      <c r="D87" s="249" t="s">
        <v>2156</v>
      </c>
      <c r="E87" s="270">
        <v>0.2</v>
      </c>
      <c r="F87" s="258">
        <v>30</v>
      </c>
    </row>
    <row r="88" spans="1:6" s="233" customFormat="1" ht="36">
      <c r="A88" s="258">
        <v>28</v>
      </c>
      <c r="B88" s="3098"/>
      <c r="C88" s="249" t="s">
        <v>2157</v>
      </c>
      <c r="D88" s="249" t="s">
        <v>2158</v>
      </c>
      <c r="E88" s="270">
        <v>0.2</v>
      </c>
      <c r="F88" s="258">
        <v>30</v>
      </c>
    </row>
    <row r="89" spans="1:6" s="233" customFormat="1" ht="24">
      <c r="A89" s="258">
        <v>29</v>
      </c>
      <c r="B89" s="3098"/>
      <c r="C89" s="249" t="s">
        <v>2159</v>
      </c>
      <c r="D89" s="249" t="s">
        <v>2160</v>
      </c>
      <c r="E89" s="270">
        <v>0.2</v>
      </c>
      <c r="F89" s="258">
        <v>30</v>
      </c>
    </row>
    <row r="90" spans="1:6" s="233" customFormat="1" ht="24">
      <c r="A90" s="258">
        <v>30</v>
      </c>
      <c r="B90" s="3098"/>
      <c r="C90" s="249" t="s">
        <v>2161</v>
      </c>
      <c r="D90" s="249" t="s">
        <v>2162</v>
      </c>
      <c r="E90" s="270">
        <v>0.2</v>
      </c>
      <c r="F90" s="258">
        <v>30</v>
      </c>
    </row>
    <row r="91" spans="1:6" s="233" customFormat="1" ht="36">
      <c r="A91" s="258">
        <v>31</v>
      </c>
      <c r="B91" s="3098"/>
      <c r="C91" s="249" t="s">
        <v>2163</v>
      </c>
      <c r="D91" s="249" t="s">
        <v>2164</v>
      </c>
      <c r="E91" s="270">
        <v>0.2</v>
      </c>
      <c r="F91" s="258">
        <v>30</v>
      </c>
    </row>
    <row r="92" spans="1:6" s="233" customFormat="1" ht="24">
      <c r="A92" s="258">
        <v>32</v>
      </c>
      <c r="B92" s="3098" t="s">
        <v>2165</v>
      </c>
      <c r="C92" s="258" t="s">
        <v>2166</v>
      </c>
      <c r="D92" s="249" t="s">
        <v>2167</v>
      </c>
      <c r="E92" s="270">
        <v>0.2</v>
      </c>
      <c r="F92" s="258">
        <v>30</v>
      </c>
    </row>
    <row r="93" spans="1:6" s="233" customFormat="1" ht="36">
      <c r="A93" s="258">
        <v>33</v>
      </c>
      <c r="B93" s="3098"/>
      <c r="C93" s="258" t="s">
        <v>2168</v>
      </c>
      <c r="D93" s="249" t="s">
        <v>2169</v>
      </c>
      <c r="E93" s="270">
        <v>0.2</v>
      </c>
      <c r="F93" s="258">
        <v>30</v>
      </c>
    </row>
    <row r="94" spans="1:6" s="233" customFormat="1" ht="48">
      <c r="A94" s="258">
        <v>34</v>
      </c>
      <c r="B94" s="3098"/>
      <c r="C94" s="258" t="s">
        <v>2170</v>
      </c>
      <c r="D94" s="249" t="s">
        <v>2171</v>
      </c>
      <c r="E94" s="270">
        <v>0.2</v>
      </c>
      <c r="F94" s="258">
        <v>30</v>
      </c>
    </row>
    <row r="95" spans="1:6" s="233" customFormat="1" ht="36">
      <c r="A95" s="258">
        <v>35</v>
      </c>
      <c r="B95" s="3098"/>
      <c r="C95" s="258" t="s">
        <v>2172</v>
      </c>
      <c r="D95" s="249" t="s">
        <v>2173</v>
      </c>
      <c r="E95" s="270">
        <v>0.2</v>
      </c>
      <c r="F95" s="258">
        <v>30</v>
      </c>
    </row>
    <row r="96" spans="1:6" s="233" customFormat="1" ht="48">
      <c r="A96" s="258">
        <v>36</v>
      </c>
      <c r="B96" s="3098"/>
      <c r="C96" s="249" t="s">
        <v>2174</v>
      </c>
      <c r="D96" s="249" t="s">
        <v>2175</v>
      </c>
      <c r="E96" s="270">
        <v>0.2</v>
      </c>
      <c r="F96" s="258">
        <v>30</v>
      </c>
    </row>
    <row r="97" spans="1:6" s="233" customFormat="1" ht="36">
      <c r="A97" s="258">
        <v>37</v>
      </c>
      <c r="B97" s="3098"/>
      <c r="C97" s="258" t="s">
        <v>2176</v>
      </c>
      <c r="D97" s="249" t="s">
        <v>2177</v>
      </c>
      <c r="E97" s="270">
        <v>0.2</v>
      </c>
      <c r="F97" s="258">
        <v>30</v>
      </c>
    </row>
    <row r="98" spans="1:6" s="233" customFormat="1" ht="36">
      <c r="A98" s="258">
        <v>38</v>
      </c>
      <c r="B98" s="3098"/>
      <c r="C98" s="258" t="s">
        <v>2178</v>
      </c>
      <c r="D98" s="249" t="s">
        <v>2179</v>
      </c>
      <c r="E98" s="270">
        <v>0.2</v>
      </c>
      <c r="F98" s="258">
        <v>30</v>
      </c>
    </row>
    <row r="99" spans="1:6" s="233" customFormat="1" ht="36">
      <c r="A99" s="258">
        <v>39</v>
      </c>
      <c r="B99" s="3098" t="s">
        <v>2180</v>
      </c>
      <c r="C99" s="258" t="s">
        <v>2181</v>
      </c>
      <c r="D99" s="249" t="s">
        <v>2182</v>
      </c>
      <c r="E99" s="270">
        <v>0.3</v>
      </c>
      <c r="F99" s="258">
        <v>50</v>
      </c>
    </row>
    <row r="100" spans="1:6" s="233" customFormat="1" ht="24">
      <c r="A100" s="258">
        <v>40</v>
      </c>
      <c r="B100" s="3098"/>
      <c r="C100" s="258" t="s">
        <v>2183</v>
      </c>
      <c r="D100" s="249" t="s">
        <v>2184</v>
      </c>
      <c r="E100" s="270">
        <v>0.2</v>
      </c>
      <c r="F100" s="258">
        <v>30</v>
      </c>
    </row>
    <row r="101" spans="1:6" s="233" customFormat="1" ht="36">
      <c r="A101" s="258">
        <v>41</v>
      </c>
      <c r="B101" s="3098"/>
      <c r="C101" s="258" t="s">
        <v>2185</v>
      </c>
      <c r="D101" s="249" t="s">
        <v>2182</v>
      </c>
      <c r="E101" s="270">
        <v>0.2</v>
      </c>
      <c r="F101" s="258">
        <v>30</v>
      </c>
    </row>
    <row r="102" spans="1:6" s="233" customFormat="1" ht="48">
      <c r="A102" s="258">
        <v>42</v>
      </c>
      <c r="B102" s="258" t="s">
        <v>2186</v>
      </c>
      <c r="C102" s="249" t="s">
        <v>2187</v>
      </c>
      <c r="D102" s="249" t="s">
        <v>2188</v>
      </c>
      <c r="E102" s="270">
        <v>0.2</v>
      </c>
      <c r="F102" s="258">
        <v>30</v>
      </c>
    </row>
    <row r="103" spans="1:6" s="233" customFormat="1" ht="24">
      <c r="A103" s="258">
        <v>43</v>
      </c>
      <c r="B103" s="258" t="s">
        <v>2189</v>
      </c>
      <c r="C103" s="258" t="s">
        <v>2190</v>
      </c>
      <c r="D103" s="249" t="s">
        <v>2191</v>
      </c>
      <c r="E103" s="270">
        <v>0.2</v>
      </c>
      <c r="F103" s="258">
        <v>30</v>
      </c>
    </row>
    <row r="104" spans="1:6" s="233" customFormat="1" ht="36">
      <c r="A104" s="258">
        <v>44</v>
      </c>
      <c r="B104" s="258" t="s">
        <v>2192</v>
      </c>
      <c r="C104" s="258" t="s">
        <v>2193</v>
      </c>
      <c r="D104" s="249" t="s">
        <v>2194</v>
      </c>
      <c r="E104" s="270">
        <v>0.2</v>
      </c>
      <c r="F104" s="258">
        <v>30</v>
      </c>
    </row>
    <row r="105" spans="1:6" s="233" customFormat="1" ht="36">
      <c r="A105" s="258">
        <v>45</v>
      </c>
      <c r="B105" s="3098" t="s">
        <v>2195</v>
      </c>
      <c r="C105" s="258" t="s">
        <v>2196</v>
      </c>
      <c r="D105" s="249" t="s">
        <v>2197</v>
      </c>
      <c r="E105" s="270">
        <v>0.2</v>
      </c>
      <c r="F105" s="258">
        <v>30</v>
      </c>
    </row>
    <row r="106" spans="1:6" s="233" customFormat="1" ht="36">
      <c r="A106" s="258">
        <v>46</v>
      </c>
      <c r="B106" s="3098"/>
      <c r="C106" s="258" t="s">
        <v>2198</v>
      </c>
      <c r="D106" s="249" t="s">
        <v>2199</v>
      </c>
      <c r="E106" s="270">
        <v>0.2</v>
      </c>
      <c r="F106" s="258">
        <v>30</v>
      </c>
    </row>
    <row r="107" spans="1:6" s="233" customFormat="1" ht="36">
      <c r="A107" s="258">
        <v>47</v>
      </c>
      <c r="B107" s="3098" t="s">
        <v>2200</v>
      </c>
      <c r="C107" s="258" t="s">
        <v>2201</v>
      </c>
      <c r="D107" s="249" t="s">
        <v>2202</v>
      </c>
      <c r="E107" s="270">
        <v>0.3</v>
      </c>
      <c r="F107" s="258">
        <v>50</v>
      </c>
    </row>
    <row r="108" spans="1:6" s="233" customFormat="1" ht="36">
      <c r="A108" s="258">
        <v>48</v>
      </c>
      <c r="B108" s="3098"/>
      <c r="C108" s="258" t="s">
        <v>2203</v>
      </c>
      <c r="D108" s="249" t="s">
        <v>2204</v>
      </c>
      <c r="E108" s="270">
        <v>0.2</v>
      </c>
      <c r="F108" s="258">
        <v>30</v>
      </c>
    </row>
    <row r="109" spans="1:6" s="233" customFormat="1" ht="36">
      <c r="A109" s="258">
        <v>49</v>
      </c>
      <c r="B109" s="258" t="s">
        <v>2205</v>
      </c>
      <c r="C109" s="258" t="s">
        <v>2206</v>
      </c>
      <c r="D109" s="249" t="s">
        <v>2207</v>
      </c>
      <c r="E109" s="270">
        <v>0.2</v>
      </c>
      <c r="F109" s="258">
        <v>30</v>
      </c>
    </row>
    <row r="110" spans="1:6" s="233" customFormat="1" ht="36">
      <c r="A110" s="258">
        <v>50</v>
      </c>
      <c r="B110" s="258" t="s">
        <v>2208</v>
      </c>
      <c r="C110" s="258" t="s">
        <v>2209</v>
      </c>
      <c r="D110" s="249" t="s">
        <v>2210</v>
      </c>
      <c r="E110" s="270">
        <v>0.2</v>
      </c>
      <c r="F110" s="258">
        <v>30</v>
      </c>
    </row>
    <row r="111" spans="1:6" s="233" customFormat="1" ht="36">
      <c r="A111" s="258">
        <v>51</v>
      </c>
      <c r="B111" s="3098" t="s">
        <v>2211</v>
      </c>
      <c r="C111" s="258" t="s">
        <v>2212</v>
      </c>
      <c r="D111" s="249" t="s">
        <v>2213</v>
      </c>
      <c r="E111" s="270">
        <v>0.2</v>
      </c>
      <c r="F111" s="258">
        <v>30</v>
      </c>
    </row>
    <row r="112" spans="1:6" s="233" customFormat="1" ht="24">
      <c r="A112" s="258">
        <v>52</v>
      </c>
      <c r="B112" s="3098"/>
      <c r="C112" s="258" t="s">
        <v>2214</v>
      </c>
      <c r="D112" s="249" t="s">
        <v>2215</v>
      </c>
      <c r="E112" s="270">
        <v>0.2</v>
      </c>
      <c r="F112" s="258">
        <v>30</v>
      </c>
    </row>
    <row r="113" spans="1:6" s="233" customFormat="1" ht="24">
      <c r="A113" s="258">
        <v>53</v>
      </c>
      <c r="B113" s="3098"/>
      <c r="C113" s="258" t="s">
        <v>2216</v>
      </c>
      <c r="D113" s="249" t="s">
        <v>2217</v>
      </c>
      <c r="E113" s="270">
        <v>0.2</v>
      </c>
      <c r="F113" s="258">
        <v>30</v>
      </c>
    </row>
    <row r="114" spans="1:6" ht="36">
      <c r="A114" s="258">
        <v>54</v>
      </c>
      <c r="B114" s="258" t="s">
        <v>2218</v>
      </c>
      <c r="C114" s="258" t="s">
        <v>2219</v>
      </c>
      <c r="D114" s="249" t="s">
        <v>2220</v>
      </c>
      <c r="E114" s="270">
        <v>0.2</v>
      </c>
      <c r="F114" s="258">
        <v>30</v>
      </c>
    </row>
    <row r="115" spans="1:6" ht="24">
      <c r="A115" s="258">
        <v>55</v>
      </c>
      <c r="B115" s="258" t="s">
        <v>2221</v>
      </c>
      <c r="C115" s="258" t="s">
        <v>2222</v>
      </c>
      <c r="D115" s="249" t="s">
        <v>2223</v>
      </c>
      <c r="E115" s="270">
        <v>0.2</v>
      </c>
      <c r="F115" s="258">
        <v>30</v>
      </c>
    </row>
    <row r="116" spans="1:6" ht="24">
      <c r="A116" s="258">
        <v>56</v>
      </c>
      <c r="B116" s="3098" t="s">
        <v>2224</v>
      </c>
      <c r="C116" s="258" t="s">
        <v>2225</v>
      </c>
      <c r="D116" s="249" t="s">
        <v>2226</v>
      </c>
      <c r="E116" s="270">
        <v>0.2</v>
      </c>
      <c r="F116" s="258">
        <v>30</v>
      </c>
    </row>
    <row r="117" spans="1:6" ht="36">
      <c r="A117" s="258">
        <v>57</v>
      </c>
      <c r="B117" s="3098"/>
      <c r="C117" s="258" t="s">
        <v>2227</v>
      </c>
      <c r="D117" s="249" t="s">
        <v>2228</v>
      </c>
      <c r="E117" s="270">
        <v>0.2</v>
      </c>
      <c r="F117" s="258">
        <v>30</v>
      </c>
    </row>
    <row r="118" spans="1:6" ht="36">
      <c r="A118" s="258">
        <v>58</v>
      </c>
      <c r="B118" s="258" t="s">
        <v>2229</v>
      </c>
      <c r="C118" s="258" t="s">
        <v>2230</v>
      </c>
      <c r="D118" s="249" t="s">
        <v>2231</v>
      </c>
      <c r="E118" s="270">
        <v>0.2</v>
      </c>
      <c r="F118" s="258">
        <v>30</v>
      </c>
    </row>
    <row r="119" spans="1:6" ht="13.5">
      <c r="A119" s="258"/>
      <c r="B119" s="258"/>
      <c r="C119" s="258" t="s">
        <v>2100</v>
      </c>
      <c r="D119" s="258"/>
      <c r="E119" s="270" t="s">
        <v>121</v>
      </c>
      <c r="F119" s="25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2232</v>
      </c>
      <c r="B1" s="224"/>
      <c r="C1" s="224"/>
      <c r="D1" s="224"/>
      <c r="E1" s="224"/>
      <c r="F1" s="224"/>
      <c r="G1" s="224"/>
      <c r="H1" s="224"/>
      <c r="I1" s="224"/>
      <c r="J1" s="224"/>
      <c r="K1" s="224"/>
      <c r="L1" s="224"/>
      <c r="M1" s="224"/>
      <c r="N1" s="224"/>
    </row>
    <row r="2" spans="1:14">
      <c r="A2" s="225" t="s">
        <v>2233</v>
      </c>
      <c r="B2" s="226" t="s">
        <v>1639</v>
      </c>
      <c r="C2" s="226" t="s">
        <v>1645</v>
      </c>
      <c r="D2" s="226" t="s">
        <v>1665</v>
      </c>
      <c r="E2" s="226" t="s">
        <v>1686</v>
      </c>
      <c r="F2" s="226" t="s">
        <v>1714</v>
      </c>
      <c r="G2" s="226" t="s">
        <v>1749</v>
      </c>
      <c r="H2" s="227" t="s">
        <v>1798</v>
      </c>
      <c r="I2" s="227" t="s">
        <v>1847</v>
      </c>
      <c r="J2" s="230" t="s">
        <v>1887</v>
      </c>
      <c r="K2" s="230" t="s">
        <v>1933</v>
      </c>
      <c r="L2" s="230" t="s">
        <v>1961</v>
      </c>
      <c r="M2" s="230" t="s">
        <v>1983</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2234</v>
      </c>
      <c r="B103" s="224"/>
      <c r="C103" s="224"/>
      <c r="D103" s="224"/>
      <c r="E103" s="224"/>
      <c r="F103" s="224"/>
      <c r="G103" s="224"/>
      <c r="H103" s="224"/>
      <c r="I103" s="224"/>
      <c r="J103" s="224"/>
      <c r="K103" s="224"/>
      <c r="L103" s="224"/>
      <c r="M103" s="224"/>
      <c r="N103" s="224"/>
    </row>
    <row r="104" spans="1:14" ht="14.25">
      <c r="A104" s="225" t="s">
        <v>2233</v>
      </c>
      <c r="B104" s="226" t="s">
        <v>1639</v>
      </c>
      <c r="C104" s="226" t="s">
        <v>1645</v>
      </c>
      <c r="D104" s="226" t="s">
        <v>1665</v>
      </c>
      <c r="E104" s="226" t="s">
        <v>1686</v>
      </c>
      <c r="F104" s="226" t="s">
        <v>1714</v>
      </c>
      <c r="G104" s="226" t="s">
        <v>1749</v>
      </c>
      <c r="H104" s="227" t="s">
        <v>1798</v>
      </c>
      <c r="I104" s="227" t="s">
        <v>1847</v>
      </c>
      <c r="J104" s="230" t="s">
        <v>1887</v>
      </c>
      <c r="K104" s="230" t="s">
        <v>1933</v>
      </c>
      <c r="L104" s="230" t="s">
        <v>1961</v>
      </c>
      <c r="M104" s="230" t="s">
        <v>1983</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2235</v>
      </c>
      <c r="B205" s="224"/>
      <c r="C205" s="224"/>
      <c r="D205" s="224"/>
      <c r="E205" s="224"/>
      <c r="F205" s="224"/>
      <c r="G205" s="224"/>
      <c r="H205" s="224"/>
      <c r="I205" s="224"/>
      <c r="J205" s="224"/>
      <c r="K205" s="224"/>
      <c r="L205" s="224"/>
      <c r="M205" s="224"/>
    </row>
    <row r="206" spans="1:13">
      <c r="A206" s="225" t="s">
        <v>2233</v>
      </c>
      <c r="B206" s="226" t="s">
        <v>1639</v>
      </c>
      <c r="C206" s="226" t="s">
        <v>1645</v>
      </c>
      <c r="D206" s="226" t="s">
        <v>1665</v>
      </c>
      <c r="E206" s="226" t="s">
        <v>1686</v>
      </c>
      <c r="F206" s="226" t="s">
        <v>1714</v>
      </c>
      <c r="G206" s="226" t="s">
        <v>1749</v>
      </c>
      <c r="H206" s="227" t="s">
        <v>1798</v>
      </c>
      <c r="I206" s="227" t="s">
        <v>1847</v>
      </c>
      <c r="J206" s="230" t="s">
        <v>1887</v>
      </c>
      <c r="K206" s="230" t="s">
        <v>1933</v>
      </c>
      <c r="L206" s="230" t="s">
        <v>1961</v>
      </c>
      <c r="M206" s="230" t="s">
        <v>1983</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2236</v>
      </c>
      <c r="B307" s="224"/>
      <c r="C307" s="224"/>
      <c r="D307" s="224"/>
      <c r="E307" s="224"/>
      <c r="F307" s="224"/>
      <c r="G307" s="224"/>
      <c r="H307" s="224"/>
      <c r="I307" s="224"/>
      <c r="J307" s="224"/>
      <c r="K307" s="224"/>
      <c r="L307" s="224"/>
      <c r="M307" s="224"/>
    </row>
    <row r="308" spans="1:13">
      <c r="A308" s="225" t="s">
        <v>2233</v>
      </c>
      <c r="B308" s="226" t="s">
        <v>1639</v>
      </c>
      <c r="C308" s="226" t="s">
        <v>1645</v>
      </c>
      <c r="D308" s="226" t="s">
        <v>1665</v>
      </c>
      <c r="E308" s="226" t="s">
        <v>1686</v>
      </c>
      <c r="F308" s="226" t="s">
        <v>1714</v>
      </c>
      <c r="G308" s="226" t="s">
        <v>1749</v>
      </c>
      <c r="H308" s="227" t="s">
        <v>1798</v>
      </c>
      <c r="I308" s="227" t="s">
        <v>1847</v>
      </c>
      <c r="J308" s="230" t="s">
        <v>1887</v>
      </c>
      <c r="K308" s="230" t="s">
        <v>1933</v>
      </c>
      <c r="L308" s="230" t="s">
        <v>1961</v>
      </c>
      <c r="M308" s="230" t="s">
        <v>1983</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9" t="s">
        <v>2237</v>
      </c>
      <c r="C1" s="3109"/>
      <c r="D1" s="3109"/>
      <c r="E1" s="3109"/>
      <c r="F1" s="3109"/>
      <c r="G1" s="3106" t="s">
        <v>2238</v>
      </c>
      <c r="H1" s="3106"/>
      <c r="I1" s="3106"/>
      <c r="J1" s="3106"/>
      <c r="K1" s="3106"/>
      <c r="L1" s="3106"/>
      <c r="N1" s="3106" t="s">
        <v>2239</v>
      </c>
      <c r="O1" s="3106"/>
      <c r="P1" s="3106"/>
      <c r="Q1" s="3106"/>
      <c r="R1" s="80"/>
      <c r="S1" s="3106" t="s">
        <v>2240</v>
      </c>
      <c r="T1" s="3106"/>
      <c r="U1" s="3106"/>
      <c r="V1" s="3106"/>
      <c r="X1" s="3105" t="s">
        <v>2241</v>
      </c>
      <c r="Y1" s="3106"/>
      <c r="Z1" s="3106"/>
      <c r="AA1" s="3106"/>
      <c r="AB1" s="3106"/>
      <c r="AD1" s="3105" t="s">
        <v>2242</v>
      </c>
      <c r="AE1" s="3106"/>
      <c r="AF1" s="3106"/>
      <c r="AG1" s="3106"/>
      <c r="AH1" s="3106"/>
    </row>
    <row r="2" spans="1:34" s="69" customFormat="1" ht="13.5">
      <c r="B2" s="81" t="s">
        <v>2243</v>
      </c>
      <c r="C2" s="81" t="s">
        <v>2244</v>
      </c>
      <c r="D2" s="82" t="s">
        <v>1635</v>
      </c>
      <c r="E2" s="82" t="s">
        <v>369</v>
      </c>
      <c r="F2" s="81" t="s">
        <v>2245</v>
      </c>
      <c r="G2" s="83"/>
      <c r="H2" s="84"/>
      <c r="I2" s="81" t="s">
        <v>2243</v>
      </c>
      <c r="J2" s="82" t="s">
        <v>2246</v>
      </c>
      <c r="K2" s="82" t="s">
        <v>369</v>
      </c>
      <c r="L2" s="81" t="s">
        <v>2245</v>
      </c>
      <c r="N2" s="81" t="s">
        <v>2243</v>
      </c>
      <c r="O2" s="82" t="s">
        <v>2246</v>
      </c>
      <c r="P2" s="82" t="s">
        <v>369</v>
      </c>
      <c r="Q2" s="81" t="s">
        <v>2245</v>
      </c>
      <c r="R2" s="160"/>
      <c r="S2" s="81" t="s">
        <v>2243</v>
      </c>
      <c r="T2" s="82" t="s">
        <v>2246</v>
      </c>
      <c r="U2" s="82" t="s">
        <v>369</v>
      </c>
      <c r="V2" s="81" t="s">
        <v>2245</v>
      </c>
      <c r="X2" s="81" t="s">
        <v>2243</v>
      </c>
      <c r="Y2" s="81" t="s">
        <v>2244</v>
      </c>
      <c r="Z2" s="82" t="s">
        <v>1635</v>
      </c>
      <c r="AA2" s="82" t="s">
        <v>369</v>
      </c>
      <c r="AB2" s="81" t="s">
        <v>2245</v>
      </c>
      <c r="AD2" s="81" t="s">
        <v>2243</v>
      </c>
      <c r="AE2" s="81" t="s">
        <v>2244</v>
      </c>
      <c r="AF2" s="82" t="s">
        <v>1635</v>
      </c>
      <c r="AG2" s="82" t="s">
        <v>369</v>
      </c>
      <c r="AH2" s="81" t="s">
        <v>2245</v>
      </c>
    </row>
    <row r="3" spans="1:34" s="70" customFormat="1" ht="14.25">
      <c r="A3" s="85" t="s">
        <v>2247</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2248</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2249</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2250</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2251</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2252</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0">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2253</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0"/>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2254</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0"/>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2255</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7"/>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2256</v>
      </c>
      <c r="B12" s="103">
        <v>439</v>
      </c>
      <c r="C12" s="103">
        <v>327</v>
      </c>
      <c r="D12" s="103">
        <f t="shared" si="59"/>
        <v>327</v>
      </c>
      <c r="E12" s="103">
        <v>627</v>
      </c>
      <c r="F12" s="104">
        <v>283</v>
      </c>
      <c r="G12" s="3108">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2257</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0"/>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2258</v>
      </c>
      <c r="B14" s="105">
        <f t="shared" si="47"/>
        <v>419.31181600000002</v>
      </c>
      <c r="C14" s="105">
        <f t="shared" ref="C14" si="76">C15*(1+O14)</f>
        <v>313.95436799999999</v>
      </c>
      <c r="D14" s="105">
        <f t="shared" si="59"/>
        <v>313.95436799999999</v>
      </c>
      <c r="E14" s="105">
        <f t="shared" si="72"/>
        <v>596.63028431999999</v>
      </c>
      <c r="F14" s="105">
        <f t="shared" si="72"/>
        <v>274.74220703999998</v>
      </c>
      <c r="G14" s="3100"/>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2259</v>
      </c>
      <c r="B15" s="105">
        <f t="shared" si="47"/>
        <v>405.524</v>
      </c>
      <c r="C15" s="105">
        <f t="shared" ref="C15" si="80">C16*(1+O15)</f>
        <v>307.79840000000002</v>
      </c>
      <c r="D15" s="105">
        <f t="shared" si="59"/>
        <v>307.79840000000002</v>
      </c>
      <c r="E15" s="105">
        <f t="shared" si="72"/>
        <v>574.67759999999998</v>
      </c>
      <c r="F15" s="105">
        <f t="shared" si="72"/>
        <v>270.20280000000002</v>
      </c>
      <c r="G15" s="3107"/>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2260</v>
      </c>
      <c r="B16" s="103">
        <v>392</v>
      </c>
      <c r="C16" s="103">
        <v>302</v>
      </c>
      <c r="D16" s="103">
        <f t="shared" si="59"/>
        <v>302</v>
      </c>
      <c r="E16" s="103">
        <v>553</v>
      </c>
      <c r="F16" s="104">
        <v>266</v>
      </c>
      <c r="G16" s="3108">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2261</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0"/>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2262</v>
      </c>
      <c r="B18" s="105">
        <f t="shared" si="83"/>
        <v>360.06949782209398</v>
      </c>
      <c r="C18" s="105">
        <f t="shared" si="83"/>
        <v>289.84672674747799</v>
      </c>
      <c r="D18" s="105">
        <f t="shared" si="84"/>
        <v>289.84672674747799</v>
      </c>
      <c r="E18" s="105">
        <f t="shared" si="85"/>
        <v>501.06543001181501</v>
      </c>
      <c r="F18" s="105">
        <f t="shared" si="85"/>
        <v>256.82882500745001</v>
      </c>
      <c r="G18" s="3100"/>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2263</v>
      </c>
      <c r="B19" s="105">
        <f t="shared" si="83"/>
        <v>346.720748986128</v>
      </c>
      <c r="C19" s="105">
        <f t="shared" si="83"/>
        <v>284.30282172386302</v>
      </c>
      <c r="D19" s="105">
        <f t="shared" si="84"/>
        <v>284.30282172386302</v>
      </c>
      <c r="E19" s="105">
        <f t="shared" si="85"/>
        <v>479.58023546306902</v>
      </c>
      <c r="F19" s="105">
        <f t="shared" si="85"/>
        <v>253.25788877571199</v>
      </c>
      <c r="G19" s="3101"/>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2264</v>
      </c>
      <c r="B20" s="103">
        <v>333</v>
      </c>
      <c r="C20" s="103">
        <v>277</v>
      </c>
      <c r="D20" s="103">
        <f t="shared" si="84"/>
        <v>277</v>
      </c>
      <c r="E20" s="103">
        <v>459</v>
      </c>
      <c r="F20" s="104">
        <v>249</v>
      </c>
      <c r="G20" s="3099">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2265</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0"/>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2266</v>
      </c>
      <c r="B22" s="105">
        <f t="shared" si="87"/>
        <v>322.34053690220799</v>
      </c>
      <c r="C22" s="105">
        <f t="shared" si="87"/>
        <v>271.461607704225</v>
      </c>
      <c r="D22" s="105">
        <f t="shared" si="84"/>
        <v>271.461607704225</v>
      </c>
      <c r="E22" s="105">
        <f t="shared" si="88"/>
        <v>442.69434542172502</v>
      </c>
      <c r="F22" s="105">
        <f t="shared" si="88"/>
        <v>241.34030753190899</v>
      </c>
      <c r="G22" s="3100"/>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2267</v>
      </c>
      <c r="B23" s="105">
        <f t="shared" si="87"/>
        <v>319.87748030386803</v>
      </c>
      <c r="C23" s="105">
        <f t="shared" si="87"/>
        <v>269.60135833173598</v>
      </c>
      <c r="D23" s="105">
        <f t="shared" si="84"/>
        <v>269.60135833173598</v>
      </c>
      <c r="E23" s="105">
        <f t="shared" si="88"/>
        <v>439.18089823583801</v>
      </c>
      <c r="F23" s="105">
        <f t="shared" si="88"/>
        <v>239.23503918706299</v>
      </c>
      <c r="G23" s="3101"/>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2268</v>
      </c>
      <c r="B24" s="109">
        <v>318</v>
      </c>
      <c r="C24" s="109">
        <v>268</v>
      </c>
      <c r="D24" s="109">
        <f t="shared" si="84"/>
        <v>268</v>
      </c>
      <c r="E24" s="109">
        <v>437</v>
      </c>
      <c r="F24" s="110">
        <v>237</v>
      </c>
      <c r="G24" s="3099">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2269</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0"/>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2270</v>
      </c>
      <c r="B26" s="105">
        <f t="shared" si="89"/>
        <v>314.721411723865</v>
      </c>
      <c r="C26" s="105">
        <f t="shared" si="89"/>
        <v>263.03901319069001</v>
      </c>
      <c r="D26" s="105">
        <f t="shared" si="84"/>
        <v>263.03901319069001</v>
      </c>
      <c r="E26" s="105">
        <f t="shared" si="90"/>
        <v>433.65745506782798</v>
      </c>
      <c r="F26" s="105">
        <f t="shared" si="90"/>
        <v>233.23005080045701</v>
      </c>
      <c r="G26" s="3100"/>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2271</v>
      </c>
      <c r="B27" s="113">
        <f t="shared" si="89"/>
        <v>307.34512863658699</v>
      </c>
      <c r="C27" s="113">
        <f t="shared" si="89"/>
        <v>257.80556031626998</v>
      </c>
      <c r="D27" s="113">
        <f t="shared" si="84"/>
        <v>257.80556031626998</v>
      </c>
      <c r="E27" s="113">
        <f t="shared" si="90"/>
        <v>422.70928459677202</v>
      </c>
      <c r="F27" s="113">
        <f t="shared" si="90"/>
        <v>229.738032703366</v>
      </c>
      <c r="G27" s="3101"/>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2272</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2273</v>
      </c>
      <c r="B28" s="103">
        <v>299</v>
      </c>
      <c r="C28" s="103">
        <v>252</v>
      </c>
      <c r="D28" s="103">
        <f t="shared" si="84"/>
        <v>252</v>
      </c>
      <c r="E28" s="103">
        <v>409</v>
      </c>
      <c r="F28" s="104">
        <v>227</v>
      </c>
      <c r="G28" s="3102">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2274</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03"/>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2275</v>
      </c>
      <c r="B30" s="105">
        <f t="shared" si="93"/>
        <v>288.264905382878</v>
      </c>
      <c r="C30" s="105">
        <f t="shared" si="93"/>
        <v>243.64564425013299</v>
      </c>
      <c r="D30" s="105">
        <f t="shared" si="84"/>
        <v>243.64564425013299</v>
      </c>
      <c r="E30" s="105">
        <f t="shared" si="94"/>
        <v>393.31080825986498</v>
      </c>
      <c r="F30" s="105">
        <f t="shared" si="94"/>
        <v>223.079037905512</v>
      </c>
      <c r="G30" s="3103"/>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2276</v>
      </c>
      <c r="B31" s="105">
        <f t="shared" si="93"/>
        <v>282.50186729015797</v>
      </c>
      <c r="C31" s="105">
        <f t="shared" si="93"/>
        <v>238.097961741555</v>
      </c>
      <c r="D31" s="105">
        <f t="shared" si="84"/>
        <v>238.097961741555</v>
      </c>
      <c r="E31" s="105">
        <f t="shared" si="94"/>
        <v>385.33438646014099</v>
      </c>
      <c r="F31" s="105">
        <f t="shared" si="94"/>
        <v>221.550340555677</v>
      </c>
      <c r="G31" s="3104"/>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2277</v>
      </c>
      <c r="B32" s="116">
        <v>278</v>
      </c>
      <c r="C32" s="116">
        <v>234</v>
      </c>
      <c r="D32" s="116">
        <f t="shared" si="84"/>
        <v>234</v>
      </c>
      <c r="E32" s="116">
        <v>379</v>
      </c>
      <c r="F32" s="117">
        <v>220</v>
      </c>
      <c r="G32" s="3099">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2278</v>
      </c>
      <c r="B33" s="105">
        <f>B32/(1+N32)</f>
        <v>275.49301357645402</v>
      </c>
      <c r="C33" s="105">
        <f>C32/(1+O32)</f>
        <v>232.41954707985701</v>
      </c>
      <c r="D33" s="105">
        <f t="shared" si="84"/>
        <v>232.41954707985701</v>
      </c>
      <c r="E33" s="105">
        <f t="shared" ref="E33:F35" si="95">E32/(1+P32)</f>
        <v>375.32184591008098</v>
      </c>
      <c r="F33" s="105">
        <f t="shared" si="95"/>
        <v>218.03766105054501</v>
      </c>
      <c r="G33" s="3100"/>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2279</v>
      </c>
      <c r="B34" s="105">
        <f>B33/(1+N33)</f>
        <v>275.24529281292303</v>
      </c>
      <c r="C34" s="105">
        <f>C33/(1+O33)</f>
        <v>231.74747938962699</v>
      </c>
      <c r="D34" s="105">
        <f t="shared" si="84"/>
        <v>231.74747938962699</v>
      </c>
      <c r="E34" s="105">
        <f t="shared" si="95"/>
        <v>375.35938184826603</v>
      </c>
      <c r="F34" s="105">
        <f t="shared" si="95"/>
        <v>216.78033510692501</v>
      </c>
      <c r="G34" s="3100"/>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2280</v>
      </c>
      <c r="B35" s="105">
        <f>B34/(1+N34)</f>
        <v>275.19025476196998</v>
      </c>
      <c r="C35" s="118">
        <v>232</v>
      </c>
      <c r="D35" s="118">
        <f t="shared" si="84"/>
        <v>232</v>
      </c>
      <c r="E35" s="105">
        <f t="shared" si="95"/>
        <v>375.65990977608698</v>
      </c>
      <c r="F35" s="105">
        <f t="shared" si="95"/>
        <v>214.12518283971301</v>
      </c>
      <c r="G35" s="3101"/>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2281</v>
      </c>
      <c r="B36" s="103">
        <v>275</v>
      </c>
      <c r="C36" s="103">
        <v>232</v>
      </c>
      <c r="D36" s="103">
        <f t="shared" si="84"/>
        <v>232</v>
      </c>
      <c r="E36" s="103">
        <v>376</v>
      </c>
      <c r="F36" s="104">
        <v>213</v>
      </c>
      <c r="G36" s="3099">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2282</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0">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2283</v>
      </c>
      <c r="B38" s="105">
        <f t="shared" si="96"/>
        <v>275.19335084830601</v>
      </c>
      <c r="C38" s="105">
        <f t="shared" si="96"/>
        <v>230.18088050139701</v>
      </c>
      <c r="D38" s="105">
        <f t="shared" si="84"/>
        <v>230.18088050139701</v>
      </c>
      <c r="E38" s="105">
        <f t="shared" si="97"/>
        <v>377.58482925212297</v>
      </c>
      <c r="F38" s="105">
        <f t="shared" si="97"/>
        <v>210.906879978479</v>
      </c>
      <c r="G38" s="3100">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2284</v>
      </c>
      <c r="B39" s="105">
        <f t="shared" si="96"/>
        <v>276.29854502841999</v>
      </c>
      <c r="C39" s="105">
        <f t="shared" si="96"/>
        <v>229.79023709833001</v>
      </c>
      <c r="D39" s="105">
        <f t="shared" si="84"/>
        <v>229.79023709833001</v>
      </c>
      <c r="E39" s="105">
        <f t="shared" si="97"/>
        <v>379.78759731655902</v>
      </c>
      <c r="F39" s="105">
        <f t="shared" si="97"/>
        <v>211.32953905659201</v>
      </c>
      <c r="G39" s="3101">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2285</v>
      </c>
      <c r="B40" s="103">
        <v>269</v>
      </c>
      <c r="C40" s="103">
        <v>221</v>
      </c>
      <c r="D40" s="103">
        <f t="shared" si="84"/>
        <v>221</v>
      </c>
      <c r="E40" s="103">
        <v>373</v>
      </c>
      <c r="F40" s="104">
        <v>196</v>
      </c>
      <c r="G40" s="3099">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2286</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0">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2287</v>
      </c>
      <c r="B42" s="105">
        <f t="shared" si="98"/>
        <v>242.95398227588399</v>
      </c>
      <c r="C42" s="105">
        <f t="shared" si="98"/>
        <v>199.591370536141</v>
      </c>
      <c r="D42" s="105">
        <f t="shared" si="84"/>
        <v>199.591370536141</v>
      </c>
      <c r="E42" s="105">
        <f t="shared" si="99"/>
        <v>335.92189522342102</v>
      </c>
      <c r="F42" s="105">
        <f t="shared" si="99"/>
        <v>183.101399911095</v>
      </c>
      <c r="G42" s="3100">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2288</v>
      </c>
      <c r="B43" s="105">
        <f t="shared" si="98"/>
        <v>232.06990378821601</v>
      </c>
      <c r="C43" s="105">
        <f t="shared" si="98"/>
        <v>192.74878854286899</v>
      </c>
      <c r="D43" s="105">
        <f t="shared" si="84"/>
        <v>192.74878854286899</v>
      </c>
      <c r="E43" s="105">
        <f t="shared" si="99"/>
        <v>319.71247284993001</v>
      </c>
      <c r="F43" s="105">
        <f t="shared" si="99"/>
        <v>175.670536228624</v>
      </c>
      <c r="G43" s="3101">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2289</v>
      </c>
      <c r="B44" s="103">
        <v>220</v>
      </c>
      <c r="C44" s="103">
        <v>187</v>
      </c>
      <c r="D44" s="103">
        <f t="shared" si="84"/>
        <v>187</v>
      </c>
      <c r="E44" s="103">
        <v>301</v>
      </c>
      <c r="F44" s="104">
        <v>168</v>
      </c>
      <c r="G44" s="3099">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2290</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0">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2291</v>
      </c>
      <c r="B46" s="105">
        <f t="shared" si="100"/>
        <v>210.630522469011</v>
      </c>
      <c r="C46" s="105">
        <f t="shared" si="100"/>
        <v>181.695678122472</v>
      </c>
      <c r="D46" s="105">
        <f t="shared" si="84"/>
        <v>181.695678122472</v>
      </c>
      <c r="E46" s="105">
        <f t="shared" si="101"/>
        <v>286.13517466736698</v>
      </c>
      <c r="F46" s="105">
        <f t="shared" si="101"/>
        <v>165.47535084591101</v>
      </c>
      <c r="G46" s="3100">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2292</v>
      </c>
      <c r="B47" s="105">
        <f t="shared" si="100"/>
        <v>208.834545378754</v>
      </c>
      <c r="C47" s="105">
        <f t="shared" si="100"/>
        <v>183.77230517090399</v>
      </c>
      <c r="D47" s="105">
        <f t="shared" si="84"/>
        <v>183.77230517090399</v>
      </c>
      <c r="E47" s="105">
        <f t="shared" si="101"/>
        <v>281.10342338870902</v>
      </c>
      <c r="F47" s="105">
        <f t="shared" si="101"/>
        <v>168.97309388942301</v>
      </c>
      <c r="G47" s="3101">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2293</v>
      </c>
      <c r="B48" s="116">
        <v>214</v>
      </c>
      <c r="C48" s="116">
        <v>188</v>
      </c>
      <c r="D48" s="116">
        <f t="shared" si="84"/>
        <v>188</v>
      </c>
      <c r="E48" s="116">
        <v>289</v>
      </c>
      <c r="F48" s="117">
        <v>166</v>
      </c>
      <c r="G48" s="3099">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2294</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0">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2295</v>
      </c>
      <c r="B50" s="105">
        <f t="shared" si="102"/>
        <v>206.31694671589099</v>
      </c>
      <c r="C50" s="105">
        <f t="shared" si="102"/>
        <v>183.61041121036101</v>
      </c>
      <c r="D50" s="105">
        <f t="shared" si="84"/>
        <v>183.61041121036101</v>
      </c>
      <c r="E50" s="105">
        <f t="shared" si="103"/>
        <v>276.66850301795603</v>
      </c>
      <c r="F50" s="105">
        <f t="shared" si="103"/>
        <v>165.136093827861</v>
      </c>
      <c r="G50" s="3100">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2296</v>
      </c>
      <c r="B51" s="119">
        <f t="shared" si="102"/>
        <v>196.62341248059801</v>
      </c>
      <c r="C51" s="119">
        <f t="shared" si="102"/>
        <v>170.99125648199001</v>
      </c>
      <c r="D51" s="119">
        <f t="shared" si="84"/>
        <v>170.99125648199001</v>
      </c>
      <c r="E51" s="119">
        <f t="shared" si="103"/>
        <v>266.07857570490103</v>
      </c>
      <c r="F51" s="119">
        <f t="shared" si="103"/>
        <v>154.53499328828499</v>
      </c>
      <c r="G51" s="3101">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2297</v>
      </c>
      <c r="B52" s="103">
        <v>188</v>
      </c>
      <c r="C52" s="103">
        <v>165</v>
      </c>
      <c r="D52" s="103">
        <f t="shared" si="84"/>
        <v>165</v>
      </c>
      <c r="E52" s="103">
        <v>254</v>
      </c>
      <c r="F52" s="104">
        <v>148</v>
      </c>
      <c r="G52" s="3099">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2298</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0">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2299</v>
      </c>
      <c r="B54" s="105">
        <f t="shared" si="106"/>
        <v>168.820177487156</v>
      </c>
      <c r="C54" s="105">
        <f t="shared" si="106"/>
        <v>148.06267029972801</v>
      </c>
      <c r="D54" s="105">
        <f t="shared" si="84"/>
        <v>148.06267029972801</v>
      </c>
      <c r="E54" s="105">
        <f t="shared" si="107"/>
        <v>216.46288379323701</v>
      </c>
      <c r="F54" s="105">
        <f t="shared" si="107"/>
        <v>134.23529411764699</v>
      </c>
      <c r="G54" s="3100">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2300</v>
      </c>
      <c r="B55" s="105">
        <f t="shared" si="106"/>
        <v>163.849135917795</v>
      </c>
      <c r="C55" s="105">
        <f t="shared" si="106"/>
        <v>145.028337874659</v>
      </c>
      <c r="D55" s="105">
        <f t="shared" si="84"/>
        <v>145.028337874659</v>
      </c>
      <c r="E55" s="105">
        <f t="shared" si="107"/>
        <v>204.95180722891601</v>
      </c>
      <c r="F55" s="105">
        <f t="shared" si="107"/>
        <v>125.959203036053</v>
      </c>
      <c r="G55" s="3101">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2301</v>
      </c>
      <c r="B56" s="109">
        <v>159</v>
      </c>
      <c r="C56" s="109">
        <v>141</v>
      </c>
      <c r="D56" s="109">
        <f t="shared" si="84"/>
        <v>141</v>
      </c>
      <c r="E56" s="109">
        <v>195</v>
      </c>
      <c r="F56" s="110">
        <v>122</v>
      </c>
      <c r="G56" s="3099">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2302</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0">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2303</v>
      </c>
      <c r="B58" s="105">
        <f t="shared" si="110"/>
        <v>146.57412060301499</v>
      </c>
      <c r="C58" s="105">
        <f t="shared" si="110"/>
        <v>136.468319559229</v>
      </c>
      <c r="D58" s="105">
        <f t="shared" si="84"/>
        <v>136.468319559229</v>
      </c>
      <c r="E58" s="105">
        <f t="shared" si="111"/>
        <v>166.73864894795099</v>
      </c>
      <c r="F58" s="105">
        <f t="shared" si="111"/>
        <v>115.058823529412</v>
      </c>
      <c r="G58" s="3100">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2304</v>
      </c>
      <c r="B59" s="105">
        <f t="shared" si="110"/>
        <v>144.04145728643201</v>
      </c>
      <c r="C59" s="105">
        <f t="shared" si="110"/>
        <v>136.123966942149</v>
      </c>
      <c r="D59" s="105">
        <f t="shared" si="84"/>
        <v>136.123966942149</v>
      </c>
      <c r="E59" s="105">
        <f t="shared" si="111"/>
        <v>158.32225913621301</v>
      </c>
      <c r="F59" s="105">
        <f t="shared" si="111"/>
        <v>114.04278074866301</v>
      </c>
      <c r="G59" s="3101">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2305</v>
      </c>
      <c r="B60" s="109">
        <v>138</v>
      </c>
      <c r="C60" s="109">
        <v>131</v>
      </c>
      <c r="D60" s="109">
        <f t="shared" si="84"/>
        <v>131</v>
      </c>
      <c r="E60" s="109">
        <v>155</v>
      </c>
      <c r="F60" s="110">
        <v>114</v>
      </c>
      <c r="G60" s="3099">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2306</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0">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2307</v>
      </c>
      <c r="B62" s="105">
        <f t="shared" si="114"/>
        <v>124.290322580645</v>
      </c>
      <c r="C62" s="105">
        <f t="shared" si="114"/>
        <v>123.896860986547</v>
      </c>
      <c r="D62" s="105">
        <f t="shared" si="84"/>
        <v>123.896860986547</v>
      </c>
      <c r="E62" s="105">
        <f t="shared" si="115"/>
        <v>138.005076142132</v>
      </c>
      <c r="F62" s="105">
        <f t="shared" si="115"/>
        <v>107.96106557377</v>
      </c>
      <c r="G62" s="3100">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2308</v>
      </c>
      <c r="B63" s="105">
        <f t="shared" si="114"/>
        <v>122.57204301075301</v>
      </c>
      <c r="C63" s="105">
        <f t="shared" si="114"/>
        <v>123.493273542601</v>
      </c>
      <c r="D63" s="105">
        <f t="shared" si="84"/>
        <v>123.493273542601</v>
      </c>
      <c r="E63" s="105">
        <f t="shared" si="115"/>
        <v>129.82233502538099</v>
      </c>
      <c r="F63" s="105">
        <f t="shared" si="115"/>
        <v>107.39446721311501</v>
      </c>
      <c r="G63" s="3101">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2309</v>
      </c>
      <c r="B64" s="116">
        <v>121</v>
      </c>
      <c r="C64" s="116">
        <v>122</v>
      </c>
      <c r="D64" s="116">
        <f t="shared" si="84"/>
        <v>122</v>
      </c>
      <c r="E64" s="116">
        <v>124</v>
      </c>
      <c r="F64" s="117">
        <v>107</v>
      </c>
      <c r="G64" s="3099">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2310</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0">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2311</v>
      </c>
      <c r="B66" s="105">
        <f t="shared" si="118"/>
        <v>116.99099099099099</v>
      </c>
      <c r="C66" s="105">
        <f t="shared" si="118"/>
        <v>118.848484848485</v>
      </c>
      <c r="D66" s="105">
        <f t="shared" si="84"/>
        <v>118.848484848485</v>
      </c>
      <c r="E66" s="105">
        <f t="shared" si="119"/>
        <v>117.60960960961</v>
      </c>
      <c r="F66" s="105">
        <f t="shared" si="119"/>
        <v>104</v>
      </c>
      <c r="G66" s="3100">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2312</v>
      </c>
      <c r="B67" s="119">
        <f t="shared" si="118"/>
        <v>112.486486486486</v>
      </c>
      <c r="C67" s="119">
        <f t="shared" si="118"/>
        <v>115.212121212121</v>
      </c>
      <c r="D67" s="119">
        <f t="shared" si="84"/>
        <v>115.212121212121</v>
      </c>
      <c r="E67" s="119">
        <f t="shared" si="119"/>
        <v>110.402402402402</v>
      </c>
      <c r="F67" s="119">
        <f t="shared" si="119"/>
        <v>104</v>
      </c>
      <c r="G67" s="3101">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2313</v>
      </c>
      <c r="B68" s="190">
        <v>111</v>
      </c>
      <c r="C68" s="190">
        <v>114</v>
      </c>
      <c r="D68" s="190">
        <f t="shared" si="84"/>
        <v>114</v>
      </c>
      <c r="E68" s="190">
        <v>108</v>
      </c>
      <c r="F68" s="191">
        <v>104</v>
      </c>
      <c r="G68" s="3099">
        <v>2003</v>
      </c>
      <c r="H68" s="121">
        <v>4</v>
      </c>
      <c r="I68" s="205"/>
      <c r="J68" s="205"/>
      <c r="K68" s="205"/>
      <c r="L68" s="205"/>
      <c r="N68" s="206"/>
      <c r="O68" s="205"/>
      <c r="P68" s="205"/>
      <c r="Q68" s="205"/>
      <c r="S68" s="206"/>
      <c r="T68" s="205"/>
      <c r="U68" s="205"/>
      <c r="V68" s="205"/>
      <c r="X68" s="183"/>
      <c r="Y68" s="183"/>
      <c r="Z68" s="183"/>
    </row>
    <row r="69" spans="1:26">
      <c r="A69" s="99" t="s">
        <v>2314</v>
      </c>
      <c r="B69" s="192">
        <f t="shared" ref="B69:C71" si="120">B70+(B$68-B$72)/4</f>
        <v>109.75</v>
      </c>
      <c r="C69" s="192">
        <f t="shared" si="120"/>
        <v>112.25</v>
      </c>
      <c r="D69" s="192">
        <f t="shared" si="84"/>
        <v>112.25</v>
      </c>
      <c r="E69" s="192">
        <f t="shared" ref="E69:F71" si="121">E70+(E$68-E$72)/4</f>
        <v>107.25</v>
      </c>
      <c r="F69" s="192">
        <f t="shared" si="121"/>
        <v>103.5</v>
      </c>
      <c r="G69" s="3100">
        <v>2003</v>
      </c>
      <c r="H69" s="108">
        <v>3</v>
      </c>
      <c r="I69" s="205"/>
      <c r="J69" s="205"/>
      <c r="K69" s="205"/>
      <c r="L69" s="205"/>
      <c r="X69" s="183"/>
      <c r="Y69" s="183"/>
      <c r="Z69" s="183"/>
    </row>
    <row r="70" spans="1:26">
      <c r="A70" s="99" t="s">
        <v>2315</v>
      </c>
      <c r="B70" s="192">
        <f t="shared" si="120"/>
        <v>108.5</v>
      </c>
      <c r="C70" s="192">
        <f t="shared" si="120"/>
        <v>110.5</v>
      </c>
      <c r="D70" s="192">
        <f t="shared" si="84"/>
        <v>110.5</v>
      </c>
      <c r="E70" s="192">
        <f t="shared" si="121"/>
        <v>106.5</v>
      </c>
      <c r="F70" s="192">
        <f t="shared" si="121"/>
        <v>103</v>
      </c>
      <c r="G70" s="3100">
        <v>2003</v>
      </c>
      <c r="H70" s="106">
        <v>2</v>
      </c>
      <c r="I70" s="205"/>
      <c r="J70" s="205"/>
      <c r="K70" s="205"/>
      <c r="L70" s="205"/>
      <c r="X70" s="183"/>
      <c r="Y70" s="183"/>
      <c r="Z70" s="183"/>
    </row>
    <row r="71" spans="1:26">
      <c r="A71" s="99" t="s">
        <v>2316</v>
      </c>
      <c r="B71" s="192">
        <f t="shared" si="120"/>
        <v>107.25</v>
      </c>
      <c r="C71" s="192">
        <f t="shared" si="120"/>
        <v>108.75</v>
      </c>
      <c r="D71" s="192">
        <f t="shared" si="84"/>
        <v>108.75</v>
      </c>
      <c r="E71" s="192">
        <f t="shared" si="121"/>
        <v>105.75</v>
      </c>
      <c r="F71" s="192">
        <f t="shared" si="121"/>
        <v>102.5</v>
      </c>
      <c r="G71" s="3101">
        <v>2003</v>
      </c>
      <c r="H71" s="193">
        <v>1</v>
      </c>
      <c r="I71" s="205"/>
      <c r="J71" s="205"/>
      <c r="K71" s="205"/>
      <c r="L71" s="205"/>
      <c r="S71" s="139"/>
      <c r="T71" s="140"/>
      <c r="U71" s="140"/>
      <c r="X71" s="183"/>
      <c r="Y71" s="183"/>
      <c r="Z71" s="183"/>
    </row>
    <row r="72" spans="1:26">
      <c r="A72" s="99" t="s">
        <v>2317</v>
      </c>
      <c r="B72" s="194">
        <v>106</v>
      </c>
      <c r="C72" s="194">
        <v>107</v>
      </c>
      <c r="D72" s="194">
        <f t="shared" si="84"/>
        <v>107</v>
      </c>
      <c r="E72" s="194">
        <v>105</v>
      </c>
      <c r="F72" s="195">
        <v>102</v>
      </c>
      <c r="G72" s="3099">
        <v>2002</v>
      </c>
      <c r="H72" s="107">
        <v>4</v>
      </c>
      <c r="I72" s="205"/>
      <c r="J72" s="205"/>
      <c r="K72" s="205"/>
      <c r="L72" s="205"/>
      <c r="N72" s="206"/>
      <c r="O72" s="205"/>
      <c r="P72" s="205"/>
      <c r="Q72" s="205"/>
      <c r="S72" s="206"/>
      <c r="T72" s="205"/>
      <c r="U72" s="205"/>
      <c r="V72" s="205"/>
      <c r="X72" s="183"/>
      <c r="Y72" s="183"/>
      <c r="Z72" s="183"/>
    </row>
    <row r="73" spans="1:26">
      <c r="A73" s="99" t="s">
        <v>2318</v>
      </c>
      <c r="B73" s="192">
        <f t="shared" ref="B73:C75" si="122">B74+(B$72-B$76)/4</f>
        <v>105</v>
      </c>
      <c r="C73" s="192">
        <f t="shared" si="122"/>
        <v>106</v>
      </c>
      <c r="D73" s="192">
        <f t="shared" si="84"/>
        <v>106</v>
      </c>
      <c r="E73" s="192">
        <f t="shared" ref="E73:F75" si="123">E74+(E$72-E$76)/4</f>
        <v>104.5</v>
      </c>
      <c r="F73" s="192">
        <f t="shared" si="123"/>
        <v>101.5</v>
      </c>
      <c r="G73" s="3100">
        <v>2002</v>
      </c>
      <c r="H73" s="108">
        <v>3</v>
      </c>
      <c r="I73" s="205"/>
      <c r="J73" s="205"/>
      <c r="K73" s="205"/>
      <c r="L73" s="205"/>
      <c r="X73" s="183"/>
      <c r="Y73" s="183"/>
      <c r="Z73" s="183"/>
    </row>
    <row r="74" spans="1:26">
      <c r="A74" s="99" t="s">
        <v>2319</v>
      </c>
      <c r="B74" s="192">
        <f t="shared" si="122"/>
        <v>104</v>
      </c>
      <c r="C74" s="192">
        <f t="shared" si="122"/>
        <v>105</v>
      </c>
      <c r="D74" s="192">
        <f t="shared" si="84"/>
        <v>105</v>
      </c>
      <c r="E74" s="192">
        <f t="shared" si="123"/>
        <v>104</v>
      </c>
      <c r="F74" s="192">
        <f t="shared" si="123"/>
        <v>101</v>
      </c>
      <c r="G74" s="3100">
        <v>2002</v>
      </c>
      <c r="H74" s="106">
        <v>2</v>
      </c>
      <c r="I74" s="205"/>
      <c r="J74" s="205"/>
      <c r="K74" s="205"/>
      <c r="L74" s="205"/>
      <c r="X74" s="183"/>
      <c r="Y74" s="183"/>
      <c r="Z74" s="183"/>
    </row>
    <row r="75" spans="1:26" s="75" customFormat="1">
      <c r="A75" s="112" t="s">
        <v>2320</v>
      </c>
      <c r="B75" s="196">
        <f t="shared" si="122"/>
        <v>103</v>
      </c>
      <c r="C75" s="196">
        <f t="shared" si="122"/>
        <v>104</v>
      </c>
      <c r="D75" s="196">
        <f t="shared" si="84"/>
        <v>104</v>
      </c>
      <c r="E75" s="196">
        <f t="shared" si="123"/>
        <v>103.5</v>
      </c>
      <c r="F75" s="196">
        <f t="shared" si="123"/>
        <v>100.5</v>
      </c>
      <c r="G75" s="3101">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2321</v>
      </c>
      <c r="G78" s="202"/>
      <c r="N78" s="202"/>
      <c r="S78" s="202"/>
    </row>
    <row r="79" spans="1:26" s="77" customFormat="1">
      <c r="A79" s="77" t="s">
        <v>2322</v>
      </c>
      <c r="G79" s="202"/>
      <c r="N79" s="202"/>
      <c r="S79" s="202"/>
    </row>
    <row r="80" spans="1:26" s="77" customFormat="1">
      <c r="A80" s="77" t="s">
        <v>2323</v>
      </c>
      <c r="G80" s="202"/>
      <c r="I80" s="209"/>
      <c r="J80" s="209"/>
      <c r="K80" s="209"/>
      <c r="L80" s="209"/>
      <c r="N80" s="210"/>
      <c r="O80" s="209"/>
      <c r="P80" s="209"/>
      <c r="Q80" s="209"/>
      <c r="S80" s="210"/>
      <c r="T80" s="209"/>
      <c r="U80" s="209"/>
      <c r="V80" s="209"/>
    </row>
    <row r="81" spans="1:22" s="77" customFormat="1">
      <c r="A81" s="77" t="s">
        <v>2324</v>
      </c>
      <c r="G81" s="202"/>
      <c r="N81" s="202"/>
      <c r="S81" s="202"/>
    </row>
    <row r="89" spans="1:22">
      <c r="G89" s="78"/>
      <c r="S89" s="213" t="s">
        <v>2325</v>
      </c>
      <c r="T89" s="214" t="s">
        <v>2326</v>
      </c>
      <c r="U89" s="214" t="s">
        <v>2327</v>
      </c>
      <c r="V89" s="214" t="s">
        <v>2328</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64:G67"/>
    <mergeCell ref="G68:G71"/>
    <mergeCell ref="G72:G75"/>
    <mergeCell ref="G44:G47"/>
    <mergeCell ref="G48:G51"/>
    <mergeCell ref="G52:G55"/>
    <mergeCell ref="G56:G59"/>
    <mergeCell ref="G60:G63"/>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2329</v>
      </c>
      <c r="C1" s="7">
        <f>项目基本情况!D2</f>
        <v>43695</v>
      </c>
      <c r="D1" s="6" t="s">
        <v>2330</v>
      </c>
      <c r="E1" s="8">
        <f>'数据-取费表'!B23</f>
        <v>1</v>
      </c>
      <c r="F1" s="6" t="s">
        <v>2331</v>
      </c>
      <c r="G1" s="9">
        <f ca="1">INDIRECT("d"&amp;$K$1)/100</f>
        <v>4.3499999999999997E-2</v>
      </c>
      <c r="H1" s="6" t="s">
        <v>2332</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2331</v>
      </c>
      <c r="E2" s="10"/>
      <c r="F2" s="10" t="s">
        <v>2333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2340</v>
      </c>
      <c r="C10" s="34"/>
      <c r="D10" s="34"/>
      <c r="E10" s="34"/>
      <c r="F10" s="34"/>
      <c r="G10" s="34"/>
      <c r="H10" s="34"/>
      <c r="I10" s="2"/>
      <c r="J10" s="2"/>
      <c r="K10" s="34"/>
      <c r="L10" s="35" t="s">
        <v>2341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2342</v>
      </c>
      <c r="C11" s="38" t="s">
        <v>2343</v>
      </c>
      <c r="D11" s="39" t="s">
        <v>2344</v>
      </c>
      <c r="E11" s="40"/>
      <c r="F11" s="39" t="s">
        <v>2345</v>
      </c>
      <c r="G11" s="41"/>
      <c r="H11" s="40"/>
      <c r="I11" s="39" t="s">
        <v>2346</v>
      </c>
      <c r="J11" s="40"/>
      <c r="K11" s="36"/>
      <c r="L11" s="37" t="s">
        <v>2342</v>
      </c>
      <c r="M11" s="38" t="s">
        <v>2343</v>
      </c>
      <c r="N11" s="37" t="s">
        <v>2347</v>
      </c>
      <c r="O11" s="39" t="s">
        <v>2348</v>
      </c>
      <c r="P11" s="41"/>
      <c r="Q11" s="41"/>
      <c r="R11" s="41"/>
      <c r="S11" s="41"/>
      <c r="T11" s="40"/>
      <c r="U11" s="39" t="s">
        <v>2349</v>
      </c>
      <c r="V11" s="41"/>
      <c r="W11" s="40"/>
      <c r="X11" s="37" t="s">
        <v>2350</v>
      </c>
      <c r="Y11" s="37" t="s">
        <v>2351</v>
      </c>
      <c r="Z11" s="37" t="s">
        <v>2352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2353</v>
      </c>
      <c r="E12" s="45" t="s">
        <v>2335</v>
      </c>
      <c r="F12" s="45" t="s">
        <v>2336</v>
      </c>
      <c r="G12" s="45" t="s">
        <v>2337</v>
      </c>
      <c r="H12" s="45" t="s">
        <v>2338</v>
      </c>
      <c r="I12" s="56" t="s">
        <v>2354</v>
      </c>
      <c r="J12" s="56" t="s">
        <v>2354</v>
      </c>
      <c r="K12" s="42"/>
      <c r="L12" s="43"/>
      <c r="M12" s="44"/>
      <c r="N12" s="43"/>
      <c r="O12" s="56" t="s">
        <v>2355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2356</v>
      </c>
      <c r="C13" s="48">
        <v>42301</v>
      </c>
      <c r="D13" s="49">
        <v>4.3499999999999996</v>
      </c>
      <c r="E13" s="49">
        <v>4.3499999999999996</v>
      </c>
      <c r="F13" s="49">
        <v>4.75</v>
      </c>
      <c r="G13" s="49">
        <v>4.75</v>
      </c>
      <c r="H13" s="49">
        <v>4.9000000000000004</v>
      </c>
      <c r="I13" s="49">
        <v>2.75</v>
      </c>
      <c r="J13" s="49">
        <v>3.25</v>
      </c>
      <c r="K13" s="46"/>
      <c r="L13" s="47" t="s">
        <v>2356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2357</v>
      </c>
      <c r="Y42" s="50" t="s">
        <v>2357</v>
      </c>
      <c r="Z42" s="50" t="s">
        <v>2357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2357</v>
      </c>
      <c r="Y43" s="50" t="s">
        <v>2357</v>
      </c>
      <c r="Z43" s="50" t="s">
        <v>2357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2357</v>
      </c>
      <c r="Y44" s="50" t="s">
        <v>2357</v>
      </c>
      <c r="Z44" s="50" t="s">
        <v>2357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2357</v>
      </c>
      <c r="Y45" s="50" t="s">
        <v>2357</v>
      </c>
      <c r="Z45" s="50" t="s">
        <v>2357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2357</v>
      </c>
      <c r="Y46" s="50" t="s">
        <v>2357</v>
      </c>
      <c r="Z46" s="50" t="s">
        <v>2357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2357</v>
      </c>
      <c r="Y47" s="50" t="s">
        <v>2357</v>
      </c>
      <c r="Z47" s="50" t="s">
        <v>2357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2357</v>
      </c>
      <c r="Y48" s="50" t="s">
        <v>2357</v>
      </c>
      <c r="Z48" s="50" t="s">
        <v>2357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2357</v>
      </c>
      <c r="Y49" s="50" t="s">
        <v>2357</v>
      </c>
      <c r="Z49" s="50" t="s">
        <v>2357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2357</v>
      </c>
      <c r="Y50" s="50" t="s">
        <v>2357</v>
      </c>
      <c r="Z50" s="50" t="s">
        <v>2357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2357</v>
      </c>
      <c r="V51" s="50" t="s">
        <v>2357</v>
      </c>
      <c r="W51" s="50" t="s">
        <v>2357</v>
      </c>
      <c r="X51" s="50" t="s">
        <v>2357</v>
      </c>
      <c r="Y51" s="50" t="s">
        <v>2357</v>
      </c>
      <c r="Z51" s="50" t="s">
        <v>2357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2357</v>
      </c>
      <c r="J55" s="50" t="s">
        <v>2357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ColWidth="9" defaultRowHeight="13.5"/>
  <sheetData/>
  <phoneticPr fontId="205" type="noConversion"/>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1" sqref="Q31"/>
    </sheetView>
  </sheetViews>
  <sheetFormatPr defaultColWidth="9" defaultRowHeight="13.5"/>
  <sheetData/>
  <phoneticPr fontId="20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2673"/>
      <c r="B3" s="2673"/>
      <c r="C3" s="2673"/>
      <c r="D3" s="2673"/>
      <c r="E3" s="2673"/>
    </row>
    <row r="4" spans="1:5" ht="18.75">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c r="A5" s="2672"/>
      <c r="B5" s="2674" t="s">
        <v>87</v>
      </c>
      <c r="C5" s="2767" t="s">
        <v>88</v>
      </c>
      <c r="D5" s="2768"/>
      <c r="E5" s="2672"/>
    </row>
    <row r="6" spans="1:5" ht="14.25">
      <c r="A6" s="2672"/>
      <c r="B6" s="2675" t="str">
        <f>项目基本情况!I1</f>
        <v>浙江省杭州市房地产</v>
      </c>
      <c r="C6" s="2769">
        <f>项目基本情况!C12</f>
        <v>54.92</v>
      </c>
      <c r="D6" s="2769"/>
      <c r="E6" s="2672"/>
    </row>
    <row r="7" spans="1:5" ht="14.25">
      <c r="A7" s="2672"/>
      <c r="B7" s="2771" t="s">
        <v>89</v>
      </c>
      <c r="C7" s="2677" t="str">
        <f>IF('数据-取费表'!B3="万元","总价（万元）","总价（元）")</f>
        <v>总价（元）</v>
      </c>
      <c r="D7" s="2676">
        <f ca="1">IF('数据-取费表'!E3="否",结果表!I102,'结果表 (1修多)'!I103)</f>
        <v>3255383</v>
      </c>
      <c r="E7" s="2672"/>
    </row>
    <row r="8" spans="1:5" ht="28.5">
      <c r="A8" s="2672"/>
      <c r="B8" s="2771"/>
      <c r="C8" s="2678" t="s">
        <v>90</v>
      </c>
      <c r="D8" s="2679" t="str">
        <f ca="1">IF('数据-取费表'!B3="万元",NUMBERSTRING(INT(D7*10000),2)&amp;"元整",NUMBERSTRING(INT(D7),2)&amp;"元整")</f>
        <v>叁佰贰拾伍万伍仟叁佰捌拾叁元整</v>
      </c>
      <c r="E8" s="2672"/>
    </row>
    <row r="9" spans="1:5" ht="14.25">
      <c r="A9" s="2672"/>
      <c r="B9" s="2771"/>
      <c r="C9" s="2680" t="s">
        <v>91</v>
      </c>
      <c r="D9" s="2676">
        <f ca="1">IF('数据-取费表'!E3="否",结果表!I103,'结果表 (1修多)'!I104)</f>
        <v>59275</v>
      </c>
      <c r="E9" s="2672"/>
    </row>
    <row r="10" spans="1:5" ht="14.25">
      <c r="A10" s="2672"/>
      <c r="B10" s="2772" t="str">
        <f>IF('数据-取费表'!E3="否",结果表!F105,'结果表 (1修多)'!F106)</f>
        <v>2.估价师所知悉的法定优先受偿款</v>
      </c>
      <c r="C10" s="2681" t="str">
        <f>IF('数据-取费表'!B3="万元","总额（万元）","总额（元）")</f>
        <v>总额（元）</v>
      </c>
      <c r="D10" s="2676">
        <f>IF('数据-取费表'!E3="否",结果表!I105,'结果表 (1修多)'!I106)</f>
        <v>0</v>
      </c>
      <c r="E10" s="2672"/>
    </row>
    <row r="11" spans="1:5" ht="14.25">
      <c r="A11" s="2672"/>
      <c r="B11" s="2772"/>
      <c r="C11" s="2678" t="s">
        <v>90</v>
      </c>
      <c r="D11" s="2679" t="str">
        <f>IF('数据-取费表'!B3="万元",NUMBERSTRING(INT(D10*10000),2)&amp;"元整",NUMBERSTRING(INT(D10),2)&amp;"元整")</f>
        <v>零元整</v>
      </c>
      <c r="E11" s="2672"/>
    </row>
    <row r="12" spans="1:5" ht="14.25">
      <c r="A12" s="2672"/>
      <c r="B12" s="2682" t="s">
        <v>92</v>
      </c>
      <c r="C12" s="2683" t="str">
        <f>C10</f>
        <v>总额（元）</v>
      </c>
      <c r="D12" s="2684">
        <f>IF('数据-取费表'!E3="否",结果表!I106,'结果表 (1修多)'!I107)</f>
        <v>0</v>
      </c>
      <c r="E12" s="2672"/>
    </row>
    <row r="13" spans="1:5" ht="14.25">
      <c r="A13" s="2672"/>
      <c r="B13" s="2682" t="s">
        <v>93</v>
      </c>
      <c r="C13" s="2683" t="str">
        <f>C10</f>
        <v>总额（元）</v>
      </c>
      <c r="D13" s="2684">
        <f>IF('数据-取费表'!E3="否",结果表!I107,'结果表 (1修多)'!I108)</f>
        <v>0</v>
      </c>
      <c r="E13" s="2672"/>
    </row>
    <row r="14" spans="1:5" ht="14.25">
      <c r="A14" s="2672"/>
      <c r="B14" s="2682" t="s">
        <v>94</v>
      </c>
      <c r="C14" s="2683" t="str">
        <f>C10</f>
        <v>总额（元）</v>
      </c>
      <c r="D14" s="2684">
        <f>IF('数据-取费表'!E3="否",结果表!I108,'结果表 (1修多)'!I109)</f>
        <v>0</v>
      </c>
      <c r="E14" s="2672"/>
    </row>
    <row r="15" spans="1:5" ht="14.25">
      <c r="A15" s="2672"/>
      <c r="B15" s="2772" t="str">
        <f>IF('数据-取费表'!E3="否",结果表!F110,'结果表 (1修多)'!F111)</f>
        <v>3.房地产抵押价值</v>
      </c>
      <c r="C15" s="2685" t="str">
        <f>C7</f>
        <v>总价（元）</v>
      </c>
      <c r="D15" s="2676">
        <f ca="1">IF('数据-取费表'!E3="否",结果表!I110,'结果表 (1修多)'!I111)</f>
        <v>3255383</v>
      </c>
      <c r="E15" s="2672"/>
    </row>
    <row r="16" spans="1:5" ht="28.5">
      <c r="A16" s="2672"/>
      <c r="B16" s="2772"/>
      <c r="C16" s="2678" t="s">
        <v>90</v>
      </c>
      <c r="D16" s="2676" t="str">
        <f ca="1">IF('数据-取费表'!B3="万元",NUMBERSTRING(INT(D15*10000),2)&amp;"元整",NUMBERSTRING(INT(D15),2)&amp;"元整")</f>
        <v>叁佰贰拾伍万伍仟叁佰捌拾叁元整</v>
      </c>
      <c r="E16" s="2672"/>
    </row>
    <row r="17" spans="1:5" ht="14.25">
      <c r="A17" s="2672"/>
      <c r="B17" s="2772"/>
      <c r="C17" s="2680" t="s">
        <v>91</v>
      </c>
      <c r="D17" s="2676">
        <f ca="1">IF('数据-取费表'!E3="否",结果表!I111,'结果表 (1修多)'!I112)</f>
        <v>59275</v>
      </c>
      <c r="E17" s="2672"/>
    </row>
    <row r="18" spans="1:5" ht="14.25">
      <c r="A18" s="2672"/>
      <c r="B18" s="2772" t="str">
        <f>IF('数据-取费表'!E3="否",结果表!F112,'结果表 (1修多)'!F113)</f>
        <v>——</v>
      </c>
      <c r="C18" s="2685" t="str">
        <f>C7</f>
        <v>总价（元）</v>
      </c>
      <c r="D18" s="2676" t="str">
        <f>IF('数据-取费表'!E3="否",结果表!I112,'结果表 (1修多)'!I113)</f>
        <v>——</v>
      </c>
      <c r="E18" s="2672"/>
    </row>
    <row r="19" spans="1:5" ht="14.25">
      <c r="A19" s="2672"/>
      <c r="B19" s="2772"/>
      <c r="C19" s="2678" t="s">
        <v>90</v>
      </c>
      <c r="D19" s="2676" t="e">
        <f>IF('数据-取费表'!B3="万元",NUMBERSTRING(INT(D18*10000),2)&amp;"元整",NUMBERSTRING(INT(D18),2)&amp;"元整")</f>
        <v>#VALUE!</v>
      </c>
      <c r="E19" s="2672"/>
    </row>
    <row r="20" spans="1:5" ht="14.25">
      <c r="A20" s="2672"/>
      <c r="B20" s="2772"/>
      <c r="C20" s="2680" t="s">
        <v>91</v>
      </c>
      <c r="D20" s="2676" t="str">
        <f>IF('数据-取费表'!E3="否",结果表!I113,'结果表 (1修多)'!I114)</f>
        <v>——</v>
      </c>
      <c r="E20" s="2672"/>
    </row>
    <row r="21" spans="1:5" ht="14.25">
      <c r="A21" s="2672"/>
      <c r="B21" s="2771" t="str">
        <f>IF('数据-取费表'!E3="否",结果表!F114,'结果表 (1修多)'!F115)</f>
        <v>——</v>
      </c>
      <c r="C21" s="2677" t="str">
        <f>C7</f>
        <v>总价（元）</v>
      </c>
      <c r="D21" s="2676" t="str">
        <f>IF('数据-取费表'!E3="否",结果表!I114,'结果表 (1修多)'!I115)</f>
        <v>——</v>
      </c>
      <c r="E21" s="2672"/>
    </row>
    <row r="22" spans="1:5" ht="14.25">
      <c r="A22" s="2672"/>
      <c r="B22" s="2771"/>
      <c r="C22" s="2678" t="s">
        <v>90</v>
      </c>
      <c r="D22" s="2679" t="e">
        <f>IF('数据-取费表'!B3="万元",NUMBERSTRING(INT(D21*10000),2)&amp;"元整",NUMBERSTRING(INT(D21),2)&amp;"元整")</f>
        <v>#VALUE!</v>
      </c>
      <c r="E22" s="2672"/>
    </row>
    <row r="23" spans="1:5" ht="14.25">
      <c r="A23" s="2672"/>
      <c r="B23" s="2773"/>
      <c r="C23" s="2686" t="s">
        <v>91</v>
      </c>
      <c r="D23" s="2687" t="str">
        <f ca="1">IF('数据-取费表'!E3="否",结果表!I115,'结果表 (1修多)'!I116)</f>
        <v>——</v>
      </c>
      <c r="E23" s="2672"/>
    </row>
    <row r="24" spans="1:5">
      <c r="A24" s="2672"/>
      <c r="B24" s="2672"/>
      <c r="C24" s="2672"/>
      <c r="D24" s="2672"/>
      <c r="E24" s="2672"/>
    </row>
    <row r="25" spans="1:5" ht="18.75" customHeight="1">
      <c r="A25" s="2672"/>
      <c r="B25" s="2770" t="s">
        <v>95</v>
      </c>
      <c r="C25" s="2770"/>
      <c r="D25" s="2770"/>
      <c r="E25" s="2672"/>
    </row>
    <row r="26" spans="1:5" ht="18.75" customHeight="1">
      <c r="A26" s="2672"/>
      <c r="B26" s="2753" t="s">
        <v>96</v>
      </c>
      <c r="C26" s="2754"/>
      <c r="D26" s="2751" t="s">
        <v>97</v>
      </c>
      <c r="E26" s="2672"/>
    </row>
    <row r="27" spans="1:5" ht="18.75" customHeight="1">
      <c r="A27" s="2672"/>
      <c r="B27" s="2755"/>
      <c r="C27" s="2756"/>
      <c r="D27" s="2752"/>
      <c r="E27" s="2672"/>
    </row>
    <row r="28" spans="1:5" ht="14.25">
      <c r="A28" s="2672"/>
      <c r="B28" s="2757" t="s">
        <v>89</v>
      </c>
      <c r="C28" s="2689" t="s">
        <v>98</v>
      </c>
      <c r="D28" s="2690">
        <f ca="1">IF('数据-取费表'!E3="否",结果表!I102,'结果表 (1修多)'!I103)</f>
        <v>3255383</v>
      </c>
      <c r="E28" s="2672"/>
    </row>
    <row r="29" spans="1:5" ht="28.5">
      <c r="A29" s="2672"/>
      <c r="B29" s="2758"/>
      <c r="C29" s="2691" t="s">
        <v>90</v>
      </c>
      <c r="D29" s="2692" t="str">
        <f ca="1">IF('数据-取费表'!B3="万元",NUMBERSTRING(INT(D28*10000),2)&amp;"元整",NUMBERSTRING(INT(D28),2)&amp;"元整")</f>
        <v>叁佰贰拾伍万伍仟叁佰捌拾叁元整</v>
      </c>
      <c r="E29" s="2672"/>
    </row>
    <row r="30" spans="1:5" ht="14.25">
      <c r="A30" s="2672"/>
      <c r="B30" s="2759"/>
      <c r="C30" s="2680" t="s">
        <v>99</v>
      </c>
      <c r="D30" s="2693">
        <f ca="1">IF('数据-取费表'!E3="否",结果表!I103,'结果表 (1修多)'!I104)</f>
        <v>59275</v>
      </c>
      <c r="E30" s="2672"/>
    </row>
    <row r="31" spans="1:5" ht="14.25">
      <c r="A31" s="2672"/>
      <c r="B31" s="2760" t="str">
        <f>B10</f>
        <v>2.估价师所知悉的法定优先受偿款</v>
      </c>
      <c r="C31" s="2694" t="s">
        <v>100</v>
      </c>
      <c r="D31" s="2688">
        <f>IF('数据-取费表'!E3="否",结果表!I105,'结果表 (1修多)'!I106)</f>
        <v>0</v>
      </c>
      <c r="E31" s="2672"/>
    </row>
    <row r="32" spans="1:5" ht="14.25">
      <c r="A32" s="2672"/>
      <c r="B32" s="2761"/>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62" t="str">
        <f>B15</f>
        <v>3.房地产抵押价值</v>
      </c>
      <c r="C36" s="2694" t="str">
        <f>C28</f>
        <v>总价</v>
      </c>
      <c r="D36" s="2688">
        <f ca="1">IF('数据-取费表'!E3="否",结果表!I110,'结果表 (1修多)'!I111)</f>
        <v>3255383</v>
      </c>
      <c r="E36" s="2672"/>
    </row>
    <row r="37" spans="1:5" ht="28.5">
      <c r="A37" s="2672"/>
      <c r="B37" s="2762"/>
      <c r="C37" s="2691" t="s">
        <v>90</v>
      </c>
      <c r="D37" s="2695" t="str">
        <f ca="1">IF('数据-取费表'!B3="万元",NUMBERSTRING(INT(D36*10000),2)&amp;"元整",NUMBERSTRING(INT(D36),2)&amp;"元整")</f>
        <v>叁佰贰拾伍万伍仟叁佰捌拾叁元整</v>
      </c>
      <c r="E37" s="2672"/>
    </row>
    <row r="38" spans="1:5" ht="14.25">
      <c r="A38" s="2672"/>
      <c r="B38" s="2762"/>
      <c r="C38" s="2680" t="s">
        <v>99</v>
      </c>
      <c r="D38" s="2693">
        <f ca="1">IF('数据-取费表'!E3="否",结果表!D113,'结果表 (1修多)'!D116)</f>
        <v>59275</v>
      </c>
      <c r="E38" s="2672"/>
    </row>
    <row r="39" spans="1:5" ht="14.25">
      <c r="A39" s="2672"/>
      <c r="B39" s="2763" t="str">
        <f>B18</f>
        <v>——</v>
      </c>
      <c r="C39" s="2694" t="str">
        <f>C28</f>
        <v>总价</v>
      </c>
      <c r="D39" s="2688" t="str">
        <f>IF('数据-取费表'!E3="否",结果表!I112,'结果表 (1修多)'!I113)</f>
        <v>——</v>
      </c>
      <c r="E39" s="2672"/>
    </row>
    <row r="40" spans="1:5" ht="14.25">
      <c r="A40" s="2672"/>
      <c r="B40" s="2763"/>
      <c r="C40" s="2691" t="s">
        <v>90</v>
      </c>
      <c r="D40" s="2695" t="e">
        <f>IF('数据-取费表'!B3="万元",NUMBERSTRING(INT(D39*10000),2)&amp;"元整",NUMBERSTRING(INT(D39),2)&amp;"元整")</f>
        <v>#VALUE!</v>
      </c>
      <c r="E40" s="2672"/>
    </row>
    <row r="41" spans="1:5" ht="14.25">
      <c r="A41" s="2672"/>
      <c r="B41" s="2763"/>
      <c r="C41" s="2680" t="s">
        <v>99</v>
      </c>
      <c r="D41" s="2693" t="str">
        <f>IF('数据-取费表'!E3="否",结果表!D115,'结果表 (1修多)'!D118)</f>
        <v>——</v>
      </c>
      <c r="E41" s="2672"/>
    </row>
    <row r="42" spans="1:5" ht="14.25">
      <c r="A42" s="2672"/>
      <c r="B42" s="2762" t="str">
        <f>B21</f>
        <v>——</v>
      </c>
      <c r="C42" s="2694" t="str">
        <f>C28</f>
        <v>总价</v>
      </c>
      <c r="D42" s="2688" t="str">
        <f>IF('数据-取费表'!E3="否",结果表!I114,'结果表 (1修多)'!I115)</f>
        <v>——</v>
      </c>
      <c r="E42" s="2672"/>
    </row>
    <row r="43" spans="1:5" ht="14.25">
      <c r="A43" s="2672"/>
      <c r="B43" s="2760"/>
      <c r="C43" s="2691" t="s">
        <v>90</v>
      </c>
      <c r="D43" s="2696" t="e">
        <f>IF('数据-取费表'!B3="万元",NUMBERSTRING(INT(D42*10000),2)&amp;"元整",NUMBERSTRING(INT(D42),2)&amp;"元整")</f>
        <v>#VALUE!</v>
      </c>
      <c r="E43" s="2672"/>
    </row>
    <row r="44" spans="1:5" ht="14.25">
      <c r="A44" s="2672"/>
      <c r="B44" s="2764"/>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单位：元、元/平方米（单位：人民币）</v>
      </c>
      <c r="C45" s="2672"/>
      <c r="D45" s="2672"/>
      <c r="E45" s="2672"/>
    </row>
    <row r="46" spans="1:5" ht="18.75">
      <c r="B46" s="2698"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83" t="str">
        <f>IF(项目基本情况!D5="房地产市场价值","估价结果一览表","结果表-2")</f>
        <v>估价结果一览表</v>
      </c>
      <c r="B1" s="2783"/>
      <c r="C1" s="2783"/>
      <c r="D1" s="2783"/>
      <c r="E1" s="2783"/>
      <c r="F1" s="2783"/>
      <c r="G1" s="2783"/>
      <c r="H1" s="2783"/>
      <c r="I1" s="2783"/>
    </row>
    <row r="2" spans="1:9" ht="30" customHeight="1">
      <c r="A2" s="2784" t="s">
        <v>102</v>
      </c>
      <c r="B2" s="2784" t="s">
        <v>103</v>
      </c>
      <c r="C2" s="2784" t="s">
        <v>104</v>
      </c>
      <c r="D2" s="2784" t="str">
        <f>IF('数据-取费表'!E3="否",结果表!D119,'结果表 (1修多)'!D122)</f>
        <v>出让国有建设用地使用权价值</v>
      </c>
      <c r="E2" s="2784"/>
      <c r="F2" s="2784" t="s">
        <v>105</v>
      </c>
      <c r="G2" s="2784"/>
      <c r="H2" s="2784" t="s">
        <v>106</v>
      </c>
      <c r="I2" s="2784"/>
    </row>
    <row r="3" spans="1:9" ht="15">
      <c r="A3" s="2778"/>
      <c r="B3" s="2778"/>
      <c r="C3" s="2778"/>
      <c r="D3" s="2669" t="s">
        <v>107</v>
      </c>
      <c r="E3" s="2669" t="s">
        <v>108</v>
      </c>
      <c r="F3" s="2669" t="s">
        <v>107</v>
      </c>
      <c r="G3" s="2669" t="s">
        <v>108</v>
      </c>
      <c r="H3" s="2669" t="s">
        <v>107</v>
      </c>
      <c r="I3" s="2669" t="s">
        <v>108</v>
      </c>
    </row>
    <row r="4" spans="1:9" ht="46.5" customHeight="1">
      <c r="A4" s="2669" t="str">
        <f>项目基本情况!I1</f>
        <v>浙江省杭州市房地产</v>
      </c>
      <c r="B4" s="2669">
        <f>结果表!B121</f>
        <v>54.92</v>
      </c>
      <c r="C4" s="2669">
        <f>结果表!C121</f>
        <v>0</v>
      </c>
      <c r="D4" s="2669">
        <f ca="1">IF('数据-取费表'!E3="否",结果表!D121,'结果表 (1修多)'!D124)</f>
        <v>2848481</v>
      </c>
      <c r="E4" s="2669">
        <f ca="1">IF('数据-取费表'!E3="否",结果表!E121,'结果表 (1修多)'!E124)</f>
        <v>51866</v>
      </c>
      <c r="F4" s="2669">
        <f ca="1">IF('数据-取费表'!E3="否",结果表!F121,'结果表 (1修多)'!F124)</f>
        <v>406902</v>
      </c>
      <c r="G4" s="2669">
        <f ca="1">IF('数据-取费表'!E3="否",结果表!G121,'结果表 (1修多)'!G124)</f>
        <v>7409</v>
      </c>
      <c r="H4" s="2669">
        <f ca="1">IF('数据-取费表'!E3="否",结果表!H121,'结果表 (1修多)'!H124)</f>
        <v>3255383</v>
      </c>
      <c r="I4" s="2669">
        <f ca="1">IF('数据-取费表'!E3="否",结果表!I121,'结果表 (1修多)'!I124)</f>
        <v>59275</v>
      </c>
    </row>
    <row r="5" spans="1:9" ht="15">
      <c r="A5" s="2778" t="s">
        <v>109</v>
      </c>
      <c r="B5" s="2778"/>
      <c r="C5" s="2778"/>
      <c r="D5" s="2779" t="str">
        <f ca="1">IF('数据-取费表'!E3="否",结果表!D122,'结果表 (1修多)'!D125)</f>
        <v>贰佰捌拾肆万捌仟肆佰捌拾壹元整</v>
      </c>
      <c r="E5" s="2779"/>
      <c r="F5" s="2779" t="str">
        <f ca="1">IF('数据-取费表'!E3="否",结果表!F122,'结果表 (1修多)'!F125)</f>
        <v>肆拾万陆仟玖佰零贰元整</v>
      </c>
      <c r="G5" s="2779"/>
      <c r="H5" s="2779" t="str">
        <f ca="1">IF('数据-取费表'!E3="否",结果表!H122,'结果表 (1修多)'!H125)</f>
        <v>叁佰贰拾伍万伍仟叁佰捌拾叁元整</v>
      </c>
      <c r="I5" s="2779"/>
    </row>
    <row r="6" spans="1:9" ht="15.75">
      <c r="A6" s="2774" t="str">
        <f>IF('数据-取费表'!E3="否",结果表!A123,'结果表 (1修多)'!A126)</f>
        <v>——</v>
      </c>
      <c r="B6" s="2774"/>
      <c r="C6" s="2774"/>
      <c r="D6" s="2774">
        <f>IF('数据-取费表'!E3="否",结果表!D123,'结果表 (1修多)'!D126)</f>
        <v>0</v>
      </c>
      <c r="E6" s="2774"/>
      <c r="F6" s="2774"/>
      <c r="G6" s="2774"/>
      <c r="H6" s="2774"/>
      <c r="I6" s="2774"/>
    </row>
    <row r="7" spans="1:9" ht="15">
      <c r="A7" s="2778" t="s">
        <v>109</v>
      </c>
      <c r="B7" s="2778"/>
      <c r="C7" s="2778"/>
      <c r="D7" s="2780">
        <f>IF('数据-取费表'!E3="否",结果表!D124,'结果表 (1修多)'!D127)</f>
        <v>0</v>
      </c>
      <c r="E7" s="2781"/>
      <c r="F7" s="2781"/>
      <c r="G7" s="2781"/>
      <c r="H7" s="2781"/>
      <c r="I7" s="2782"/>
    </row>
    <row r="8" spans="1:9" ht="15.75">
      <c r="A8" s="2774" t="str">
        <f>IF('数据-取费表'!E3="否",结果表!A125,'结果表 (1修多)'!A128)</f>
        <v>——</v>
      </c>
      <c r="B8" s="2774"/>
      <c r="C8" s="2774"/>
      <c r="D8" s="2774">
        <f ca="1">IF('数据-取费表'!E3="否",结果表!D125,'结果表 (1修多)'!D128)</f>
        <v>3255383</v>
      </c>
      <c r="E8" s="2774"/>
      <c r="F8" s="2774"/>
      <c r="G8" s="2774"/>
      <c r="H8" s="2774"/>
      <c r="I8" s="2774"/>
    </row>
    <row r="9" spans="1:9" ht="15">
      <c r="A9" s="2778" t="s">
        <v>109</v>
      </c>
      <c r="B9" s="2778"/>
      <c r="C9" s="2778"/>
      <c r="D9" s="2779">
        <f ca="1">IF('数据-取费表'!E3="否",结果表!D126,'结果表 (1修多)'!D129)</f>
        <v>59275</v>
      </c>
      <c r="E9" s="2779"/>
      <c r="F9" s="2779"/>
      <c r="G9" s="2779"/>
      <c r="H9" s="2779"/>
      <c r="I9" s="2779"/>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8" t="s">
        <v>109</v>
      </c>
      <c r="B11" s="2778"/>
      <c r="C11" s="2778"/>
      <c r="D11" s="2779" t="str">
        <f>IF('数据-取费表'!E3="否",结果表!D128,'结果表 (1修多)'!D131)</f>
        <v>——</v>
      </c>
      <c r="E11" s="2779"/>
      <c r="F11" s="2779"/>
      <c r="G11" s="2779"/>
      <c r="H11" s="2779"/>
      <c r="I11" s="2779"/>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
      <c r="A13" s="2775" t="s">
        <v>109</v>
      </c>
      <c r="B13" s="2775"/>
      <c r="C13" s="2775"/>
      <c r="D13" s="2776">
        <f>IF('数据-取费表'!E3="否",结果表!D130,'结果表 (1修多)'!D133)</f>
        <v>0</v>
      </c>
      <c r="E13" s="2776"/>
      <c r="F13" s="2776"/>
      <c r="G13" s="2776"/>
      <c r="H13" s="2776"/>
      <c r="I13" s="2776"/>
    </row>
    <row r="14" spans="1:9">
      <c r="A14" s="2777" t="str">
        <f>IF('数据-取费表'!E3="否",结果表!A131,'结果表 (1修多)'!A134)</f>
        <v>单位：平方米、元、元/平方米（币种：人民币）</v>
      </c>
      <c r="B14" s="2777"/>
      <c r="C14" s="2777"/>
      <c r="D14" s="2777"/>
      <c r="E14" s="2777"/>
      <c r="F14" s="2777"/>
      <c r="G14" s="2777"/>
      <c r="H14" s="2777"/>
      <c r="I14" s="2777"/>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8" t="s">
        <v>111</v>
      </c>
      <c r="B1" s="2788"/>
      <c r="C1" s="2788"/>
      <c r="D1" s="2788"/>
    </row>
    <row r="2" spans="1:4" ht="18">
      <c r="A2" s="2789" t="s">
        <v>112</v>
      </c>
      <c r="B2" s="2789"/>
      <c r="C2" s="2789"/>
      <c r="D2" s="2789"/>
    </row>
    <row r="3" spans="1:4" ht="18.75">
      <c r="A3" s="2656" t="s">
        <v>113</v>
      </c>
      <c r="B3" s="2656" t="s">
        <v>114</v>
      </c>
      <c r="C3" s="2656" t="s">
        <v>115</v>
      </c>
      <c r="D3" s="2656" t="s">
        <v>116</v>
      </c>
    </row>
    <row r="4" spans="1:4" ht="56.25" customHeight="1">
      <c r="A4" s="2657" t="str">
        <f>项目基本情况!B3</f>
        <v>吴薇</v>
      </c>
      <c r="B4" s="2658">
        <f ca="1">项目基本情况!C3</f>
        <v>1419970001</v>
      </c>
      <c r="C4" s="2659"/>
      <c r="D4" s="2660" t="s">
        <v>117</v>
      </c>
    </row>
    <row r="5" spans="1:4" ht="56.25" customHeight="1">
      <c r="A5" s="2657" t="str">
        <f>项目基本情况!D3</f>
        <v>崔锴</v>
      </c>
      <c r="B5" s="2658">
        <f ca="1">项目基本情况!E3</f>
        <v>1120100036</v>
      </c>
      <c r="C5" s="2661"/>
      <c r="D5" s="2660" t="s">
        <v>117</v>
      </c>
    </row>
    <row r="6" spans="1:4" ht="12" customHeight="1">
      <c r="A6" s="2657"/>
      <c r="B6" s="2658"/>
      <c r="C6" s="2662"/>
      <c r="D6" s="2660"/>
    </row>
    <row r="7" spans="1:4" ht="18">
      <c r="A7" s="2789" t="s">
        <v>118</v>
      </c>
      <c r="B7" s="2789"/>
      <c r="C7" s="2789"/>
      <c r="D7" s="2789"/>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5" t="s">
        <v>123</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124</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125</v>
      </c>
      <c r="B20" s="2786"/>
      <c r="C20" s="2786"/>
      <c r="D20" s="2786"/>
    </row>
    <row r="21" spans="1:4">
      <c r="A21" s="2664"/>
      <c r="B21" s="320"/>
      <c r="C21" s="320"/>
      <c r="D21" s="320"/>
    </row>
    <row r="22" spans="1:4">
      <c r="A22" s="2664"/>
      <c r="B22" s="320"/>
      <c r="C22" s="320"/>
      <c r="D22" s="320"/>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6"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2" t="s">
        <v>141</v>
      </c>
      <c r="B15" s="2797" t="s">
        <v>142</v>
      </c>
      <c r="C15" s="2791"/>
    </row>
    <row r="16" spans="1:7" ht="14.25">
      <c r="A16" s="2793"/>
      <c r="B16" s="2797" t="s">
        <v>143</v>
      </c>
      <c r="C16" s="2791"/>
    </row>
    <row r="17" spans="1:3" ht="14.25">
      <c r="A17" s="2793"/>
      <c r="B17" s="2797" t="s">
        <v>144</v>
      </c>
      <c r="C17" s="2791"/>
    </row>
    <row r="18" spans="1:3" ht="14.25">
      <c r="A18" s="2794"/>
      <c r="B18" s="2790" t="s">
        <v>145</v>
      </c>
      <c r="C18" s="2791"/>
    </row>
    <row r="19" spans="1:3" ht="14.25">
      <c r="A19" s="2649" t="s">
        <v>146</v>
      </c>
      <c r="B19" s="2650"/>
      <c r="C19" s="2651"/>
    </row>
    <row r="20" spans="1:3" ht="14.25">
      <c r="A20" s="2795" t="s">
        <v>147</v>
      </c>
      <c r="B20" s="2790" t="s">
        <v>148</v>
      </c>
      <c r="C20" s="2791"/>
    </row>
    <row r="21" spans="1:3" ht="14.25">
      <c r="A21" s="2795"/>
      <c r="B21" s="2790" t="s">
        <v>149</v>
      </c>
      <c r="C21" s="2791"/>
    </row>
    <row r="22" spans="1:3" ht="14.25">
      <c r="A22" s="2795"/>
      <c r="B22" s="2790" t="s">
        <v>150</v>
      </c>
      <c r="C22" s="2791"/>
    </row>
    <row r="23" spans="1:3" ht="14.25">
      <c r="A23" s="2795"/>
      <c r="B23" s="2796" t="s">
        <v>151</v>
      </c>
      <c r="C23" s="2652" t="s">
        <v>152</v>
      </c>
    </row>
    <row r="24" spans="1:3" ht="14.25">
      <c r="A24" s="2795"/>
      <c r="B24" s="2796"/>
      <c r="C24" s="2652" t="s">
        <v>153</v>
      </c>
    </row>
    <row r="25" spans="1:3" ht="14.25">
      <c r="A25" s="2795"/>
      <c r="B25" s="2796"/>
      <c r="C25" s="2652" t="s">
        <v>154</v>
      </c>
    </row>
    <row r="26" spans="1:3" ht="14.25">
      <c r="A26" s="2795"/>
      <c r="B26" s="2796"/>
      <c r="C26" s="2652" t="s">
        <v>155</v>
      </c>
    </row>
    <row r="27" spans="1:3" ht="14.25">
      <c r="A27" s="2795"/>
      <c r="B27" s="2796"/>
      <c r="C27" s="2652" t="s">
        <v>156</v>
      </c>
    </row>
    <row r="28" spans="1:3" ht="14.25">
      <c r="A28" s="2795"/>
      <c r="B28" s="2796"/>
      <c r="C28" s="2652" t="s">
        <v>157</v>
      </c>
    </row>
    <row r="29" spans="1:3" ht="14.25">
      <c r="A29" s="2795"/>
      <c r="B29" s="2796"/>
      <c r="C29" s="2652" t="s">
        <v>158</v>
      </c>
    </row>
    <row r="30" spans="1:3" ht="14.25">
      <c r="A30" s="2795"/>
      <c r="B30" s="2796"/>
      <c r="C30" s="2652" t="s">
        <v>159</v>
      </c>
    </row>
    <row r="31" spans="1:3" ht="14.25">
      <c r="A31" s="2795"/>
      <c r="B31" s="2796"/>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16384" width="22.625" style="2612"/>
  </cols>
  <sheetData>
    <row r="2" spans="1:8" ht="24" customHeight="1">
      <c r="A2" s="2613" t="s">
        <v>162</v>
      </c>
      <c r="B2" s="2614">
        <f ca="1">TODAY()</f>
        <v>43707</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43849</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t="s">
        <v>172</v>
      </c>
      <c r="B5" s="2620">
        <f ca="1">IF(C5&lt;B2,"已过期",1119970074)</f>
        <v>1119970074</v>
      </c>
      <c r="C5" s="2622">
        <v>43849</v>
      </c>
      <c r="D5" s="2623" t="str">
        <f t="shared" ref="D5:D24" ca="1" si="0">A5&amp;"（注册号："&amp;B5&amp;"）"</f>
        <v>李立（注册号：1119970074）</v>
      </c>
      <c r="E5" s="2621" t="s">
        <v>172</v>
      </c>
      <c r="F5" s="2620">
        <f ca="1">IF(G5&lt;B2,"已过期",2002110027)</f>
        <v>2002110027</v>
      </c>
      <c r="G5" s="2624">
        <v>46752</v>
      </c>
      <c r="H5" s="2625" t="str">
        <f t="shared" ref="H5:H24" ca="1" si="1">E5&amp;"（注册号："&amp;F5&amp;"）"</f>
        <v>李立（注册号：2002110027）</v>
      </c>
    </row>
    <row r="6" spans="1:8" ht="24" customHeight="1">
      <c r="A6" s="2621" t="s">
        <v>173</v>
      </c>
      <c r="B6" s="2620">
        <f ca="1">IF(C6&lt;B2,"已过期",1119970111)</f>
        <v>1119970111</v>
      </c>
      <c r="C6" s="2622">
        <v>43849</v>
      </c>
      <c r="D6" s="2623" t="str">
        <f t="shared" ca="1" si="0"/>
        <v>叶凌（注册号：1119970111）</v>
      </c>
      <c r="E6" s="2621" t="s">
        <v>173</v>
      </c>
      <c r="F6" s="2620">
        <f ca="1">IF(G6&lt;B2,"已过期",94010078)</f>
        <v>94010078</v>
      </c>
      <c r="G6" s="2624">
        <v>46387</v>
      </c>
      <c r="H6" s="2625" t="str">
        <f t="shared" ca="1" si="1"/>
        <v>叶凌（注册号：94010078）</v>
      </c>
    </row>
    <row r="7" spans="1:8" ht="24" customHeight="1">
      <c r="A7" s="2621" t="s">
        <v>174</v>
      </c>
      <c r="B7" s="2620">
        <f ca="1">IF(C7&lt;B2,"已过期",1120050019)</f>
        <v>1120050019</v>
      </c>
      <c r="C7" s="2622">
        <v>44395</v>
      </c>
      <c r="D7" s="2623" t="str">
        <f t="shared" ca="1" si="0"/>
        <v>王鹏（注册号：1120050019）</v>
      </c>
      <c r="E7" s="2621" t="s">
        <v>174</v>
      </c>
      <c r="F7" s="2620">
        <f ca="1">IF(G7&lt;B2,"已过期",2002110030)</f>
        <v>2002110030</v>
      </c>
      <c r="G7" s="2624">
        <v>46387</v>
      </c>
      <c r="H7" s="2625" t="str">
        <f t="shared" ca="1" si="1"/>
        <v>王鹏（注册号：2002110030）</v>
      </c>
    </row>
    <row r="8" spans="1:8" ht="24" customHeight="1">
      <c r="A8" s="2621" t="s">
        <v>175</v>
      </c>
      <c r="B8" s="2620">
        <f ca="1">IF(C8&lt;B2,"已过期",1120000080)</f>
        <v>1120000080</v>
      </c>
      <c r="C8" s="2622">
        <v>43849</v>
      </c>
      <c r="D8" s="2623" t="str">
        <f t="shared" ca="1" si="0"/>
        <v>欧红伟（注册号：1120000080）</v>
      </c>
      <c r="E8" s="2621" t="s">
        <v>175</v>
      </c>
      <c r="F8" s="2620">
        <f ca="1">IF(G8&lt;B2,"已过期",2000110082)</f>
        <v>2000110082</v>
      </c>
      <c r="G8" s="2624">
        <v>46387</v>
      </c>
      <c r="H8" s="2625" t="str">
        <f t="shared" ca="1" si="1"/>
        <v>欧红伟（注册号：2000110082）</v>
      </c>
    </row>
    <row r="9" spans="1:8" ht="24" customHeight="1">
      <c r="A9" s="2621" t="s">
        <v>176</v>
      </c>
      <c r="B9" s="2620">
        <f ca="1">IF(C9&lt;B2,"已过期",1419970001)</f>
        <v>1419970001</v>
      </c>
      <c r="C9" s="2622">
        <v>43867</v>
      </c>
      <c r="D9" s="2623" t="str">
        <f t="shared" ca="1" si="0"/>
        <v>吴薇（注册号：1419970001）</v>
      </c>
      <c r="E9" s="2621" t="s">
        <v>176</v>
      </c>
      <c r="F9" s="2620">
        <f ca="1">IF(G9&lt;B2,"已过期",2002110125)</f>
        <v>2002110125</v>
      </c>
      <c r="G9" s="2624">
        <v>47118</v>
      </c>
      <c r="H9" s="2625" t="str">
        <f t="shared" ca="1" si="1"/>
        <v>吴薇（注册号：2002110125）</v>
      </c>
    </row>
    <row r="10" spans="1:8" ht="24" customHeight="1">
      <c r="A10" s="2621" t="s">
        <v>177</v>
      </c>
      <c r="B10" s="2620">
        <f ca="1">IF(C10&lt;B2,"已过期",1120060040)</f>
        <v>1120060040</v>
      </c>
      <c r="C10" s="2626">
        <v>44554</v>
      </c>
      <c r="D10" s="2623" t="str">
        <f t="shared" ca="1" si="0"/>
        <v>陈颖（注册号：1120060040）</v>
      </c>
      <c r="E10" s="2621" t="s">
        <v>177</v>
      </c>
      <c r="F10" s="2620">
        <f ca="1">IF(G10&lt;B2,"已过期",2004110096)</f>
        <v>2004110096</v>
      </c>
      <c r="G10" s="2624">
        <v>47118</v>
      </c>
      <c r="H10" s="2625" t="str">
        <f t="shared" ca="1" si="1"/>
        <v>陈颖（注册号：2004110096）</v>
      </c>
    </row>
    <row r="11" spans="1:8" ht="24" customHeight="1">
      <c r="A11" s="2621" t="s">
        <v>178</v>
      </c>
      <c r="B11" s="2620">
        <f ca="1">IF(C11&lt;B2,"已过期",1120100036)</f>
        <v>1120100036</v>
      </c>
      <c r="C11" s="2626">
        <v>44675</v>
      </c>
      <c r="D11" s="2623" t="str">
        <f t="shared" ca="1" si="0"/>
        <v>崔锴（注册号：1120100036）</v>
      </c>
      <c r="E11" s="2621" t="s">
        <v>178</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179</v>
      </c>
      <c r="B13" s="2620">
        <f ca="1">IF(C13&lt;B2,"已过期",1120070131)</f>
        <v>1120070131</v>
      </c>
      <c r="C13" s="2622">
        <v>43814</v>
      </c>
      <c r="D13" s="2623" t="str">
        <f t="shared" ca="1" si="0"/>
        <v>郑燚（注册号：1120070131）</v>
      </c>
      <c r="E13" s="2621" t="s">
        <v>179</v>
      </c>
      <c r="F13" s="2620">
        <f ca="1">IF(G13&lt;B2,"已过期",2014110011)</f>
        <v>2014110011</v>
      </c>
      <c r="G13" s="2624">
        <v>49302</v>
      </c>
      <c r="H13" s="2625" t="str">
        <f t="shared" ca="1" si="1"/>
        <v>郑燚（注册号：2014110011）</v>
      </c>
    </row>
    <row r="14" spans="1:8" ht="24" customHeight="1">
      <c r="A14" s="2621" t="s">
        <v>180</v>
      </c>
      <c r="B14" s="2620">
        <f ca="1">IF(C14&lt;B2,"已过期",1120040230)</f>
        <v>1120040230</v>
      </c>
      <c r="C14" s="2626">
        <v>43835</v>
      </c>
      <c r="D14" s="2623" t="str">
        <f t="shared" ca="1" si="0"/>
        <v>苏海（注册号：1120040230）</v>
      </c>
      <c r="E14" s="2627" t="s">
        <v>180</v>
      </c>
      <c r="F14" s="2620">
        <f ca="1">IF(G14&lt;B2,"已过期",98030020)</f>
        <v>98030020</v>
      </c>
      <c r="G14" s="2624">
        <v>47118</v>
      </c>
      <c r="H14" s="2625" t="str">
        <f t="shared" ca="1" si="1"/>
        <v>苏海（注册号：98030020）</v>
      </c>
    </row>
    <row r="15" spans="1:8" ht="24" customHeight="1">
      <c r="A15" s="2628" t="s">
        <v>181</v>
      </c>
      <c r="B15" s="2620">
        <f ca="1">IF(C15&lt;B2,"已过期",1120070085)</f>
        <v>1120070085</v>
      </c>
      <c r="C15" s="2626">
        <v>43814</v>
      </c>
      <c r="D15" s="2623" t="str">
        <f t="shared" ca="1" si="0"/>
        <v>杨红英（注册号：1120070085）</v>
      </c>
      <c r="E15" s="2628" t="s">
        <v>181</v>
      </c>
      <c r="F15" s="2620">
        <f ca="1">IF(G15&lt;B2,"已过期",2004110128)</f>
        <v>2004110128</v>
      </c>
      <c r="G15" s="2629">
        <v>47118</v>
      </c>
      <c r="H15" s="2625" t="str">
        <f t="shared" ca="1" si="1"/>
        <v>杨红英（注册号：2004110128）</v>
      </c>
    </row>
    <row r="16" spans="1:8" ht="24" customHeight="1">
      <c r="A16" s="2621" t="s">
        <v>182</v>
      </c>
      <c r="B16" s="2620">
        <f ca="1">IF(C16&lt;B2,"已过期",1120140022)</f>
        <v>1120140022</v>
      </c>
      <c r="C16" s="2622">
        <v>44029</v>
      </c>
      <c r="D16" s="2623" t="str">
        <f t="shared" ca="1" si="0"/>
        <v>刘梅（注册号：1120140022）</v>
      </c>
      <c r="E16" s="2621" t="s">
        <v>182</v>
      </c>
      <c r="F16" s="2620">
        <f ca="1">IF(G16&lt;B2,"已过期",2008110059)</f>
        <v>2008110059</v>
      </c>
      <c r="G16" s="2624">
        <v>47177</v>
      </c>
      <c r="H16" s="2625" t="str">
        <f t="shared" ca="1" si="1"/>
        <v>刘梅（注册号：2008110059）</v>
      </c>
    </row>
    <row r="17" spans="1:8" ht="24" customHeight="1">
      <c r="A17" s="2621"/>
      <c r="B17" s="2620"/>
      <c r="C17" s="2622"/>
      <c r="D17" s="2623"/>
      <c r="E17" s="2627" t="s">
        <v>183</v>
      </c>
      <c r="F17" s="2620">
        <f ca="1">IF(G17&lt;B2,"已过期",2014110076)</f>
        <v>2014110076</v>
      </c>
      <c r="G17" s="2624">
        <v>49302</v>
      </c>
      <c r="H17" s="2625"/>
    </row>
    <row r="18" spans="1:8" ht="24" customHeight="1">
      <c r="A18" s="2621"/>
      <c r="B18" s="2620"/>
      <c r="C18" s="2622"/>
      <c r="D18" s="2623"/>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184</v>
      </c>
      <c r="F21" s="2620">
        <f ca="1">IF(G21&lt;B2,"已过期",2011110090)</f>
        <v>2011110090</v>
      </c>
      <c r="G21" s="2624">
        <v>48302</v>
      </c>
      <c r="H21" s="2625" t="str">
        <f t="shared" ca="1" si="1"/>
        <v>赵雯（注册号：2011110090）</v>
      </c>
    </row>
    <row r="22" spans="1:8" ht="24" customHeight="1">
      <c r="A22" s="2621" t="s">
        <v>185</v>
      </c>
      <c r="B22" s="2620">
        <f ca="1">IF(C22&lt;B2,"已过期",1120020033)</f>
        <v>1120020033</v>
      </c>
      <c r="C22" s="2622">
        <v>44339</v>
      </c>
      <c r="D22" s="2623" t="str">
        <f t="shared" ca="1" si="0"/>
        <v>刘敬东（注册号：1120020033）</v>
      </c>
      <c r="E22" s="2621" t="s">
        <v>185</v>
      </c>
      <c r="F22" s="2620">
        <f ca="1">IF(G22&lt;B2,"已过期",2000110137)</f>
        <v>2000110137</v>
      </c>
      <c r="G22" s="2624">
        <v>46387</v>
      </c>
      <c r="H22" s="2625" t="str">
        <f t="shared" ca="1" si="1"/>
        <v>刘敬东（注册号：2000110137）</v>
      </c>
    </row>
    <row r="23" spans="1:8" ht="24" customHeight="1">
      <c r="A23" s="2621"/>
      <c r="B23" s="2620"/>
      <c r="C23" s="2622"/>
      <c r="D23" s="2623" t="str">
        <f t="shared" si="0"/>
        <v>（注册号：）</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798" t="s">
        <v>186</v>
      </c>
      <c r="B25" s="2798"/>
      <c r="C25" s="2798"/>
      <c r="D25" s="2798"/>
      <c r="E25" s="2798"/>
      <c r="F25" s="2798"/>
      <c r="G25" s="2798"/>
      <c r="H25" s="2798"/>
    </row>
    <row r="26" spans="1:8" s="2610" customFormat="1" ht="24" customHeight="1">
      <c r="A26" s="2799" t="s">
        <v>187</v>
      </c>
      <c r="B26" s="2799"/>
      <c r="C26" s="2799"/>
      <c r="D26" s="2630"/>
      <c r="E26" s="2630"/>
      <c r="F26" s="2799" t="s">
        <v>188</v>
      </c>
      <c r="G26" s="2799"/>
      <c r="H26" s="2799"/>
    </row>
    <row r="27" spans="1:8" s="2611" customFormat="1" ht="24" customHeight="1">
      <c r="A27" s="2631" t="s">
        <v>189</v>
      </c>
      <c r="B27" s="2617" t="s">
        <v>190</v>
      </c>
      <c r="C27" s="2617" t="s">
        <v>166</v>
      </c>
      <c r="D27" s="2617"/>
      <c r="E27" s="2617"/>
      <c r="F27" s="2620" t="s">
        <v>189</v>
      </c>
      <c r="G27" s="2617" t="s">
        <v>190</v>
      </c>
      <c r="H27" s="2617" t="s">
        <v>166</v>
      </c>
    </row>
    <row r="28" spans="1:8" s="2611" customFormat="1" ht="24" customHeight="1">
      <c r="A28" s="2632" t="s">
        <v>191</v>
      </c>
      <c r="B28" s="2633" t="s">
        <v>192</v>
      </c>
      <c r="C28" s="2624">
        <v>43725</v>
      </c>
      <c r="D28" s="2624"/>
      <c r="E28" s="2624"/>
      <c r="F28" s="2632" t="s">
        <v>193</v>
      </c>
      <c r="G28" s="2632" t="s">
        <v>194</v>
      </c>
      <c r="H28" s="2634">
        <v>44377</v>
      </c>
    </row>
    <row r="29" spans="1:8" s="2611" customFormat="1" ht="24" customHeight="1">
      <c r="A29" s="2632"/>
      <c r="B29" s="2632"/>
      <c r="C29" s="2635"/>
      <c r="D29" s="2635"/>
      <c r="E29" s="2635"/>
      <c r="F29" s="2632" t="s">
        <v>195</v>
      </c>
      <c r="G29" s="2636" t="s">
        <v>196</v>
      </c>
      <c r="H29" s="2637">
        <v>43646</v>
      </c>
    </row>
    <row r="30" spans="1:8" ht="24" customHeight="1">
      <c r="C30" s="2638"/>
      <c r="D30" s="2638"/>
      <c r="E30" s="2638"/>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4" customWidth="1"/>
    <col min="2" max="2" width="22.5" style="2595"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5" customWidth="1"/>
    <col min="27" max="16384" width="9" style="2595"/>
  </cols>
  <sheetData>
    <row r="1" spans="1:25" s="2593" customFormat="1" ht="27">
      <c r="A1" s="2596" t="s">
        <v>197</v>
      </c>
      <c r="B1" s="2597" t="s">
        <v>198</v>
      </c>
      <c r="C1" s="2598" t="s">
        <v>199</v>
      </c>
      <c r="D1" s="2599" t="s">
        <v>200</v>
      </c>
      <c r="E1" s="2599" t="s">
        <v>201</v>
      </c>
      <c r="F1" s="2599" t="s">
        <v>202</v>
      </c>
      <c r="G1" s="2599" t="s">
        <v>203</v>
      </c>
      <c r="H1" s="2599" t="s">
        <v>204</v>
      </c>
      <c r="I1" s="2599" t="s">
        <v>205</v>
      </c>
      <c r="J1" s="2599" t="s">
        <v>206</v>
      </c>
      <c r="K1" s="2599" t="s">
        <v>207</v>
      </c>
      <c r="L1" s="2599" t="s">
        <v>208</v>
      </c>
      <c r="M1" s="2599" t="s">
        <v>209</v>
      </c>
      <c r="N1" s="2599" t="s">
        <v>210</v>
      </c>
      <c r="O1" s="2599" t="s">
        <v>211</v>
      </c>
      <c r="P1" s="2607" t="s">
        <v>212</v>
      </c>
      <c r="Q1" s="2607" t="s">
        <v>213</v>
      </c>
      <c r="R1" s="2607" t="s">
        <v>214</v>
      </c>
      <c r="S1" s="2599" t="s">
        <v>215</v>
      </c>
      <c r="T1" s="2608" t="s">
        <v>216</v>
      </c>
      <c r="U1" s="2599" t="s">
        <v>217</v>
      </c>
      <c r="V1" s="2599" t="s">
        <v>218</v>
      </c>
      <c r="W1" s="2599" t="s">
        <v>219</v>
      </c>
      <c r="X1" s="2599" t="s">
        <v>220</v>
      </c>
      <c r="Y1" s="2599" t="s">
        <v>221</v>
      </c>
    </row>
    <row r="2" spans="1:25">
      <c r="A2" s="2600" t="s">
        <v>121</v>
      </c>
      <c r="B2" s="2600" t="s">
        <v>222</v>
      </c>
      <c r="C2" s="2601"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600" t="s">
        <v>234</v>
      </c>
      <c r="B3" s="2602"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600" t="s">
        <v>246</v>
      </c>
      <c r="B4" s="2602" t="s">
        <v>247</v>
      </c>
      <c r="C4" s="2601"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600" t="s">
        <v>256</v>
      </c>
      <c r="B5" s="2600" t="s">
        <v>257</v>
      </c>
      <c r="C5" s="2601"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5"/>
    </row>
    <row r="6" spans="1:25">
      <c r="A6" s="2600" t="s">
        <v>264</v>
      </c>
      <c r="B6" s="2600"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5"/>
    </row>
    <row r="7" spans="1:25">
      <c r="A7" s="2600" t="s">
        <v>270</v>
      </c>
      <c r="B7" s="2602" t="s">
        <v>271</v>
      </c>
      <c r="C7" s="2601" t="s">
        <v>272</v>
      </c>
      <c r="F7" s="548" t="s">
        <v>273</v>
      </c>
      <c r="H7" s="548" t="s">
        <v>155</v>
      </c>
      <c r="I7" s="548" t="s">
        <v>274</v>
      </c>
      <c r="X7" s="2605"/>
    </row>
    <row r="8" spans="1:25">
      <c r="A8" s="2600" t="s">
        <v>275</v>
      </c>
      <c r="B8" s="2602" t="s">
        <v>276</v>
      </c>
      <c r="C8" s="2601" t="s">
        <v>277</v>
      </c>
      <c r="F8" s="548" t="s">
        <v>278</v>
      </c>
      <c r="H8" s="548" t="s">
        <v>279</v>
      </c>
      <c r="I8" s="548" t="s">
        <v>280</v>
      </c>
      <c r="X8" s="2605"/>
    </row>
    <row r="9" spans="1:25">
      <c r="A9" s="2600" t="s">
        <v>281</v>
      </c>
      <c r="B9" s="2600" t="s">
        <v>282</v>
      </c>
      <c r="C9" s="2601" t="s">
        <v>283</v>
      </c>
      <c r="F9" s="548" t="s">
        <v>157</v>
      </c>
      <c r="H9" s="548" t="s">
        <v>284</v>
      </c>
    </row>
    <row r="10" spans="1:25">
      <c r="A10" s="2600" t="s">
        <v>285</v>
      </c>
      <c r="B10" s="2600" t="s">
        <v>286</v>
      </c>
      <c r="C10" s="2601" t="s">
        <v>287</v>
      </c>
      <c r="F10" s="548" t="s">
        <v>121</v>
      </c>
    </row>
    <row r="11" spans="1:25">
      <c r="A11" s="2600" t="s">
        <v>288</v>
      </c>
      <c r="B11" s="2600" t="s">
        <v>289</v>
      </c>
      <c r="C11" s="2601" t="s">
        <v>290</v>
      </c>
    </row>
    <row r="12" spans="1:25">
      <c r="A12" s="2600" t="s">
        <v>291</v>
      </c>
      <c r="B12" s="2600" t="s">
        <v>292</v>
      </c>
      <c r="C12" s="2601" t="s">
        <v>293</v>
      </c>
    </row>
    <row r="13" spans="1:25">
      <c r="A13" s="2600" t="s">
        <v>294</v>
      </c>
      <c r="B13" s="2600" t="s">
        <v>295</v>
      </c>
      <c r="C13" s="2601" t="s">
        <v>296</v>
      </c>
    </row>
    <row r="14" spans="1:25">
      <c r="A14" s="2600" t="s">
        <v>297</v>
      </c>
      <c r="B14" s="2600" t="s">
        <v>298</v>
      </c>
      <c r="C14" s="2601"/>
    </row>
    <row r="15" spans="1:25">
      <c r="A15" s="2600" t="s">
        <v>299</v>
      </c>
      <c r="B15" s="2600" t="s">
        <v>300</v>
      </c>
      <c r="C15" s="2601"/>
    </row>
    <row r="16" spans="1:25">
      <c r="A16" s="2600" t="s">
        <v>301</v>
      </c>
      <c r="B16" s="2600" t="s">
        <v>302</v>
      </c>
      <c r="C16" s="2601"/>
    </row>
    <row r="17" spans="1:3">
      <c r="A17" s="2600" t="s">
        <v>303</v>
      </c>
      <c r="B17" s="2600" t="s">
        <v>304</v>
      </c>
      <c r="C17" s="2601"/>
    </row>
    <row r="18" spans="1:3">
      <c r="A18" s="2600" t="s">
        <v>305</v>
      </c>
      <c r="B18" s="2600" t="s">
        <v>306</v>
      </c>
      <c r="C18" s="2601"/>
    </row>
    <row r="19" spans="1:3">
      <c r="A19" s="2600" t="s">
        <v>307</v>
      </c>
      <c r="B19" s="2600" t="s">
        <v>308</v>
      </c>
      <c r="C19" s="2601"/>
    </row>
    <row r="20" spans="1:3">
      <c r="A20" s="2600" t="s">
        <v>309</v>
      </c>
      <c r="B20" s="2600" t="s">
        <v>310</v>
      </c>
      <c r="C20" s="2601"/>
    </row>
    <row r="21" spans="1:3">
      <c r="A21" s="2600" t="s">
        <v>259</v>
      </c>
      <c r="B21" s="2600" t="s">
        <v>310</v>
      </c>
      <c r="C21" s="2601"/>
    </row>
    <row r="22" spans="1:3">
      <c r="A22" s="2600" t="s">
        <v>311</v>
      </c>
      <c r="B22" s="2600" t="s">
        <v>310</v>
      </c>
      <c r="C22" s="2601"/>
    </row>
    <row r="23" spans="1:3">
      <c r="A23" s="2600" t="s">
        <v>312</v>
      </c>
      <c r="B23" s="2600" t="s">
        <v>310</v>
      </c>
      <c r="C23" s="2601"/>
    </row>
    <row r="24" spans="1:3">
      <c r="A24" s="2600" t="s">
        <v>313</v>
      </c>
      <c r="B24" s="2600" t="s">
        <v>310</v>
      </c>
      <c r="C24" s="2601"/>
    </row>
    <row r="25" spans="1:3">
      <c r="A25" s="2600" t="s">
        <v>314</v>
      </c>
      <c r="B25" s="2600" t="s">
        <v>310</v>
      </c>
      <c r="C25" s="2601"/>
    </row>
    <row r="26" spans="1:3">
      <c r="A26" s="2600" t="s">
        <v>315</v>
      </c>
      <c r="B26" s="2600" t="s">
        <v>310</v>
      </c>
      <c r="C26" s="2601"/>
    </row>
    <row r="27" spans="1:3">
      <c r="A27" s="2600" t="s">
        <v>310</v>
      </c>
      <c r="B27" s="2600" t="s">
        <v>310</v>
      </c>
      <c r="C27" s="2601"/>
    </row>
    <row r="28" spans="1:3">
      <c r="A28" s="2600" t="s">
        <v>310</v>
      </c>
      <c r="B28" s="2600" t="s">
        <v>310</v>
      </c>
      <c r="C28" s="2601"/>
    </row>
    <row r="29" spans="1:3">
      <c r="A29" s="2600" t="s">
        <v>310</v>
      </c>
      <c r="B29" s="2600" t="s">
        <v>310</v>
      </c>
      <c r="C29" s="2601"/>
    </row>
    <row r="30" spans="1:3">
      <c r="A30" s="2600" t="s">
        <v>310</v>
      </c>
      <c r="B30" s="2600" t="s">
        <v>310</v>
      </c>
      <c r="C30" s="2601"/>
    </row>
    <row r="31" spans="1:3">
      <c r="A31" s="2600" t="s">
        <v>310</v>
      </c>
      <c r="B31" s="2600" t="s">
        <v>310</v>
      </c>
      <c r="C31" s="2601"/>
    </row>
    <row r="32" spans="1:3">
      <c r="A32" s="2600" t="s">
        <v>310</v>
      </c>
      <c r="B32" s="2600" t="s">
        <v>310</v>
      </c>
      <c r="C32" s="2601"/>
    </row>
    <row r="33" spans="1:3">
      <c r="A33" s="2600" t="s">
        <v>310</v>
      </c>
      <c r="B33" s="2600" t="s">
        <v>310</v>
      </c>
      <c r="C33" s="2601"/>
    </row>
    <row r="34" spans="1:3">
      <c r="A34" s="2600" t="s">
        <v>310</v>
      </c>
      <c r="B34" s="2600" t="s">
        <v>310</v>
      </c>
      <c r="C34" s="2601"/>
    </row>
    <row r="35" spans="1:3">
      <c r="A35" s="2600" t="s">
        <v>310</v>
      </c>
      <c r="B35" s="2600" t="s">
        <v>310</v>
      </c>
      <c r="C35" s="2601"/>
    </row>
    <row r="36" spans="1:3">
      <c r="A36" s="2600" t="s">
        <v>310</v>
      </c>
      <c r="B36" s="2600" t="s">
        <v>310</v>
      </c>
      <c r="C36" s="2601"/>
    </row>
    <row r="37" spans="1:3">
      <c r="A37" s="2600" t="s">
        <v>310</v>
      </c>
      <c r="B37" s="2600" t="s">
        <v>310</v>
      </c>
      <c r="C37" s="2601"/>
    </row>
    <row r="38" spans="1:3">
      <c r="A38" s="2600" t="s">
        <v>310</v>
      </c>
      <c r="B38" s="2600" t="s">
        <v>310</v>
      </c>
      <c r="C38" s="2601"/>
    </row>
    <row r="39" spans="1:3">
      <c r="A39" s="2600" t="s">
        <v>310</v>
      </c>
      <c r="B39" s="2600" t="s">
        <v>310</v>
      </c>
      <c r="C39" s="2601"/>
    </row>
    <row r="40" spans="1:3">
      <c r="A40" s="2600" t="s">
        <v>310</v>
      </c>
      <c r="B40" s="2600" t="s">
        <v>310</v>
      </c>
      <c r="C40" s="2601"/>
    </row>
    <row r="41" spans="1:3">
      <c r="A41" s="2600" t="s">
        <v>310</v>
      </c>
      <c r="B41" s="2600" t="s">
        <v>310</v>
      </c>
      <c r="C41" s="2601"/>
    </row>
    <row r="42" spans="1:3">
      <c r="A42" s="2600" t="s">
        <v>310</v>
      </c>
      <c r="B42" s="2600" t="s">
        <v>310</v>
      </c>
      <c r="C42" s="2601"/>
    </row>
    <row r="43" spans="1:3">
      <c r="A43" s="2600" t="s">
        <v>310</v>
      </c>
      <c r="B43" s="2600" t="s">
        <v>310</v>
      </c>
      <c r="C43" s="2601"/>
    </row>
    <row r="44" spans="1:3">
      <c r="A44" s="2600" t="s">
        <v>310</v>
      </c>
      <c r="B44" s="2600" t="s">
        <v>310</v>
      </c>
      <c r="C44" s="2601"/>
    </row>
    <row r="45" spans="1:3">
      <c r="A45" s="2600" t="s">
        <v>310</v>
      </c>
      <c r="B45" s="2600" t="s">
        <v>310</v>
      </c>
      <c r="C45" s="2601"/>
    </row>
    <row r="46" spans="1:3">
      <c r="A46" s="2600" t="s">
        <v>310</v>
      </c>
      <c r="B46" s="2600" t="s">
        <v>310</v>
      </c>
      <c r="C46" s="2601"/>
    </row>
    <row r="47" spans="1:3">
      <c r="A47" s="2600" t="s">
        <v>310</v>
      </c>
      <c r="B47" s="2600" t="s">
        <v>310</v>
      </c>
      <c r="C47" s="2601"/>
    </row>
    <row r="48" spans="1:3">
      <c r="A48" s="2600" t="s">
        <v>310</v>
      </c>
      <c r="B48" s="2600" t="s">
        <v>310</v>
      </c>
      <c r="C48" s="2601"/>
    </row>
    <row r="49" spans="1:4">
      <c r="A49" s="2600" t="s">
        <v>310</v>
      </c>
      <c r="B49" s="2600" t="s">
        <v>310</v>
      </c>
      <c r="C49" s="2601"/>
    </row>
    <row r="50" spans="1:4">
      <c r="A50" s="2600" t="s">
        <v>310</v>
      </c>
      <c r="B50" s="2600" t="s">
        <v>310</v>
      </c>
      <c r="C50" s="2601"/>
    </row>
    <row r="51" spans="1:4">
      <c r="A51" s="2603" t="s">
        <v>316</v>
      </c>
      <c r="B51" s="54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2165" t="s">
        <v>317</v>
      </c>
    </row>
    <row r="52" spans="1:4">
      <c r="A52" s="2603" t="s">
        <v>318</v>
      </c>
      <c r="B52" s="2603" t="s">
        <v>319</v>
      </c>
      <c r="C52" s="547" t="s">
        <v>320</v>
      </c>
      <c r="D52" s="547" t="s">
        <v>321</v>
      </c>
    </row>
    <row r="53" spans="1:4" ht="14.25" customHeight="1">
      <c r="A53" s="2800"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row>
    <row r="54" spans="1:4">
      <c r="A54" s="2800"/>
      <c r="B54" s="547" t="s">
        <v>324</v>
      </c>
      <c r="C54" s="547" t="s">
        <v>325</v>
      </c>
    </row>
    <row r="55" spans="1:4">
      <c r="A55" s="2800"/>
      <c r="B55" s="547" t="s">
        <v>326</v>
      </c>
      <c r="C55" s="547" t="s">
        <v>327</v>
      </c>
    </row>
    <row r="56" spans="1:4">
      <c r="A56" s="2800"/>
      <c r="B56" s="547" t="s">
        <v>328</v>
      </c>
      <c r="C56" s="547" t="s">
        <v>329</v>
      </c>
    </row>
    <row r="57" spans="1:4">
      <c r="A57" s="2800"/>
      <c r="B57" s="547" t="s">
        <v>330</v>
      </c>
      <c r="C57" s="547" t="s">
        <v>331</v>
      </c>
    </row>
    <row r="58" spans="1:4">
      <c r="A58" s="2604"/>
      <c r="B58" s="2605"/>
    </row>
    <row r="59" spans="1:4">
      <c r="A59" s="2604"/>
      <c r="B59" s="2605"/>
    </row>
    <row r="60" spans="1:4">
      <c r="A60" s="2606"/>
      <c r="B60" s="547"/>
    </row>
    <row r="61" spans="1:4">
      <c r="A61" s="2606"/>
      <c r="B61" s="547"/>
    </row>
    <row r="62" spans="1:4">
      <c r="A62" s="2606"/>
      <c r="B62" s="547"/>
    </row>
    <row r="63" spans="1:4">
      <c r="A63" s="2606"/>
      <c r="B63" s="547"/>
    </row>
    <row r="64" spans="1:4">
      <c r="A64" s="2606"/>
      <c r="B64" s="547"/>
    </row>
    <row r="65" spans="1:2">
      <c r="A65" s="2606"/>
      <c r="B65" s="547"/>
    </row>
    <row r="66" spans="1:2">
      <c r="A66" s="2606"/>
      <c r="B66" s="547"/>
    </row>
    <row r="67" spans="1:2">
      <c r="A67" s="2606"/>
      <c r="B67" s="547"/>
    </row>
    <row r="68" spans="1:2">
      <c r="A68" s="2606"/>
      <c r="B68" s="547"/>
    </row>
    <row r="69" spans="1:2">
      <c r="A69" s="2606"/>
      <c r="B69" s="547"/>
    </row>
    <row r="70" spans="1:2">
      <c r="A70" s="2606"/>
      <c r="B70" s="547"/>
    </row>
    <row r="71" spans="1:2">
      <c r="A71" s="2606"/>
      <c r="B71" s="547"/>
    </row>
    <row r="72" spans="1:2">
      <c r="A72" s="2606"/>
      <c r="B72" s="547"/>
    </row>
    <row r="73" spans="1:2">
      <c r="A73" s="2606"/>
      <c r="B73" s="547"/>
    </row>
    <row r="74" spans="1:2">
      <c r="A74" s="2606"/>
      <c r="B74" s="547"/>
    </row>
    <row r="75" spans="1:2">
      <c r="A75" s="2606"/>
      <c r="B75" s="547"/>
    </row>
    <row r="76" spans="1:2">
      <c r="A76" s="2606"/>
      <c r="B76" s="547"/>
    </row>
    <row r="77" spans="1:2">
      <c r="A77" s="2606"/>
      <c r="B77" s="547"/>
    </row>
    <row r="78" spans="1:2">
      <c r="A78" s="2606"/>
      <c r="B78" s="547"/>
    </row>
    <row r="79" spans="1:2">
      <c r="A79" s="2606"/>
      <c r="B79" s="547"/>
    </row>
    <row r="80" spans="1:2">
      <c r="A80" s="2606"/>
      <c r="B80" s="547"/>
    </row>
    <row r="81" spans="1:2">
      <c r="A81" s="2606"/>
      <c r="B81" s="547"/>
    </row>
    <row r="82" spans="1:2">
      <c r="A82" s="2606"/>
      <c r="B82" s="547"/>
    </row>
    <row r="83" spans="1:2">
      <c r="A83" s="2606"/>
      <c r="B83" s="547"/>
    </row>
    <row r="84" spans="1:2">
      <c r="A84" s="2606"/>
      <c r="B84" s="547"/>
    </row>
    <row r="85" spans="1:2">
      <c r="A85" s="2606"/>
      <c r="B85" s="547"/>
    </row>
    <row r="86" spans="1:2">
      <c r="A86" s="2606"/>
      <c r="B86" s="547"/>
    </row>
    <row r="87" spans="1:2">
      <c r="A87" s="2606"/>
      <c r="B87" s="547"/>
    </row>
    <row r="88" spans="1:2">
      <c r="A88" s="2606"/>
      <c r="B88" s="547"/>
    </row>
    <row r="89" spans="1:2">
      <c r="A89" s="2606"/>
      <c r="B89" s="547"/>
    </row>
    <row r="90" spans="1:2">
      <c r="A90" s="2606"/>
      <c r="B90" s="547"/>
    </row>
    <row r="91" spans="1:2">
      <c r="A91" s="2606"/>
      <c r="B91" s="547"/>
    </row>
    <row r="92" spans="1:2">
      <c r="A92" s="2606"/>
      <c r="B92" s="547"/>
    </row>
    <row r="93" spans="1:2">
      <c r="A93" s="2606"/>
      <c r="B93" s="547"/>
    </row>
    <row r="94" spans="1:2">
      <c r="A94" s="2606"/>
      <c r="B94" s="547"/>
    </row>
    <row r="95" spans="1:2">
      <c r="A95" s="2606"/>
      <c r="B95" s="547"/>
    </row>
    <row r="96" spans="1:2">
      <c r="A96" s="2606"/>
      <c r="B96" s="547"/>
    </row>
    <row r="97" spans="1:2">
      <c r="A97" s="2606"/>
      <c r="B97" s="547"/>
    </row>
    <row r="98" spans="1:2">
      <c r="A98" s="2606"/>
      <c r="B98" s="547"/>
    </row>
    <row r="99" spans="1:2">
      <c r="A99" s="2606"/>
      <c r="B99" s="547"/>
    </row>
    <row r="100" spans="1:2">
      <c r="A100" s="2606"/>
      <c r="B100" s="547"/>
    </row>
    <row r="101" spans="1:2">
      <c r="A101" s="2606"/>
      <c r="B101" s="547"/>
    </row>
    <row r="102" spans="1:2">
      <c r="A102" s="2606"/>
      <c r="B102" s="547"/>
    </row>
    <row r="103" spans="1:2">
      <c r="A103" s="2606"/>
      <c r="B103" s="547"/>
    </row>
    <row r="104" spans="1:2">
      <c r="A104" s="2606"/>
      <c r="B104" s="547"/>
    </row>
    <row r="105" spans="1:2">
      <c r="A105" s="2606"/>
      <c r="B105" s="547"/>
    </row>
    <row r="106" spans="1:2">
      <c r="A106" s="2606"/>
      <c r="B106" s="547"/>
    </row>
    <row r="107" spans="1:2">
      <c r="A107" s="2606"/>
      <c r="B107" s="547"/>
    </row>
    <row r="108" spans="1:2">
      <c r="A108" s="2606"/>
      <c r="B108" s="547"/>
    </row>
    <row r="109" spans="1:2">
      <c r="A109" s="2606"/>
      <c r="B109" s="547"/>
    </row>
    <row r="110" spans="1:2">
      <c r="A110" s="2606"/>
      <c r="B110" s="547"/>
    </row>
    <row r="111" spans="1:2">
      <c r="A111" s="2606"/>
      <c r="B111" s="547"/>
    </row>
    <row r="112" spans="1:2">
      <c r="A112" s="2606"/>
      <c r="B112" s="547"/>
    </row>
    <row r="113" spans="1:2">
      <c r="A113" s="2606"/>
      <c r="B113" s="547"/>
    </row>
    <row r="114" spans="1:2">
      <c r="A114" s="2606"/>
      <c r="B114" s="547"/>
    </row>
    <row r="115" spans="1:2">
      <c r="A115" s="2606"/>
      <c r="B115" s="547"/>
    </row>
    <row r="116" spans="1:2">
      <c r="A116" s="2606"/>
      <c r="B116" s="547"/>
    </row>
    <row r="117" spans="1:2">
      <c r="A117" s="2606"/>
      <c r="B117" s="547"/>
    </row>
    <row r="118" spans="1:2">
      <c r="A118" s="2606"/>
      <c r="B118" s="547"/>
    </row>
    <row r="119" spans="1:2">
      <c r="A119" s="2606"/>
      <c r="B119" s="547"/>
    </row>
    <row r="120" spans="1:2">
      <c r="A120" s="2606"/>
      <c r="B120" s="547"/>
    </row>
    <row r="121" spans="1:2">
      <c r="A121" s="2606"/>
      <c r="B121" s="547"/>
    </row>
    <row r="122" spans="1:2">
      <c r="A122" s="2606"/>
      <c r="B122" s="547"/>
    </row>
    <row r="123" spans="1:2">
      <c r="A123" s="2606"/>
      <c r="B123" s="547"/>
    </row>
    <row r="124" spans="1:2">
      <c r="A124" s="2606"/>
      <c r="B124" s="547"/>
    </row>
    <row r="125" spans="1:2">
      <c r="A125" s="2606"/>
      <c r="B125" s="547"/>
    </row>
    <row r="126" spans="1:2">
      <c r="A126" s="2606"/>
      <c r="B126" s="547"/>
    </row>
    <row r="127" spans="1:2">
      <c r="A127" s="2606"/>
      <c r="B127" s="547"/>
    </row>
    <row r="128" spans="1:2">
      <c r="A128" s="2606"/>
      <c r="B128" s="547"/>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2019-07-15T08:24:00Z</cp:lastPrinted>
  <dcterms:created xsi:type="dcterms:W3CDTF">2015-07-13T07:17:00Z</dcterms:created>
  <dcterms:modified xsi:type="dcterms:W3CDTF">2019-08-30T00:55:46Z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