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1.报告们\咨询报告\北保2024\2023-1-0921丰台区卢沟桥乡西局村玉璞家园项目\P02公租房\"/>
    </mc:Choice>
  </mc:AlternateContent>
  <bookViews>
    <workbookView xWindow="0" yWindow="0" windowWidth="13125" windowHeight="3465" tabRatio="747" activeTab="2"/>
  </bookViews>
  <sheets>
    <sheet name="系统读取表" sheetId="11" r:id="rId1"/>
    <sheet name="标准房测算表-金隅上和园" sheetId="6" state="hidden" r:id="rId2"/>
    <sheet name="上和园周边公租房项目" sheetId="32"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I5" i="6" l="1"/>
  <c r="G5" i="6"/>
  <c r="E5" i="6"/>
  <c r="I4" i="6"/>
  <c r="G4" i="6"/>
  <c r="E4" i="6"/>
  <c r="I31" i="6" l="1"/>
  <c r="D38" i="6"/>
  <c r="E38" i="6" s="1"/>
  <c r="F38" i="6" s="1"/>
  <c r="G38" i="6" s="1"/>
  <c r="H38" i="6" s="1"/>
  <c r="I38" i="6" s="1"/>
  <c r="J38" i="6" s="1"/>
  <c r="K38" i="6" s="1"/>
  <c r="B38" i="6"/>
  <c r="E24" i="6" l="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H7" i="6" l="1"/>
  <c r="J7" i="6"/>
  <c r="I29" i="6" s="1"/>
  <c r="G23" i="6"/>
  <c r="I23" i="6" s="1"/>
  <c r="G24" i="6" l="1"/>
  <c r="G29" i="6"/>
  <c r="G25" i="6" l="1"/>
  <c r="G28" i="6" s="1"/>
  <c r="E25" i="6"/>
  <c r="E28" i="6" s="1"/>
  <c r="I24" i="6" l="1"/>
  <c r="I25" i="6" l="1"/>
  <c r="C28" i="6" s="1"/>
  <c r="B29" i="6" l="1"/>
  <c r="B28" i="6"/>
  <c r="I28" i="6"/>
  <c r="A26" i="6"/>
  <c r="D14" i="11" l="1"/>
  <c r="F14" i="11" s="1"/>
  <c r="B6" i="11" l="1"/>
  <c r="C6" i="11" s="1"/>
  <c r="B5" i="11"/>
  <c r="B10" i="11" s="1"/>
  <c r="C5" i="11" l="1"/>
  <c r="B7" i="11"/>
  <c r="B9" i="11"/>
  <c r="B11" i="11"/>
  <c r="D5" i="11"/>
  <c r="B8" i="11"/>
</calcChain>
</file>

<file path=xl/sharedStrings.xml><?xml version="1.0" encoding="utf-8"?>
<sst xmlns="http://schemas.openxmlformats.org/spreadsheetml/2006/main" count="433" uniqueCount="188">
  <si>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</si>
  <si>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</si>
  <si>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</si>
  <si>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</si>
  <si>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</si>
  <si>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</si>
  <si>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</si>
  <si>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</si>
  <si>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</si>
  <si>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</si>
  <si>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</si>
  <si>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</si>
  <si>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</si>
  <si>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</si>
  <si>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</si>
  <si>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</si>
  <si>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</si>
  <si>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</si>
  <si>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</si>
  <si>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</si>
  <si>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</si>
  <si>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</si>
  <si>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</si>
  <si>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</si>
  <si>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</si>
  <si>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</si>
  <si>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</si>
  <si>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</si>
  <si>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</si>
  <si>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</si>
  <si>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</si>
  <si>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</si>
  <si>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</si>
  <si>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</si>
  <si>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</si>
  <si>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</si>
  <si>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</si>
  <si>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</si>
  <si>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</si>
  <si>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</si>
  <si>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</si>
  <si>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</si>
  <si>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</si>
  <si>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</si>
  <si>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</si>
  <si>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</si>
  <si>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</si>
  <si>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</si>
  <si>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</si>
  <si>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</si>
  <si>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</si>
  <si>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</si>
  <si>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</si>
  <si>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</si>
  <si>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</si>
  <si>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</si>
  <si>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</si>
  <si>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</si>
  <si>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</si>
  <si>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</si>
  <si>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</si>
  <si>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</si>
  <si>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</si>
  <si>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</si>
  <si>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</si>
  <si>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</si>
  <si>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</si>
  <si>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</si>
  <si>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</si>
  <si>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</si>
  <si>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</si>
  <si>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</si>
  <si>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</si>
  <si>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</si>
  <si>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</si>
  <si>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</si>
  <si>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</si>
  <si>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</si>
  <si>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</si>
  <si>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</si>
  <si>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</si>
  <si>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</si>
  <si>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</si>
  <si>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</si>
  <si>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</si>
  <si>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</si>
  <si>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</si>
  <si>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</si>
  <si>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</si>
  <si>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</si>
  <si>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</si>
  <si>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</si>
  <si>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</si>
  <si>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</si>
  <si>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</si>
  <si>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</si>
  <si>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</si>
  <si>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</si>
  <si>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</si>
  <si>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</si>
  <si>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</si>
  <si>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</si>
  <si>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</si>
  <si>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</si>
  <si>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</si>
  <si>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</si>
  <si>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</si>
  <si>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</si>
  <si>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</si>
  <si>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</si>
  <si>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</si>
  <si>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</si>
  <si>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</si>
  <si>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</si>
  <si>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</si>
  <si>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</si>
  <si>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</si>
  <si>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</si>
  <si>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</si>
  <si>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</si>
  <si>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</si>
  <si>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</si>
  <si>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</si>
  <si>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</si>
  <si>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</si>
  <si>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</si>
  <si>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</si>
  <si>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</si>
  <si>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</si>
  <si>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</si>
  <si>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</si>
  <si>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</si>
  <si>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</si>
  <si>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</si>
  <si>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</si>
  <si>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</si>
  <si>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</si>
  <si>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</si>
  <si>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</si>
  <si>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</si>
  <si>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</si>
  <si>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</si>
  <si>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</si>
  <si>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</si>
  <si>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</si>
  <si>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</si>
  <si>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</si>
  <si>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</si>
  <si>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</si>
  <si>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</si>
  <si>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</si>
  <si>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</si>
  <si>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</si>
  <si>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</si>
  <si>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</si>
  <si>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</si>
  <si>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</si>
  <si>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</si>
  <si>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</si>
  <si>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</si>
  <si>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</si>
  <si>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</si>
  <si>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</si>
  <si>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</si>
  <si>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</si>
  <si>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</si>
  <si>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</si>
  <si>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</si>
  <si>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</si>
  <si>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</si>
  <si>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</si>
  <si>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</si>
  <si>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</si>
  <si>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</si>
  <si>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</si>
  <si>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租金（元/平方米·月）</t>
    <phoneticPr fontId="12" type="noConversion"/>
  </si>
  <si>
    <t>一般</t>
    <phoneticPr fontId="8" type="noConversion"/>
  </si>
  <si>
    <t>较好</t>
    <phoneticPr fontId="8" type="noConversion"/>
  </si>
  <si>
    <t>一居室</t>
    <phoneticPr fontId="8" type="noConversion"/>
  </si>
  <si>
    <t>项目名称</t>
    <phoneticPr fontId="12" type="noConversion"/>
  </si>
  <si>
    <t>金隅上和园</t>
    <phoneticPr fontId="2" type="noConversion"/>
  </si>
  <si>
    <t>一般</t>
    <phoneticPr fontId="2" type="noConversion"/>
  </si>
  <si>
    <t>较差</t>
    <phoneticPr fontId="8" type="noConversion"/>
  </si>
  <si>
    <t>彩虹家园</t>
  </si>
  <si>
    <t>阅园四区</t>
  </si>
  <si>
    <t>郭公庄家园（北区）</t>
  </si>
  <si>
    <t>郭公庄家园（南区）</t>
  </si>
  <si>
    <t>郭公庄家园（南区）（剩余地块）</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</si>
</sst>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yyyy&quot;年&quot;m&quot;月&quot;d&quot;日&quot;;@"/>
    <numFmt numFmtId="177" formatCode="0.00_ "/>
    <numFmt numFmtId="178" formatCode="0.0"/>
    <numFmt numFmtId="179" formatCode="0_ "/>
    <numFmt numFmtId="180" formatCode="0.0000_);[Red]\(0.0000\)"/>
  </numFmts>
  <fonts count="2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name val="等线"/>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6">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3" applyFont="1"/>
    <xf numFmtId="0" fontId="3" fillId="0" borderId="0" xfId="3" applyAlignment="1">
      <alignment vertical="center"/>
    </xf>
    <xf numFmtId="0" fontId="5" fillId="0" borderId="1" xfId="2" applyFont="1" applyBorder="1" applyAlignment="1">
      <alignment horizontal="center" vertical="center" wrapText="1"/>
    </xf>
    <xf numFmtId="0" fontId="10"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1" fillId="0" borderId="5" xfId="2" applyFont="1" applyBorder="1" applyAlignment="1">
      <alignment horizontal="center" vertical="center" wrapText="1"/>
    </xf>
    <xf numFmtId="177" fontId="5" fillId="0" borderId="5" xfId="2" applyNumberFormat="1" applyFont="1" applyBorder="1" applyAlignment="1">
      <alignment horizontal="center" vertical="center" wrapText="1"/>
    </xf>
    <xf numFmtId="177"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7"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4" fontId="5" fillId="0" borderId="1" xfId="2" applyNumberFormat="1" applyFont="1" applyBorder="1" applyAlignment="1">
      <alignment horizontal="center" vertical="center" wrapText="1"/>
    </xf>
  </cellXfs>
  <cellStyles count="7">
    <cellStyle name="常规" xfId="0" builtinId="0"/>
    <cellStyle name="常规 2" xfId="1"/>
    <cellStyle name="常规 3" xfId="2"/>
    <cellStyle name="常规 4" xfId="5"/>
    <cellStyle name="常规 5" xfId="6"/>
    <cellStyle name="常规 63" xfId="4"/>
    <cellStyle name="常规 9"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14</xdr:col>
      <xdr:colOff>590550</xdr:colOff>
      <xdr:row>25</xdr:row>
      <xdr:rowOff>28575</xdr:rowOff>
    </xdr:to>
    <xdr:pic>
      <xdr:nvPicPr>
        <xdr:cNvPr id="3" name="图片 2" descr="0cdc434cbf82d30550f549fba666fe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0675" y="361950"/>
          <a:ext cx="5391150"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zoomScaleSheetLayoutView="100" workbookViewId="0">
      <selection activeCell="C17" sqref="C17"/>
    </sheetView>
  </sheetViews>
  <sheetFormatPr defaultColWidth="14.625" defaultRowHeight="14.25"/>
  <cols>
    <col min="1" max="1" width="24.375" style="1" customWidth="1"/>
    <col min="2" max="16384" width="14.625" style="1"/>
  </cols>
  <sheetData>
    <row r="1" spans="1:9" ht="16.5">
      <c r="A1" s="15" t="s">
        <v>31</v>
      </c>
      <c r="B1" s="16">
        <v>42194.79</v>
      </c>
      <c r="C1" s="17"/>
      <c r="D1" s="17"/>
      <c r="E1" s="17"/>
      <c r="F1" s="17"/>
      <c r="G1" s="18"/>
    </row>
    <row r="2" spans="1:9" ht="16.5">
      <c r="A2" s="15" t="s">
        <v>32</v>
      </c>
      <c r="B2" s="15">
        <f>SUM(C14:C23)</f>
        <v>0</v>
      </c>
      <c r="C2" s="17"/>
      <c r="D2" s="17"/>
      <c r="E2" s="17"/>
      <c r="F2" s="17"/>
      <c r="G2" s="18"/>
    </row>
    <row r="3" spans="1:9" ht="33">
      <c r="A3" s="15" t="s">
        <v>33</v>
      </c>
      <c r="B3" s="19" t="s">
        <v>59</v>
      </c>
      <c r="C3" s="17"/>
      <c r="D3" s="17"/>
      <c r="E3" s="17"/>
      <c r="F3" s="17"/>
      <c r="G3" s="18"/>
    </row>
    <row r="4" spans="1:9" ht="33">
      <c r="A4" s="15" t="s">
        <v>34</v>
      </c>
      <c r="B4" s="15" t="s">
        <v>35</v>
      </c>
      <c r="C4" s="15" t="s">
        <v>36</v>
      </c>
      <c r="D4" s="15" t="s">
        <v>37</v>
      </c>
      <c r="E4" s="17"/>
      <c r="F4" s="18"/>
      <c r="G4" s="18"/>
    </row>
    <row r="5" spans="1:9" ht="16.5">
      <c r="A5" s="15" t="s">
        <v>60</v>
      </c>
      <c r="B5" s="15">
        <f>SUM(D14:D23)</f>
        <v>223632.38699999999</v>
      </c>
      <c r="C5" s="15">
        <f>ROUND(B5*10000/$B$1,0)</f>
        <v>53000</v>
      </c>
      <c r="D5" s="15" t="e">
        <f>ROUND(B5*10000/$B$2,0)</f>
        <v>#DIV/0!</v>
      </c>
      <c r="E5" s="17"/>
      <c r="F5" s="18"/>
      <c r="G5" s="18"/>
    </row>
    <row r="6" spans="1:9" ht="16.5">
      <c r="A6" s="15" t="s">
        <v>38</v>
      </c>
      <c r="B6" s="15">
        <f>SUM(D14:D23)</f>
        <v>223632.38699999999</v>
      </c>
      <c r="C6" s="15">
        <f>ROUND(B6*10000/$B$1,0)</f>
        <v>53000</v>
      </c>
      <c r="D6" s="15" t="e">
        <f>#N/A</f>
        <v>#N/A</v>
      </c>
      <c r="E6" s="17"/>
      <c r="F6" s="18"/>
      <c r="G6" s="18"/>
    </row>
    <row r="7" spans="1:9" ht="16.5">
      <c r="A7" s="15" t="s">
        <v>39</v>
      </c>
      <c r="B7" s="15">
        <f>B5</f>
        <v>223632.38699999999</v>
      </c>
      <c r="C7" s="15" t="e">
        <f>#N/A</f>
        <v>#N/A</v>
      </c>
      <c r="D7" s="15" t="e">
        <f>#N/A</f>
        <v>#N/A</v>
      </c>
      <c r="E7" s="17"/>
      <c r="F7" s="18"/>
      <c r="G7" s="18"/>
    </row>
    <row r="8" spans="1:9" ht="16.5">
      <c r="A8" s="15" t="s">
        <v>40</v>
      </c>
      <c r="B8" s="15">
        <f>B5</f>
        <v>223632.38699999999</v>
      </c>
      <c r="C8" s="15" t="e">
        <f>#N/A</f>
        <v>#N/A</v>
      </c>
      <c r="D8" s="15" t="e">
        <f>#N/A</f>
        <v>#N/A</v>
      </c>
      <c r="E8" s="17"/>
      <c r="F8" s="18"/>
      <c r="G8" s="18"/>
    </row>
    <row r="9" spans="1:9" ht="16.5">
      <c r="A9" s="15" t="s">
        <v>41</v>
      </c>
      <c r="B9" s="20">
        <f>B5</f>
        <v>223632.38699999999</v>
      </c>
      <c r="C9" s="17"/>
      <c r="D9" s="17"/>
      <c r="E9" s="17"/>
      <c r="F9" s="18"/>
      <c r="G9" s="18"/>
    </row>
    <row r="10" spans="1:9" ht="16.5">
      <c r="A10" s="15" t="s">
        <v>42</v>
      </c>
      <c r="B10" s="20">
        <f>B5</f>
        <v>223632.38699999999</v>
      </c>
      <c r="C10" s="17"/>
      <c r="D10" s="17"/>
      <c r="E10" s="17"/>
      <c r="F10" s="18"/>
      <c r="G10" s="18"/>
    </row>
    <row r="11" spans="1:9" ht="16.5">
      <c r="A11" s="15" t="s">
        <v>43</v>
      </c>
      <c r="B11" s="20">
        <f>B5</f>
        <v>223632.38699999999</v>
      </c>
      <c r="C11" s="17"/>
      <c r="D11" s="17"/>
      <c r="E11" s="17"/>
      <c r="F11" s="18"/>
      <c r="G11" s="18"/>
    </row>
    <row r="12" spans="1:9" ht="16.5">
      <c r="A12" s="17"/>
      <c r="B12" s="17"/>
      <c r="C12" s="17"/>
      <c r="D12" s="17"/>
      <c r="E12" s="17"/>
      <c r="F12" s="18"/>
      <c r="G12" s="18"/>
    </row>
    <row r="13" spans="1:9" ht="33">
      <c r="A13" s="21" t="s">
        <v>44</v>
      </c>
      <c r="B13" s="22" t="s">
        <v>31</v>
      </c>
      <c r="C13" s="22" t="s">
        <v>32</v>
      </c>
      <c r="D13" s="22" t="s">
        <v>45</v>
      </c>
      <c r="E13" s="15" t="s">
        <v>36</v>
      </c>
      <c r="F13" s="15" t="s">
        <v>37</v>
      </c>
      <c r="G13" s="22" t="s">
        <v>46</v>
      </c>
      <c r="H13" s="22" t="s">
        <v>47</v>
      </c>
      <c r="I13" s="22" t="s">
        <v>48</v>
      </c>
    </row>
    <row r="14" spans="1:9" ht="16.5">
      <c r="A14" s="23" t="s">
        <v>49</v>
      </c>
      <c r="B14" s="22">
        <f>B1</f>
        <v>42194.79</v>
      </c>
      <c r="C14" s="22">
        <v>0</v>
      </c>
      <c r="D14" s="22">
        <f>B14*E14/10000</f>
        <v>223632.38699999999</v>
      </c>
      <c r="E14" s="22">
        <v>53000</v>
      </c>
      <c r="F14" s="22" t="e">
        <f>ROUND(D14*10000/C14,0)</f>
        <v>#DIV/0!</v>
      </c>
      <c r="G14" s="22">
        <v>0</v>
      </c>
      <c r="H14" s="22">
        <v>0</v>
      </c>
      <c r="I14" s="22">
        <v>0</v>
      </c>
    </row>
    <row r="15" spans="1:9" ht="16.5">
      <c r="A15" s="24" t="s">
        <v>50</v>
      </c>
      <c r="B15" s="25"/>
      <c r="C15" s="25"/>
      <c r="D15" s="25"/>
      <c r="E15" s="22" t="e">
        <f t="shared" ref="E15:E23" si="0">ROUND(D15*10000/B15,0)</f>
        <v>#DIV/0!</v>
      </c>
      <c r="F15" s="22" t="e">
        <f t="shared" ref="F15:F23" si="1">ROUND(D15*10000/C15,0)</f>
        <v>#DIV/0!</v>
      </c>
      <c r="G15" s="26"/>
      <c r="H15" s="26"/>
      <c r="I15" s="25"/>
    </row>
    <row r="16" spans="1:9" ht="16.5">
      <c r="A16" s="24" t="s">
        <v>51</v>
      </c>
      <c r="B16" s="25"/>
      <c r="C16" s="25"/>
      <c r="D16" s="25"/>
      <c r="E16" s="22" t="e">
        <f t="shared" si="0"/>
        <v>#DIV/0!</v>
      </c>
      <c r="F16" s="22" t="e">
        <f t="shared" si="1"/>
        <v>#DIV/0!</v>
      </c>
      <c r="G16" s="26"/>
      <c r="H16" s="26"/>
      <c r="I16" s="25"/>
    </row>
    <row r="17" spans="1:9" ht="16.5">
      <c r="A17" s="24" t="s">
        <v>52</v>
      </c>
      <c r="B17" s="25"/>
      <c r="C17" s="25"/>
      <c r="D17" s="25"/>
      <c r="E17" s="22" t="e">
        <f t="shared" si="0"/>
        <v>#DIV/0!</v>
      </c>
      <c r="F17" s="22" t="e">
        <f t="shared" si="1"/>
        <v>#DIV/0!</v>
      </c>
      <c r="G17" s="26"/>
      <c r="H17" s="26"/>
      <c r="I17" s="25"/>
    </row>
    <row r="18" spans="1:9" ht="16.5">
      <c r="A18" s="24" t="s">
        <v>53</v>
      </c>
      <c r="B18" s="25"/>
      <c r="C18" s="25"/>
      <c r="D18" s="25"/>
      <c r="E18" s="22" t="e">
        <f t="shared" si="0"/>
        <v>#DIV/0!</v>
      </c>
      <c r="F18" s="22" t="e">
        <f t="shared" si="1"/>
        <v>#DIV/0!</v>
      </c>
      <c r="G18" s="25"/>
      <c r="H18" s="25"/>
      <c r="I18" s="25"/>
    </row>
    <row r="19" spans="1:9" ht="16.5">
      <c r="A19" s="24" t="s">
        <v>54</v>
      </c>
      <c r="B19" s="25"/>
      <c r="C19" s="25"/>
      <c r="D19" s="25"/>
      <c r="E19" s="22" t="e">
        <f t="shared" si="0"/>
        <v>#DIV/0!</v>
      </c>
      <c r="F19" s="22" t="e">
        <f t="shared" si="1"/>
        <v>#DIV/0!</v>
      </c>
      <c r="G19" s="25"/>
      <c r="H19" s="25"/>
      <c r="I19" s="25"/>
    </row>
    <row r="20" spans="1:9" ht="16.5">
      <c r="A20" s="24" t="s">
        <v>55</v>
      </c>
      <c r="B20" s="25"/>
      <c r="C20" s="25"/>
      <c r="D20" s="25"/>
      <c r="E20" s="22" t="e">
        <f t="shared" si="0"/>
        <v>#DIV/0!</v>
      </c>
      <c r="F20" s="22" t="e">
        <f t="shared" si="1"/>
        <v>#DIV/0!</v>
      </c>
      <c r="G20" s="25"/>
      <c r="H20" s="25"/>
      <c r="I20" s="25"/>
    </row>
    <row r="21" spans="1:9" ht="16.5">
      <c r="A21" s="24" t="s">
        <v>56</v>
      </c>
      <c r="B21" s="25"/>
      <c r="C21" s="25"/>
      <c r="D21" s="25"/>
      <c r="E21" s="22" t="e">
        <f t="shared" si="0"/>
        <v>#DIV/0!</v>
      </c>
      <c r="F21" s="22" t="e">
        <f t="shared" si="1"/>
        <v>#DIV/0!</v>
      </c>
      <c r="G21" s="25"/>
      <c r="H21" s="25"/>
      <c r="I21" s="25"/>
    </row>
    <row r="22" spans="1:9" ht="16.5">
      <c r="A22" s="24" t="s">
        <v>57</v>
      </c>
      <c r="B22" s="25"/>
      <c r="C22" s="25"/>
      <c r="D22" s="25"/>
      <c r="E22" s="22" t="e">
        <f t="shared" si="0"/>
        <v>#DIV/0!</v>
      </c>
      <c r="F22" s="22" t="e">
        <f t="shared" si="1"/>
        <v>#DIV/0!</v>
      </c>
      <c r="G22" s="25"/>
      <c r="H22" s="25"/>
      <c r="I22" s="25"/>
    </row>
    <row r="23" spans="1:9" ht="16.5">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128</v>
      </c>
      <c r="E2" s="42" t="e">
        <f>#REF!</f>
        <v>#REF!</v>
      </c>
      <c r="F2" s="14" t="e">
        <f>#REF!</f>
        <v>#REF!</v>
      </c>
    </row>
    <row r="3" spans="1:8">
      <c r="A3" s="28">
        <v>2</v>
      </c>
      <c r="B3" s="27" t="s">
        <v>92</v>
      </c>
      <c r="C3" s="28" t="e">
        <f>C4+C5+C6</f>
        <v>#REF!</v>
      </c>
      <c r="D3" s="36" t="s">
        <v>67</v>
      </c>
    </row>
    <row r="4" spans="1:8" ht="38.25">
      <c r="A4" s="28">
        <v>2.1</v>
      </c>
      <c r="B4" s="27" t="s">
        <v>93</v>
      </c>
      <c r="C4" s="34" t="e">
        <f>F4</f>
        <v>#REF!</v>
      </c>
      <c r="D4" s="36" t="s">
        <v>129</v>
      </c>
      <c r="E4" s="30" t="e">
        <f>#REF!</f>
        <v>#REF!</v>
      </c>
      <c r="F4" s="1" t="e">
        <f>ROUND(E4*1.5*12,2)</f>
        <v>#REF!</v>
      </c>
    </row>
    <row r="5" spans="1:8" ht="24.75">
      <c r="A5" s="28">
        <v>2.2000000000000002</v>
      </c>
      <c r="B5" s="27" t="s">
        <v>94</v>
      </c>
      <c r="C5" s="32" t="e">
        <f>ROUND(E5,2)</f>
        <v>#REF!</v>
      </c>
      <c r="D5" s="36" t="s">
        <v>130</v>
      </c>
      <c r="E5" s="31" t="e">
        <f>ROUND(4500*G5*0.1%*E4,2)</f>
        <v>#REF!</v>
      </c>
      <c r="F5" s="38">
        <v>1E-3</v>
      </c>
      <c r="G5" s="41" t="e">
        <f>#REF!</f>
        <v>#REF!</v>
      </c>
    </row>
    <row r="6" spans="1:8" ht="24.75">
      <c r="A6" s="28">
        <v>2.2999999999999998</v>
      </c>
      <c r="B6" s="27" t="s">
        <v>95</v>
      </c>
      <c r="C6" s="28" t="e">
        <f>#REF!</f>
        <v>#REF!</v>
      </c>
      <c r="D6" s="36" t="s">
        <v>131</v>
      </c>
      <c r="E6" s="1" t="s">
        <v>85</v>
      </c>
      <c r="H6" s="33"/>
    </row>
    <row r="7" spans="1:8">
      <c r="A7" s="28">
        <v>3</v>
      </c>
      <c r="B7" s="27" t="s">
        <v>96</v>
      </c>
      <c r="C7" s="28" t="e">
        <f>C8+C9+C10</f>
        <v>#REF!</v>
      </c>
      <c r="D7" s="36" t="s">
        <v>68</v>
      </c>
    </row>
    <row r="8" spans="1:8" ht="24.75">
      <c r="A8" s="28">
        <v>3.1</v>
      </c>
      <c r="B8" s="27" t="s">
        <v>97</v>
      </c>
      <c r="C8" s="28" t="e">
        <f>E8</f>
        <v>#REF!</v>
      </c>
      <c r="D8" s="35" t="s">
        <v>154</v>
      </c>
      <c r="E8" s="1" t="e">
        <f>ROUND(59.83*12*E4*2%,2)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134</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135</v>
      </c>
      <c r="E2" s="43" t="e">
        <f>#REF!</f>
        <v>#REF!</v>
      </c>
      <c r="F2" s="14" t="e">
        <f>#REF!</f>
        <v>#REF!</v>
      </c>
    </row>
    <row r="3" spans="1:8">
      <c r="A3" s="28">
        <v>2</v>
      </c>
      <c r="B3" s="27" t="s">
        <v>92</v>
      </c>
      <c r="C3" s="28" t="e">
        <f>C4+C5+C6</f>
        <v>#REF!</v>
      </c>
      <c r="D3" s="36" t="s">
        <v>67</v>
      </c>
    </row>
    <row r="4" spans="1:8" ht="38.25">
      <c r="A4" s="28">
        <v>2.1</v>
      </c>
      <c r="B4" s="27" t="s">
        <v>93</v>
      </c>
      <c r="C4" s="34" t="e">
        <f>F4</f>
        <v>#REF!</v>
      </c>
      <c r="D4" s="36" t="s">
        <v>136</v>
      </c>
      <c r="E4" s="30" t="e">
        <f>#REF!</f>
        <v>#REF!</v>
      </c>
      <c r="F4" s="1" t="e">
        <f>ROUND(E4*1.5*12,2)</f>
        <v>#REF!</v>
      </c>
    </row>
    <row r="5" spans="1:8" ht="24.75">
      <c r="A5" s="28">
        <v>2.2000000000000002</v>
      </c>
      <c r="B5" s="27" t="s">
        <v>94</v>
      </c>
      <c r="C5" s="32" t="e">
        <f>ROUND(E5,2)</f>
        <v>#REF!</v>
      </c>
      <c r="D5" s="36" t="s">
        <v>137</v>
      </c>
      <c r="E5" s="31" t="e">
        <f>ROUND(4500*G5*0.1%*E4,2)</f>
        <v>#REF!</v>
      </c>
      <c r="F5" s="38">
        <v>1E-3</v>
      </c>
      <c r="G5" s="41" t="e">
        <f>#REF!</f>
        <v>#REF!</v>
      </c>
    </row>
    <row r="6" spans="1:8" ht="24.75">
      <c r="A6" s="28">
        <v>2.2999999999999998</v>
      </c>
      <c r="B6" s="27" t="s">
        <v>95</v>
      </c>
      <c r="C6" s="28" t="e">
        <f>#REF!</f>
        <v>#REF!</v>
      </c>
      <c r="D6" s="36" t="s">
        <v>138</v>
      </c>
      <c r="E6" s="1" t="s">
        <v>85</v>
      </c>
      <c r="H6" s="33"/>
    </row>
    <row r="7" spans="1:8">
      <c r="A7" s="28">
        <v>3</v>
      </c>
      <c r="B7" s="27" t="s">
        <v>96</v>
      </c>
      <c r="C7" s="28" t="e">
        <f>C8+C9+C10</f>
        <v>#REF!</v>
      </c>
      <c r="D7" s="36" t="s">
        <v>68</v>
      </c>
    </row>
    <row r="8" spans="1:8" ht="24.75">
      <c r="A8" s="28">
        <v>3.1</v>
      </c>
      <c r="B8" s="27" t="s">
        <v>97</v>
      </c>
      <c r="C8" s="28" t="e">
        <f>E8</f>
        <v>#REF!</v>
      </c>
      <c r="D8" s="35" t="s">
        <v>155</v>
      </c>
      <c r="E8" s="1" t="e">
        <f>ROUND(62.69*12*E4*2%,2)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139</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7" t="s">
        <v>0</v>
      </c>
      <c r="B1" s="27" t="s">
        <v>64</v>
      </c>
      <c r="C1" s="27" t="s">
        <v>65</v>
      </c>
      <c r="D1" s="27" t="s">
        <v>66</v>
      </c>
    </row>
    <row r="2" spans="1:8" ht="62.25">
      <c r="A2" s="28">
        <v>1</v>
      </c>
      <c r="B2" s="27" t="s">
        <v>91</v>
      </c>
      <c r="C2" s="34" t="e">
        <f>F2</f>
        <v>#REF!</v>
      </c>
      <c r="D2" s="35" t="s">
        <v>141</v>
      </c>
      <c r="E2" s="43" t="e">
        <f>#REF!</f>
        <v>#REF!</v>
      </c>
      <c r="F2" s="14" t="e">
        <f>#REF!</f>
        <v>#REF!</v>
      </c>
    </row>
    <row r="3" spans="1:8">
      <c r="A3" s="28">
        <v>2</v>
      </c>
      <c r="B3" s="27" t="s">
        <v>92</v>
      </c>
      <c r="C3" s="28" t="e">
        <f>C4+C5+C6</f>
        <v>#REF!</v>
      </c>
      <c r="D3" s="36" t="s">
        <v>67</v>
      </c>
    </row>
    <row r="4" spans="1:8" ht="38.25">
      <c r="A4" s="28">
        <v>2.1</v>
      </c>
      <c r="B4" s="27" t="s">
        <v>93</v>
      </c>
      <c r="C4" s="34" t="e">
        <f>F4</f>
        <v>#REF!</v>
      </c>
      <c r="D4" s="36" t="s">
        <v>142</v>
      </c>
      <c r="E4" s="30" t="e">
        <f>#REF!</f>
        <v>#REF!</v>
      </c>
      <c r="F4" s="1" t="e">
        <f>ROUND(E4*1.5*12,2)</f>
        <v>#REF!</v>
      </c>
    </row>
    <row r="5" spans="1:8" ht="36.75">
      <c r="A5" s="28">
        <v>2.2000000000000002</v>
      </c>
      <c r="B5" s="27" t="s">
        <v>94</v>
      </c>
      <c r="C5" s="32" t="e">
        <f>ROUND(E5,2)</f>
        <v>#REF!</v>
      </c>
      <c r="D5" s="36" t="s">
        <v>143</v>
      </c>
      <c r="E5" s="31" t="e">
        <f>ROUND(4000*G5*0.1%*E4,2)</f>
        <v>#REF!</v>
      </c>
      <c r="F5" s="38">
        <v>1E-3</v>
      </c>
      <c r="G5" s="41" t="e">
        <f>#REF!</f>
        <v>#REF!</v>
      </c>
    </row>
    <row r="6" spans="1:8" ht="24.75">
      <c r="A6" s="28">
        <v>2.2999999999999998</v>
      </c>
      <c r="B6" s="27" t="s">
        <v>95</v>
      </c>
      <c r="C6" s="28" t="e">
        <f>#REF!</f>
        <v>#REF!</v>
      </c>
      <c r="D6" s="36" t="s">
        <v>144</v>
      </c>
      <c r="E6" s="1" t="s">
        <v>85</v>
      </c>
      <c r="H6" s="33"/>
    </row>
    <row r="7" spans="1:8">
      <c r="A7" s="28">
        <v>3</v>
      </c>
      <c r="B7" s="27" t="s">
        <v>96</v>
      </c>
      <c r="C7" s="28" t="e">
        <f>C8+C9+C10</f>
        <v>#REF!</v>
      </c>
      <c r="D7" s="36" t="s">
        <v>68</v>
      </c>
    </row>
    <row r="8" spans="1:8" ht="24.75">
      <c r="A8" s="28">
        <v>3.1</v>
      </c>
      <c r="B8" s="27" t="s">
        <v>97</v>
      </c>
      <c r="C8" s="28" t="e">
        <f>E8</f>
        <v>#REF!</v>
      </c>
      <c r="D8" s="35" t="s">
        <v>156</v>
      </c>
      <c r="E8" s="1" t="e">
        <f>ROUND(54.76*12*E4*2%,2)</f>
        <v>#REF!</v>
      </c>
    </row>
    <row r="9" spans="1:8" ht="38.25" customHeight="1">
      <c r="A9" s="28">
        <v>3.2</v>
      </c>
      <c r="B9" s="27" t="s">
        <v>98</v>
      </c>
      <c r="C9" s="28">
        <v>0</v>
      </c>
      <c r="D9" s="35" t="s">
        <v>146</v>
      </c>
      <c r="E9" s="1" t="e">
        <f>ROUND(E2*0.7*4.2%*0.9,2)</f>
        <v>#REF!</v>
      </c>
      <c r="F9" s="1">
        <f>4.2%*0.9</f>
        <v>3.78E-2</v>
      </c>
      <c r="G9" s="39" t="s">
        <v>87</v>
      </c>
    </row>
    <row r="10" spans="1:8" ht="57">
      <c r="A10" s="28">
        <v>3.3</v>
      </c>
      <c r="B10" s="27" t="s">
        <v>99</v>
      </c>
      <c r="C10" s="28" t="e">
        <f>ROUND((C2)*3%,2)</f>
        <v>#REF!</v>
      </c>
      <c r="D10" s="35" t="s">
        <v>145</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7" t="s">
        <v>0</v>
      </c>
      <c r="B1" s="27" t="s">
        <v>64</v>
      </c>
      <c r="C1" s="27" t="s">
        <v>65</v>
      </c>
      <c r="D1" s="27" t="s">
        <v>66</v>
      </c>
    </row>
    <row r="2" spans="1:8" ht="135">
      <c r="A2" s="28">
        <v>1</v>
      </c>
      <c r="B2" s="27" t="s">
        <v>72</v>
      </c>
      <c r="C2" s="34" t="e">
        <f>F2</f>
        <v>#REF!</v>
      </c>
      <c r="D2" s="35" t="s">
        <v>105</v>
      </c>
      <c r="E2" s="1" t="e">
        <f>#REF!</f>
        <v>#REF!</v>
      </c>
      <c r="F2" s="14" t="e">
        <f>#REF!</f>
        <v>#REF!</v>
      </c>
    </row>
    <row r="3" spans="1:8">
      <c r="A3" s="28">
        <v>2</v>
      </c>
      <c r="B3" s="27" t="s">
        <v>73</v>
      </c>
      <c r="C3" s="28" t="e">
        <f>C4+C5+C6</f>
        <v>#REF!</v>
      </c>
      <c r="D3" s="36" t="s">
        <v>67</v>
      </c>
    </row>
    <row r="4" spans="1:8" ht="38.25">
      <c r="A4" s="28">
        <v>2.1</v>
      </c>
      <c r="B4" s="27" t="s">
        <v>74</v>
      </c>
      <c r="C4" s="34">
        <f>F4</f>
        <v>75.95</v>
      </c>
      <c r="D4" s="36" t="s">
        <v>83</v>
      </c>
      <c r="E4" s="30">
        <v>42194.79</v>
      </c>
      <c r="F4" s="1">
        <f>ROUND(E4*1.5*12/10000,2)</f>
        <v>75.95</v>
      </c>
    </row>
    <row r="5" spans="1:8" ht="135.75">
      <c r="A5" s="28">
        <v>2.2000000000000002</v>
      </c>
      <c r="B5" s="27" t="s">
        <v>75</v>
      </c>
      <c r="C5" s="32">
        <f>ROUND(E5,2)</f>
        <v>2.4</v>
      </c>
      <c r="D5" s="37" t="s">
        <v>89</v>
      </c>
      <c r="E5" s="31">
        <f>ROUND(24013.73*0.01%,2)</f>
        <v>2.4</v>
      </c>
      <c r="F5" s="38">
        <v>1E-3</v>
      </c>
    </row>
    <row r="6" spans="1:8" ht="24">
      <c r="A6" s="28">
        <v>2.2999999999999998</v>
      </c>
      <c r="B6" s="27" t="s">
        <v>76</v>
      </c>
      <c r="C6" s="28" t="e">
        <f>#REF!</f>
        <v>#REF!</v>
      </c>
      <c r="D6" s="35" t="s">
        <v>82</v>
      </c>
      <c r="E6" s="1" t="s">
        <v>85</v>
      </c>
      <c r="H6" s="33"/>
    </row>
    <row r="7" spans="1:8">
      <c r="A7" s="28">
        <v>3</v>
      </c>
      <c r="B7" s="27" t="s">
        <v>77</v>
      </c>
      <c r="C7" s="28" t="e">
        <f>C8+C9+C10</f>
        <v>#REF!</v>
      </c>
      <c r="D7" s="36" t="s">
        <v>68</v>
      </c>
    </row>
    <row r="8" spans="1:8" ht="24.75">
      <c r="A8" s="28">
        <v>3.1</v>
      </c>
      <c r="B8" s="27" t="s">
        <v>78</v>
      </c>
      <c r="C8" s="28">
        <f>E8</f>
        <v>58.09</v>
      </c>
      <c r="D8" s="35" t="s">
        <v>84</v>
      </c>
      <c r="E8" s="1">
        <f>ROUND(57.36*12*E4*2%/10000,2)</f>
        <v>58.09</v>
      </c>
    </row>
    <row r="9" spans="1:8" ht="57">
      <c r="A9" s="28">
        <v>3.2</v>
      </c>
      <c r="B9" s="27" t="s">
        <v>79</v>
      </c>
      <c r="C9" s="28">
        <v>0</v>
      </c>
      <c r="D9" s="35" t="s">
        <v>90</v>
      </c>
      <c r="E9" s="1" t="e">
        <f>ROUND(E2*0.7*4.2%*0.9,2)</f>
        <v>#REF!</v>
      </c>
      <c r="F9" s="1">
        <f>4.2%*0.9</f>
        <v>3.78E-2</v>
      </c>
      <c r="G9" s="39" t="s">
        <v>87</v>
      </c>
    </row>
    <row r="10" spans="1:8" ht="57">
      <c r="A10" s="28">
        <v>3.3</v>
      </c>
      <c r="B10" s="27" t="s">
        <v>80</v>
      </c>
      <c r="C10" s="28" t="e">
        <f>ROUND((C2)*3%,2)</f>
        <v>#REF!</v>
      </c>
      <c r="D10" s="35" t="s">
        <v>88</v>
      </c>
      <c r="E10" s="39" t="s">
        <v>86</v>
      </c>
    </row>
    <row r="11" spans="1:8" ht="20.25" customHeight="1">
      <c r="A11" s="28">
        <v>4</v>
      </c>
      <c r="B11" s="27" t="s">
        <v>81</v>
      </c>
      <c r="C11" s="34" t="e">
        <f>C2+C3+C7</f>
        <v>#REF!</v>
      </c>
      <c r="D11" s="29" t="s">
        <v>69</v>
      </c>
    </row>
    <row r="12" spans="1:8" ht="25.5">
      <c r="A12" s="28">
        <v>5</v>
      </c>
      <c r="B12" s="27" t="s">
        <v>70</v>
      </c>
      <c r="C12" s="28" t="e">
        <f>ROUND(C11*10000/E4/12,2)</f>
        <v>#REF!</v>
      </c>
      <c r="D12" s="29" t="s">
        <v>71</v>
      </c>
    </row>
  </sheetData>
  <phoneticPr fontId="2"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K38"/>
  <sheetViews>
    <sheetView topLeftCell="B10" zoomScaleSheetLayoutView="100" workbookViewId="0">
      <selection activeCell="B30" sqref="B30"/>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50" t="s">
        <v>28</v>
      </c>
      <c r="B1" s="50"/>
      <c r="C1" s="50"/>
      <c r="D1" s="50"/>
      <c r="E1" s="50"/>
      <c r="F1" s="50"/>
      <c r="G1" s="50"/>
      <c r="H1" s="50"/>
    </row>
    <row r="2" spans="1:11">
      <c r="A2" s="13"/>
      <c r="B2" s="13"/>
      <c r="C2" s="13"/>
      <c r="D2" s="13"/>
      <c r="E2" s="13"/>
      <c r="F2" s="13"/>
      <c r="G2" s="13"/>
      <c r="H2" s="13"/>
      <c r="I2" s="13"/>
      <c r="J2" s="13"/>
    </row>
    <row r="3" spans="1:11">
      <c r="A3" s="51" t="s">
        <v>27</v>
      </c>
      <c r="B3" s="52"/>
      <c r="C3" s="49" t="s">
        <v>26</v>
      </c>
      <c r="D3" s="49"/>
      <c r="E3" s="49" t="s">
        <v>25</v>
      </c>
      <c r="F3" s="49"/>
      <c r="G3" s="49" t="s">
        <v>24</v>
      </c>
      <c r="H3" s="49"/>
      <c r="I3" s="49" t="s">
        <v>23</v>
      </c>
      <c r="J3" s="49"/>
    </row>
    <row r="4" spans="1:11">
      <c r="A4" s="49" t="s">
        <v>22</v>
      </c>
      <c r="B4" s="49"/>
      <c r="C4" s="56" t="s">
        <v>180</v>
      </c>
      <c r="D4" s="52"/>
      <c r="E4" s="53" t="str">
        <f>上和园周边公租房项目!D4</f>
        <v>彩虹家园</v>
      </c>
      <c r="F4" s="52"/>
      <c r="G4" s="53" t="str">
        <f>上和园周边公租房项目!D5</f>
        <v>阅园四区</v>
      </c>
      <c r="H4" s="52"/>
      <c r="I4" s="53" t="str">
        <f>上和园周边公租房项目!D7</f>
        <v>郭公庄家园（南区）</v>
      </c>
      <c r="J4" s="52"/>
    </row>
    <row r="5" spans="1:11" ht="30" customHeight="1">
      <c r="A5" s="49" t="s">
        <v>21</v>
      </c>
      <c r="B5" s="49"/>
      <c r="C5" s="51" t="s">
        <v>20</v>
      </c>
      <c r="D5" s="52"/>
      <c r="E5" s="54">
        <f>上和园周边公租房项目!E4</f>
        <v>50</v>
      </c>
      <c r="F5" s="55"/>
      <c r="G5" s="54">
        <f>上和园周边公租房项目!E5</f>
        <v>51</v>
      </c>
      <c r="H5" s="55"/>
      <c r="I5" s="54">
        <f>上和园周边公租房项目!E7</f>
        <v>50</v>
      </c>
      <c r="J5" s="55"/>
    </row>
    <row r="6" spans="1:11">
      <c r="A6" s="49" t="s">
        <v>19</v>
      </c>
      <c r="B6" s="49"/>
      <c r="C6" s="12">
        <v>45309</v>
      </c>
      <c r="D6" s="11">
        <v>100</v>
      </c>
      <c r="E6" s="12">
        <v>45292</v>
      </c>
      <c r="F6" s="11">
        <v>100</v>
      </c>
      <c r="G6" s="12">
        <v>45292</v>
      </c>
      <c r="H6" s="11">
        <v>100</v>
      </c>
      <c r="I6" s="12">
        <v>45292</v>
      </c>
      <c r="J6" s="11">
        <v>100</v>
      </c>
    </row>
    <row r="7" spans="1:11">
      <c r="A7" s="49" t="s">
        <v>18</v>
      </c>
      <c r="B7" s="49"/>
      <c r="C7" s="8" t="s">
        <v>17</v>
      </c>
      <c r="D7" s="8">
        <v>100</v>
      </c>
      <c r="E7" s="8" t="s">
        <v>17</v>
      </c>
      <c r="F7" s="8">
        <v>100</v>
      </c>
      <c r="G7" s="8" t="s">
        <v>17</v>
      </c>
      <c r="H7" s="8">
        <f>IF(G7=C7,100,"请调整")</f>
        <v>100</v>
      </c>
      <c r="I7" s="8" t="s">
        <v>17</v>
      </c>
      <c r="J7" s="8">
        <f>IF(I7=G7,100,"请调整")</f>
        <v>100</v>
      </c>
    </row>
    <row r="8" spans="1:11" ht="24">
      <c r="A8" s="60" t="s">
        <v>16</v>
      </c>
      <c r="B8" s="7" t="s">
        <v>15</v>
      </c>
      <c r="C8" s="7" t="s">
        <v>173</v>
      </c>
      <c r="D8" s="8">
        <v>100</v>
      </c>
      <c r="E8" s="7" t="s">
        <v>181</v>
      </c>
      <c r="F8" s="6">
        <v>98</v>
      </c>
      <c r="G8" s="7" t="s">
        <v>173</v>
      </c>
      <c r="H8" s="8">
        <v>100</v>
      </c>
      <c r="I8" s="7" t="s">
        <v>173</v>
      </c>
      <c r="J8" s="8">
        <v>100</v>
      </c>
      <c r="K8" s="10">
        <v>5</v>
      </c>
    </row>
    <row r="9" spans="1:11">
      <c r="A9" s="61"/>
      <c r="B9" s="7" t="s">
        <v>14</v>
      </c>
      <c r="C9" s="7" t="s">
        <v>177</v>
      </c>
      <c r="D9" s="8">
        <v>100</v>
      </c>
      <c r="E9" s="7" t="s">
        <v>182</v>
      </c>
      <c r="F9" s="6">
        <v>96</v>
      </c>
      <c r="G9" s="7" t="s">
        <v>176</v>
      </c>
      <c r="H9" s="6">
        <v>98</v>
      </c>
      <c r="I9" s="7" t="s">
        <v>176</v>
      </c>
      <c r="J9" s="6">
        <v>98</v>
      </c>
      <c r="K9" s="10">
        <v>1</v>
      </c>
    </row>
    <row r="10" spans="1:11">
      <c r="A10" s="61"/>
      <c r="B10" s="7" t="s">
        <v>13</v>
      </c>
      <c r="C10" s="7" t="s">
        <v>177</v>
      </c>
      <c r="D10" s="8">
        <v>100</v>
      </c>
      <c r="E10" s="7" t="s">
        <v>177</v>
      </c>
      <c r="F10" s="8">
        <v>100</v>
      </c>
      <c r="G10" s="7" t="s">
        <v>177</v>
      </c>
      <c r="H10" s="8">
        <v>100</v>
      </c>
      <c r="I10" s="7" t="s">
        <v>177</v>
      </c>
      <c r="J10" s="8">
        <v>100</v>
      </c>
      <c r="K10" s="9">
        <v>2</v>
      </c>
    </row>
    <row r="11" spans="1:11">
      <c r="A11" s="61"/>
      <c r="B11" s="7" t="s">
        <v>12</v>
      </c>
      <c r="C11" s="7" t="s">
        <v>177</v>
      </c>
      <c r="D11" s="8">
        <v>100</v>
      </c>
      <c r="E11" s="7" t="s">
        <v>177</v>
      </c>
      <c r="F11" s="8">
        <v>100</v>
      </c>
      <c r="G11" s="7" t="s">
        <v>176</v>
      </c>
      <c r="H11" s="6">
        <v>98</v>
      </c>
      <c r="I11" s="7" t="s">
        <v>176</v>
      </c>
      <c r="J11" s="6">
        <v>98</v>
      </c>
      <c r="K11" s="10">
        <v>2</v>
      </c>
    </row>
    <row r="12" spans="1:11">
      <c r="A12" s="62"/>
      <c r="B12" s="7" t="s">
        <v>11</v>
      </c>
      <c r="C12" s="7" t="s">
        <v>177</v>
      </c>
      <c r="D12" s="8">
        <v>100</v>
      </c>
      <c r="E12" s="7" t="s">
        <v>177</v>
      </c>
      <c r="F12" s="8">
        <v>100</v>
      </c>
      <c r="G12" s="7" t="s">
        <v>177</v>
      </c>
      <c r="H12" s="8">
        <v>100</v>
      </c>
      <c r="I12" s="7" t="s">
        <v>177</v>
      </c>
      <c r="J12" s="8">
        <v>100</v>
      </c>
      <c r="K12" s="5">
        <v>2</v>
      </c>
    </row>
    <row r="13" spans="1:11" ht="24">
      <c r="A13" s="63" t="s">
        <v>10</v>
      </c>
      <c r="B13" s="7" t="s">
        <v>9</v>
      </c>
      <c r="C13" s="7" t="s">
        <v>61</v>
      </c>
      <c r="D13" s="8">
        <v>100</v>
      </c>
      <c r="E13" s="8" t="s">
        <v>8</v>
      </c>
      <c r="F13" s="8">
        <v>100</v>
      </c>
      <c r="G13" s="8" t="s">
        <v>8</v>
      </c>
      <c r="H13" s="8">
        <v>100</v>
      </c>
      <c r="I13" s="8" t="s">
        <v>8</v>
      </c>
      <c r="J13" s="8">
        <v>100</v>
      </c>
      <c r="K13" s="5">
        <v>2</v>
      </c>
    </row>
    <row r="14" spans="1:11">
      <c r="A14" s="64"/>
      <c r="B14" s="7" t="s">
        <v>158</v>
      </c>
      <c r="C14" s="7" t="s">
        <v>157</v>
      </c>
      <c r="D14" s="8">
        <v>100</v>
      </c>
      <c r="E14" s="7" t="s">
        <v>157</v>
      </c>
      <c r="F14" s="8">
        <v>100</v>
      </c>
      <c r="G14" s="7" t="s">
        <v>157</v>
      </c>
      <c r="H14" s="8">
        <v>100</v>
      </c>
      <c r="I14" s="7" t="s">
        <v>157</v>
      </c>
      <c r="J14" s="8">
        <v>100</v>
      </c>
      <c r="K14" s="5">
        <v>1</v>
      </c>
    </row>
    <row r="15" spans="1:11">
      <c r="A15" s="64"/>
      <c r="B15" s="7" t="s">
        <v>7</v>
      </c>
      <c r="C15" s="7" t="s">
        <v>159</v>
      </c>
      <c r="D15" s="8">
        <v>100</v>
      </c>
      <c r="E15" s="7" t="s">
        <v>159</v>
      </c>
      <c r="F15" s="8">
        <v>100</v>
      </c>
      <c r="G15" s="7" t="s">
        <v>159</v>
      </c>
      <c r="H15" s="8">
        <v>100</v>
      </c>
      <c r="I15" s="7" t="s">
        <v>159</v>
      </c>
      <c r="J15" s="8">
        <v>100</v>
      </c>
      <c r="K15" s="44">
        <v>1</v>
      </c>
    </row>
    <row r="16" spans="1:11">
      <c r="A16" s="64"/>
      <c r="B16" s="7" t="s">
        <v>29</v>
      </c>
      <c r="C16" s="7" t="s">
        <v>30</v>
      </c>
      <c r="D16" s="8">
        <v>100</v>
      </c>
      <c r="E16" s="7" t="s">
        <v>30</v>
      </c>
      <c r="F16" s="8">
        <v>100</v>
      </c>
      <c r="G16" s="7" t="s">
        <v>30</v>
      </c>
      <c r="H16" s="8">
        <f t="shared" ref="H16" si="0">F16</f>
        <v>100</v>
      </c>
      <c r="I16" s="7" t="s">
        <v>30</v>
      </c>
      <c r="J16" s="8">
        <f t="shared" ref="J16" si="1">H16</f>
        <v>100</v>
      </c>
      <c r="K16" s="44">
        <v>3</v>
      </c>
    </row>
    <row r="17" spans="1:11" ht="24">
      <c r="A17" s="64"/>
      <c r="B17" s="7" t="s">
        <v>174</v>
      </c>
      <c r="C17" s="7" t="s">
        <v>171</v>
      </c>
      <c r="D17" s="8">
        <v>100</v>
      </c>
      <c r="E17" s="7" t="s">
        <v>171</v>
      </c>
      <c r="F17" s="8">
        <v>100</v>
      </c>
      <c r="G17" s="7" t="s">
        <v>171</v>
      </c>
      <c r="H17" s="8">
        <v>100</v>
      </c>
      <c r="I17" s="7" t="s">
        <v>171</v>
      </c>
      <c r="J17" s="8">
        <v>100</v>
      </c>
      <c r="K17" s="44">
        <v>1</v>
      </c>
    </row>
    <row r="18" spans="1:11">
      <c r="A18" s="64"/>
      <c r="B18" s="7" t="s">
        <v>6</v>
      </c>
      <c r="C18" s="7" t="s">
        <v>178</v>
      </c>
      <c r="D18" s="8">
        <v>100</v>
      </c>
      <c r="E18" s="7" t="s">
        <v>178</v>
      </c>
      <c r="F18" s="8">
        <v>100</v>
      </c>
      <c r="G18" s="7" t="s">
        <v>178</v>
      </c>
      <c r="H18" s="8">
        <v>100</v>
      </c>
      <c r="I18" s="7" t="s">
        <v>178</v>
      </c>
      <c r="J18" s="8">
        <v>100</v>
      </c>
      <c r="K18" s="5">
        <v>1</v>
      </c>
    </row>
    <row r="19" spans="1:11">
      <c r="A19" s="64"/>
      <c r="B19" s="7" t="s">
        <v>63</v>
      </c>
      <c r="C19" s="7">
        <v>50</v>
      </c>
      <c r="D19" s="8">
        <v>100</v>
      </c>
      <c r="E19" s="7">
        <v>50</v>
      </c>
      <c r="F19" s="8">
        <v>100</v>
      </c>
      <c r="G19" s="7">
        <v>50</v>
      </c>
      <c r="H19" s="8">
        <f>F19</f>
        <v>100</v>
      </c>
      <c r="I19" s="7">
        <v>50</v>
      </c>
      <c r="J19" s="8">
        <f>F19</f>
        <v>100</v>
      </c>
      <c r="K19" s="5">
        <v>0.5</v>
      </c>
    </row>
    <row r="20" spans="1:11">
      <c r="A20" s="64"/>
      <c r="B20" s="7" t="s">
        <v>101</v>
      </c>
      <c r="C20" s="46">
        <v>0.8</v>
      </c>
      <c r="D20" s="8">
        <v>100</v>
      </c>
      <c r="E20" s="46">
        <v>0.85</v>
      </c>
      <c r="F20" s="8">
        <v>100</v>
      </c>
      <c r="G20" s="46">
        <v>0.9</v>
      </c>
      <c r="H20" s="8">
        <v>100</v>
      </c>
      <c r="I20" s="46">
        <v>0.88</v>
      </c>
      <c r="J20" s="8">
        <v>100</v>
      </c>
      <c r="K20" s="5"/>
    </row>
    <row r="21" spans="1:11">
      <c r="A21" s="64"/>
      <c r="B21" s="7" t="s">
        <v>5</v>
      </c>
      <c r="C21" s="7" t="s">
        <v>170</v>
      </c>
      <c r="D21" s="8">
        <v>100</v>
      </c>
      <c r="E21" s="7" t="s">
        <v>170</v>
      </c>
      <c r="F21" s="8">
        <v>100</v>
      </c>
      <c r="G21" s="7" t="s">
        <v>170</v>
      </c>
      <c r="H21" s="8">
        <v>100</v>
      </c>
      <c r="I21" s="7" t="s">
        <v>170</v>
      </c>
      <c r="J21" s="8">
        <v>100</v>
      </c>
      <c r="K21" s="5">
        <v>1</v>
      </c>
    </row>
    <row r="22" spans="1:11" ht="36">
      <c r="A22" s="64"/>
      <c r="B22" s="7" t="s">
        <v>172</v>
      </c>
      <c r="C22" s="7" t="s">
        <v>173</v>
      </c>
      <c r="D22" s="8">
        <v>100</v>
      </c>
      <c r="E22" s="7" t="s">
        <v>173</v>
      </c>
      <c r="F22" s="8">
        <v>100</v>
      </c>
      <c r="G22" s="7" t="s">
        <v>173</v>
      </c>
      <c r="H22" s="8">
        <v>100</v>
      </c>
      <c r="I22" s="7" t="s">
        <v>173</v>
      </c>
      <c r="J22" s="8">
        <v>100</v>
      </c>
      <c r="K22" s="5">
        <v>0.2</v>
      </c>
    </row>
    <row r="23" spans="1:11" ht="36">
      <c r="A23" s="64"/>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c r="A24" s="57" t="s">
        <v>3</v>
      </c>
      <c r="B24" s="57"/>
      <c r="C24" s="49" t="s">
        <v>1</v>
      </c>
      <c r="D24" s="49"/>
      <c r="E24" s="58">
        <f>E5</f>
        <v>50</v>
      </c>
      <c r="F24" s="58"/>
      <c r="G24" s="58">
        <f>G5</f>
        <v>51</v>
      </c>
      <c r="H24" s="58"/>
      <c r="I24" s="58">
        <f>I5</f>
        <v>50</v>
      </c>
      <c r="J24" s="58"/>
    </row>
    <row r="25" spans="1:11">
      <c r="A25" s="57" t="s">
        <v>2</v>
      </c>
      <c r="B25" s="57"/>
      <c r="C25" s="49" t="s">
        <v>1</v>
      </c>
      <c r="D25" s="49"/>
      <c r="E25" s="65">
        <f>ROUND(E24*POWER(100,COUNT(F6:F23))/PRODUCT(F6:F23),2)</f>
        <v>53.15</v>
      </c>
      <c r="F25" s="65"/>
      <c r="G25" s="65">
        <f>ROUND(G24*POWER(100,COUNT(H6:H23))/PRODUCT(H6:H23),2)</f>
        <v>53.1</v>
      </c>
      <c r="H25" s="65"/>
      <c r="I25" s="65">
        <f>ROUND(I24*POWER(100,COUNT(J6:J23))/PRODUCT(J6:J23),2)</f>
        <v>52.06</v>
      </c>
      <c r="J25" s="65"/>
    </row>
    <row r="26" spans="1:11">
      <c r="A26" s="59" t="str">
        <f>CONCATENATE("估价对象比较价值=(",TEXT(E25,"G/通用格式"),"+",TEXT(G25,"G/通用格式"),"+",TEXT(I25,"G/通用格式"),")","/",3,"=",ROUND((E25+G25+I25)/3,2))</f>
        <v>估价对象比较价值=(53.15+53.1+52.06)/3=52.77</v>
      </c>
      <c r="B26" s="59"/>
      <c r="C26" s="59"/>
      <c r="D26" s="59"/>
      <c r="E26" s="59"/>
      <c r="F26" s="59"/>
      <c r="G26" s="59"/>
      <c r="H26" s="59"/>
      <c r="I26" s="4"/>
      <c r="J26" s="4"/>
    </row>
    <row r="28" spans="1:11">
      <c r="B28" s="1">
        <f>C28*0.9</f>
        <v>47.493000000000002</v>
      </c>
      <c r="C28" s="1">
        <f>ROUND((E25+G25+I25)/3,2)</f>
        <v>52.77</v>
      </c>
      <c r="E28" s="1">
        <f>ROUND(E25/E24,4)</f>
        <v>1.0629999999999999</v>
      </c>
      <c r="G28" s="1">
        <f>ROUND(G25/G24,4)</f>
        <v>1.0411999999999999</v>
      </c>
      <c r="I28" s="1">
        <f>ROUND(I25/I24,4)</f>
        <v>1.0411999999999999</v>
      </c>
    </row>
    <row r="29" spans="1:11">
      <c r="B29" s="1">
        <f>C28*1.1</f>
        <v>58.047000000000011</v>
      </c>
      <c r="E29" s="45">
        <f>ROUND(PRODUCT($D$6:$D$23)/PRODUCT(F6:F23),4)</f>
        <v>1.0629</v>
      </c>
      <c r="G29" s="45">
        <f>ROUND(PRODUCT($D$6:$D$23)/PRODUCT(H6:H23),4)</f>
        <v>1.0411999999999999</v>
      </c>
      <c r="I29" s="45">
        <f>ROUND(PRODUCT($D$6:$D$23)/PRODUCT(J6:J23),4)</f>
        <v>1.0411999999999999</v>
      </c>
    </row>
    <row r="30" spans="1:11">
      <c r="C30" s="1">
        <v>2015</v>
      </c>
      <c r="E30" s="1">
        <v>2015</v>
      </c>
      <c r="G30" s="1">
        <v>2018</v>
      </c>
      <c r="I30" s="1">
        <v>2017</v>
      </c>
    </row>
    <row r="31" spans="1:11">
      <c r="C31" s="3"/>
      <c r="I31" s="1">
        <f>1-(2024-I30)/60</f>
        <v>0.8833333333333333</v>
      </c>
    </row>
    <row r="32" spans="1:11">
      <c r="C32" s="2"/>
      <c r="G32" s="31"/>
    </row>
    <row r="37" spans="2:11">
      <c r="B37" t="s">
        <v>160</v>
      </c>
      <c r="C37" t="s">
        <v>161</v>
      </c>
      <c r="D37" t="s">
        <v>162</v>
      </c>
      <c r="E37" t="s">
        <v>163</v>
      </c>
      <c r="F37" t="s">
        <v>164</v>
      </c>
      <c r="G37" t="s">
        <v>165</v>
      </c>
      <c r="H37" t="s">
        <v>166</v>
      </c>
      <c r="I37" t="s">
        <v>167</v>
      </c>
      <c r="J37" t="s">
        <v>168</v>
      </c>
      <c r="K37" t="s">
        <v>169</v>
      </c>
    </row>
    <row r="38" spans="2:11">
      <c r="B38">
        <f>C38+0.5</f>
        <v>100.5</v>
      </c>
      <c r="C38">
        <v>100</v>
      </c>
      <c r="D38">
        <f>C38-0.5</f>
        <v>99.5</v>
      </c>
      <c r="E38">
        <f t="shared" ref="E38:K38" si="2">D38-0.5</f>
        <v>99</v>
      </c>
      <c r="F38">
        <f t="shared" si="2"/>
        <v>98.5</v>
      </c>
      <c r="G38">
        <f t="shared" si="2"/>
        <v>98</v>
      </c>
      <c r="H38">
        <f t="shared" si="2"/>
        <v>97.5</v>
      </c>
      <c r="I38">
        <f t="shared" si="2"/>
        <v>97</v>
      </c>
      <c r="J38">
        <f t="shared" si="2"/>
        <v>96.5</v>
      </c>
      <c r="K38">
        <f t="shared" si="2"/>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9"/>
  <sheetViews>
    <sheetView tabSelected="1" topLeftCell="B1" workbookViewId="0">
      <selection activeCell="H3" sqref="H3"/>
    </sheetView>
  </sheetViews>
  <sheetFormatPr defaultRowHeight="14.25"/>
  <cols>
    <col min="1" max="3" width="9" style="18"/>
    <col min="4" max="4" width="16.875" style="18" customWidth="1"/>
    <col min="5" max="16384" width="9" style="18"/>
  </cols>
  <sheetData>
    <row r="3" spans="3:5">
      <c r="D3" s="18" t="s">
        <v>179</v>
      </c>
      <c r="E3" s="18" t="s">
        <v>175</v>
      </c>
    </row>
    <row r="4" spans="3:5">
      <c r="C4" s="48"/>
      <c r="D4" s="47" t="s">
        <v>183</v>
      </c>
      <c r="E4" s="47">
        <v>50</v>
      </c>
    </row>
    <row r="5" spans="3:5">
      <c r="C5" s="48"/>
      <c r="D5" s="47" t="s">
        <v>184</v>
      </c>
      <c r="E5" s="47">
        <v>51</v>
      </c>
    </row>
    <row r="6" spans="3:5">
      <c r="C6" s="48"/>
      <c r="D6" s="47" t="s">
        <v>185</v>
      </c>
      <c r="E6" s="47">
        <v>50</v>
      </c>
    </row>
    <row r="7" spans="3:5">
      <c r="C7" s="48"/>
      <c r="D7" s="47" t="s">
        <v>186</v>
      </c>
      <c r="E7" s="47">
        <v>50</v>
      </c>
    </row>
    <row r="8" spans="3:5">
      <c r="C8" s="48"/>
      <c r="D8" s="47" t="s">
        <v>187</v>
      </c>
      <c r="E8" s="47">
        <v>56</v>
      </c>
    </row>
    <row r="9" spans="3:5">
      <c r="C9" s="48"/>
      <c r="D9" s="47"/>
      <c r="E9" s="47"/>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63">
      <c r="A2" s="28">
        <v>1</v>
      </c>
      <c r="B2" s="27" t="s">
        <v>91</v>
      </c>
      <c r="C2" s="34" t="e">
        <f>F2</f>
        <v>#REF!</v>
      </c>
      <c r="D2" s="35" t="s">
        <v>102</v>
      </c>
      <c r="E2" s="1" t="e">
        <f>#REF!</f>
        <v>#REF!</v>
      </c>
      <c r="F2" s="14" t="e">
        <f>#REF!</f>
        <v>#REF!</v>
      </c>
    </row>
    <row r="3" spans="1:8">
      <c r="A3" s="28">
        <v>2</v>
      </c>
      <c r="B3" s="27" t="s">
        <v>92</v>
      </c>
      <c r="C3" s="28" t="e">
        <f>C4+C5+C6</f>
        <v>#REF!</v>
      </c>
      <c r="D3" s="36" t="s">
        <v>67</v>
      </c>
    </row>
    <row r="4" spans="1:8" ht="38.25">
      <c r="A4" s="28">
        <v>2.1</v>
      </c>
      <c r="B4" s="27" t="s">
        <v>93</v>
      </c>
      <c r="C4" s="34" t="e">
        <f>F4</f>
        <v>#REF!</v>
      </c>
      <c r="D4" s="36" t="s">
        <v>103</v>
      </c>
      <c r="E4" s="30" t="e">
        <f>#REF!</f>
        <v>#REF!</v>
      </c>
      <c r="F4" s="1" t="e">
        <f>ROUND(E4*1.5*12,2)</f>
        <v>#REF!</v>
      </c>
    </row>
    <row r="5" spans="1:8" ht="36.75">
      <c r="A5" s="28">
        <v>2.2000000000000002</v>
      </c>
      <c r="B5" s="27" t="s">
        <v>94</v>
      </c>
      <c r="C5" s="32" t="e">
        <f>ROUND(E5,2)</f>
        <v>#REF!</v>
      </c>
      <c r="D5" s="36" t="s">
        <v>140</v>
      </c>
      <c r="E5" s="31" t="e">
        <f>ROUND(4500*0.8*0.1%*E4,2)</f>
        <v>#REF!</v>
      </c>
      <c r="F5" s="38">
        <v>1E-3</v>
      </c>
    </row>
    <row r="6" spans="1:8" ht="24.75">
      <c r="A6" s="28">
        <v>2.2999999999999998</v>
      </c>
      <c r="B6" s="27" t="s">
        <v>95</v>
      </c>
      <c r="C6" s="28" t="e">
        <f>#REF!</f>
        <v>#REF!</v>
      </c>
      <c r="D6" s="36" t="s">
        <v>104</v>
      </c>
      <c r="E6" s="1" t="s">
        <v>85</v>
      </c>
      <c r="H6" s="33"/>
    </row>
    <row r="7" spans="1:8">
      <c r="A7" s="28">
        <v>3</v>
      </c>
      <c r="B7" s="27" t="s">
        <v>96</v>
      </c>
      <c r="C7" s="28" t="e">
        <f>C8+C9+C10</f>
        <v>#REF!</v>
      </c>
      <c r="D7" s="36" t="s">
        <v>68</v>
      </c>
    </row>
    <row r="8" spans="1:8" ht="24.75">
      <c r="A8" s="28">
        <v>3.1</v>
      </c>
      <c r="B8" s="27" t="s">
        <v>97</v>
      </c>
      <c r="C8" s="28" t="e">
        <f>E8</f>
        <v>#REF!</v>
      </c>
      <c r="D8" s="35" t="s">
        <v>148</v>
      </c>
      <c r="E8" s="1" t="e">
        <f>ROUND(60.16*12*E4*2%,2)</f>
        <v>#REF!</v>
      </c>
    </row>
    <row r="9" spans="1:8" ht="57">
      <c r="A9" s="28">
        <v>3.2</v>
      </c>
      <c r="B9" s="27" t="s">
        <v>98</v>
      </c>
      <c r="C9" s="28">
        <v>0</v>
      </c>
      <c r="D9" s="35" t="s">
        <v>90</v>
      </c>
      <c r="E9" s="1" t="e">
        <f>ROUND(E2*0.7*4.2%*0.9,2)</f>
        <v>#REF!</v>
      </c>
      <c r="F9" s="1">
        <f>4.2%*0.9</f>
        <v>3.78E-2</v>
      </c>
      <c r="G9" s="39" t="s">
        <v>87</v>
      </c>
    </row>
    <row r="10" spans="1:8" ht="57">
      <c r="A10" s="28">
        <v>3.3</v>
      </c>
      <c r="B10" s="27" t="s">
        <v>99</v>
      </c>
      <c r="C10" s="28" t="e">
        <f>ROUND((C2)*3%,2)</f>
        <v>#REF!</v>
      </c>
      <c r="D10" s="35" t="s">
        <v>147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40" t="e">
        <f>F2</f>
        <v>#REF!</v>
      </c>
      <c r="D2" s="35" t="s">
        <v>106</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108</v>
      </c>
      <c r="E5" s="31" t="e">
        <f>ROUND(4500*0.95*0.1%*E4,2)</f>
        <v>#REF!</v>
      </c>
      <c r="F5" s="38">
        <v>1E-3</v>
      </c>
    </row>
    <row r="6" spans="1:8" ht="24.75">
      <c r="A6" s="28">
        <v>2.2999999999999998</v>
      </c>
      <c r="B6" s="27" t="s">
        <v>95</v>
      </c>
      <c r="C6" s="28" t="e">
        <f>#REF!</f>
        <v>#REF!</v>
      </c>
      <c r="D6" s="36" t="s">
        <v>109</v>
      </c>
      <c r="E6" s="1" t="s">
        <v>85</v>
      </c>
      <c r="H6" s="33"/>
    </row>
    <row r="7" spans="1:8">
      <c r="A7" s="28">
        <v>3</v>
      </c>
      <c r="B7" s="27" t="s">
        <v>96</v>
      </c>
      <c r="C7" s="28" t="e">
        <f>C8+C9+C10</f>
        <v>#REF!</v>
      </c>
      <c r="D7" s="36" t="s">
        <v>68</v>
      </c>
    </row>
    <row r="8" spans="1:8" ht="24.75">
      <c r="A8" s="28">
        <v>3.1</v>
      </c>
      <c r="B8" s="27" t="s">
        <v>97</v>
      </c>
      <c r="C8" s="28" t="e">
        <f>E8</f>
        <v>#REF!</v>
      </c>
      <c r="D8" s="35" t="s">
        <v>149</v>
      </c>
      <c r="E8" s="1" t="e">
        <f>ROUND(61.61*12*E4*2%,2)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110</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4.25">
      <c r="A2" s="28">
        <v>1</v>
      </c>
      <c r="B2" s="27" t="s">
        <v>91</v>
      </c>
      <c r="C2" s="34" t="e">
        <f>F2</f>
        <v>#REF!</v>
      </c>
      <c r="D2" s="35" t="s">
        <v>118</v>
      </c>
      <c r="E2" s="1" t="e">
        <f>#REF!</f>
        <v>#REF!</v>
      </c>
      <c r="F2" s="14" t="e">
        <f>#REF!</f>
        <v>#REF!</v>
      </c>
    </row>
    <row r="3" spans="1:8">
      <c r="A3" s="28">
        <v>2</v>
      </c>
      <c r="B3" s="27" t="s">
        <v>92</v>
      </c>
      <c r="C3" s="28" t="e">
        <f>C4+C5+C6</f>
        <v>#REF!</v>
      </c>
      <c r="D3" s="36" t="s">
        <v>67</v>
      </c>
    </row>
    <row r="4" spans="1:8" ht="38.25">
      <c r="A4" s="28">
        <v>2.1</v>
      </c>
      <c r="B4" s="27" t="s">
        <v>93</v>
      </c>
      <c r="C4" s="34" t="e">
        <f>F4</f>
        <v>#REF!</v>
      </c>
      <c r="D4" s="36" t="s">
        <v>107</v>
      </c>
      <c r="E4" s="30" t="e">
        <f>#REF!</f>
        <v>#REF!</v>
      </c>
      <c r="F4" s="1" t="e">
        <f>ROUND(E4*1.5*12,2)</f>
        <v>#REF!</v>
      </c>
    </row>
    <row r="5" spans="1:8" ht="36.75">
      <c r="A5" s="28">
        <v>2.2000000000000002</v>
      </c>
      <c r="B5" s="27" t="s">
        <v>94</v>
      </c>
      <c r="C5" s="32" t="e">
        <f>ROUND(E5,2)</f>
        <v>#REF!</v>
      </c>
      <c r="D5" s="36" t="s">
        <v>111</v>
      </c>
      <c r="E5" s="31" t="e">
        <f>ROUND(4500*G5*0.1%*E4,2)</f>
        <v>#REF!</v>
      </c>
      <c r="F5" s="38">
        <v>1E-3</v>
      </c>
      <c r="G5" s="41" t="e">
        <f>#REF!</f>
        <v>#REF!</v>
      </c>
    </row>
    <row r="6" spans="1:8" ht="24.75">
      <c r="A6" s="28">
        <v>2.2999999999999998</v>
      </c>
      <c r="B6" s="27" t="s">
        <v>95</v>
      </c>
      <c r="C6" s="28" t="e">
        <f>#REF!</f>
        <v>#REF!</v>
      </c>
      <c r="D6" s="36" t="s">
        <v>112</v>
      </c>
      <c r="E6" s="1" t="s">
        <v>85</v>
      </c>
      <c r="H6" s="33"/>
    </row>
    <row r="7" spans="1:8">
      <c r="A7" s="28">
        <v>3</v>
      </c>
      <c r="B7" s="27" t="s">
        <v>96</v>
      </c>
      <c r="C7" s="28" t="e">
        <f>C8+C9+C10</f>
        <v>#REF!</v>
      </c>
      <c r="D7" s="36" t="s">
        <v>68</v>
      </c>
    </row>
    <row r="8" spans="1:8" ht="24.75">
      <c r="A8" s="28">
        <v>3.1</v>
      </c>
      <c r="B8" s="27" t="s">
        <v>97</v>
      </c>
      <c r="C8" s="28" t="e">
        <f>E8</f>
        <v>#REF!</v>
      </c>
      <c r="D8" s="35" t="s">
        <v>150</v>
      </c>
      <c r="E8" s="1" t="e">
        <f>ROUND(62.11*12*E4*2%,2)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75">
      <c r="A2" s="28">
        <v>1</v>
      </c>
      <c r="B2" s="27" t="s">
        <v>91</v>
      </c>
      <c r="C2" s="34" t="e">
        <f>F2</f>
        <v>#REF!</v>
      </c>
      <c r="D2" s="35" t="s">
        <v>119</v>
      </c>
      <c r="E2" s="1" t="e">
        <f>#REF!</f>
        <v>#REF!</v>
      </c>
      <c r="F2" s="14" t="e">
        <f>#REF!</f>
        <v>#REF!</v>
      </c>
    </row>
    <row r="3" spans="1:8">
      <c r="A3" s="28">
        <v>2</v>
      </c>
      <c r="B3" s="27" t="s">
        <v>92</v>
      </c>
      <c r="C3" s="28" t="e">
        <f>C4+C5+C6</f>
        <v>#REF!</v>
      </c>
      <c r="D3" s="36" t="s">
        <v>67</v>
      </c>
    </row>
    <row r="4" spans="1:8" ht="38.25">
      <c r="A4" s="28">
        <v>2.1</v>
      </c>
      <c r="B4" s="27" t="s">
        <v>93</v>
      </c>
      <c r="C4" s="34" t="e">
        <f>F4</f>
        <v>#REF!</v>
      </c>
      <c r="D4" s="36" t="s">
        <v>114</v>
      </c>
      <c r="E4" s="30" t="e">
        <f>#REF!</f>
        <v>#REF!</v>
      </c>
      <c r="F4" s="1" t="e">
        <f>ROUND(E4*1.5*12,2)</f>
        <v>#REF!</v>
      </c>
    </row>
    <row r="5" spans="1:8" ht="24.75">
      <c r="A5" s="28">
        <v>2.2000000000000002</v>
      </c>
      <c r="B5" s="27" t="s">
        <v>94</v>
      </c>
      <c r="C5" s="32" t="e">
        <f>ROUND(E5,2)</f>
        <v>#REF!</v>
      </c>
      <c r="D5" s="36" t="s">
        <v>115</v>
      </c>
      <c r="E5" s="31" t="e">
        <f>ROUND(4500*G5*0.1%*E4,2)</f>
        <v>#REF!</v>
      </c>
      <c r="F5" s="38">
        <v>1E-3</v>
      </c>
      <c r="G5" s="41" t="e">
        <f>#REF!</f>
        <v>#REF!</v>
      </c>
    </row>
    <row r="6" spans="1:8" ht="24.75">
      <c r="A6" s="28">
        <v>2.2999999999999998</v>
      </c>
      <c r="B6" s="27" t="s">
        <v>95</v>
      </c>
      <c r="C6" s="28" t="e">
        <f>#REF!</f>
        <v>#REF!</v>
      </c>
      <c r="D6" s="36" t="s">
        <v>116</v>
      </c>
      <c r="E6" s="1" t="s">
        <v>85</v>
      </c>
      <c r="H6" s="33"/>
    </row>
    <row r="7" spans="1:8">
      <c r="A7" s="28">
        <v>3</v>
      </c>
      <c r="B7" s="27" t="s">
        <v>96</v>
      </c>
      <c r="C7" s="28" t="e">
        <f>C8+C9+C10</f>
        <v>#REF!</v>
      </c>
      <c r="D7" s="36" t="s">
        <v>68</v>
      </c>
    </row>
    <row r="8" spans="1:8" ht="24.75">
      <c r="A8" s="28">
        <v>3.1</v>
      </c>
      <c r="B8" s="27" t="s">
        <v>97</v>
      </c>
      <c r="C8" s="28" t="e">
        <f>E8</f>
        <v>#REF!</v>
      </c>
      <c r="D8" s="35" t="s">
        <v>151</v>
      </c>
      <c r="E8" s="1" t="e">
        <f>ROUND(63.72*12*E4*2%,2)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117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120</v>
      </c>
      <c r="E2" s="1" t="e">
        <f>#REF!</f>
        <v>#REF!</v>
      </c>
      <c r="F2" s="14" t="e">
        <f>#REF!</f>
        <v>#REF!</v>
      </c>
    </row>
    <row r="3" spans="1:8">
      <c r="A3" s="28">
        <v>2</v>
      </c>
      <c r="B3" s="27" t="s">
        <v>92</v>
      </c>
      <c r="C3" s="28" t="e">
        <f>C4+C5+C6</f>
        <v>#REF!</v>
      </c>
      <c r="D3" s="36" t="s">
        <v>67</v>
      </c>
    </row>
    <row r="4" spans="1:8" ht="38.25">
      <c r="A4" s="28">
        <v>2.1</v>
      </c>
      <c r="B4" s="27" t="s">
        <v>93</v>
      </c>
      <c r="C4" s="34" t="e">
        <f>F4</f>
        <v>#REF!</v>
      </c>
      <c r="D4" s="36" t="s">
        <v>121</v>
      </c>
      <c r="E4" s="30" t="e">
        <f>#REF!</f>
        <v>#REF!</v>
      </c>
      <c r="F4" s="1" t="e">
        <f>ROUND(E4*1.5*12,2)</f>
        <v>#REF!</v>
      </c>
    </row>
    <row r="5" spans="1:8" ht="24.75">
      <c r="A5" s="28">
        <v>2.2000000000000002</v>
      </c>
      <c r="B5" s="27" t="s">
        <v>94</v>
      </c>
      <c r="C5" s="32" t="e">
        <f>ROUND(E5,2)</f>
        <v>#REF!</v>
      </c>
      <c r="D5" s="36" t="s">
        <v>122</v>
      </c>
      <c r="E5" s="31" t="e">
        <f>ROUND(4500*G5*0.1%*E4,2)</f>
        <v>#REF!</v>
      </c>
      <c r="F5" s="38">
        <v>1E-3</v>
      </c>
      <c r="G5" s="41" t="e">
        <f>#REF!</f>
        <v>#REF!</v>
      </c>
    </row>
    <row r="6" spans="1:8" ht="24.75">
      <c r="A6" s="28">
        <v>2.2999999999999998</v>
      </c>
      <c r="B6" s="27" t="s">
        <v>95</v>
      </c>
      <c r="C6" s="28" t="e">
        <f>#REF!</f>
        <v>#REF!</v>
      </c>
      <c r="D6" s="36" t="s">
        <v>133</v>
      </c>
      <c r="E6" s="1" t="s">
        <v>85</v>
      </c>
      <c r="H6" s="33"/>
    </row>
    <row r="7" spans="1:8">
      <c r="A7" s="28">
        <v>3</v>
      </c>
      <c r="B7" s="27" t="s">
        <v>96</v>
      </c>
      <c r="C7" s="28" t="e">
        <f>C8+C9+C10</f>
        <v>#REF!</v>
      </c>
      <c r="D7" s="36" t="s">
        <v>68</v>
      </c>
    </row>
    <row r="8" spans="1:8" ht="24.75">
      <c r="A8" s="28">
        <v>3.1</v>
      </c>
      <c r="B8" s="27" t="s">
        <v>97</v>
      </c>
      <c r="C8" s="28" t="e">
        <f>E8</f>
        <v>#REF!</v>
      </c>
      <c r="D8" s="35" t="s">
        <v>152</v>
      </c>
      <c r="E8" s="1" t="e">
        <f>ROUND(63.95*12*E4*2%,2)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123</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7" t="s">
        <v>0</v>
      </c>
      <c r="B1" s="27" t="s">
        <v>64</v>
      </c>
      <c r="C1" s="27" t="s">
        <v>65</v>
      </c>
      <c r="D1" s="27" t="s">
        <v>66</v>
      </c>
    </row>
    <row r="2" spans="1:8" ht="75">
      <c r="A2" s="28">
        <v>1</v>
      </c>
      <c r="B2" s="27" t="s">
        <v>91</v>
      </c>
      <c r="C2" s="34" t="e">
        <f>F2</f>
        <v>#REF!</v>
      </c>
      <c r="D2" s="35" t="s">
        <v>124</v>
      </c>
      <c r="E2" s="1" t="e">
        <f>#REF!</f>
        <v>#REF!</v>
      </c>
      <c r="F2" s="14" t="e">
        <f>#REF!</f>
        <v>#REF!</v>
      </c>
    </row>
    <row r="3" spans="1:8">
      <c r="A3" s="28">
        <v>2</v>
      </c>
      <c r="B3" s="27" t="s">
        <v>92</v>
      </c>
      <c r="C3" s="28" t="e">
        <f>C4+C5+C6</f>
        <v>#REF!</v>
      </c>
      <c r="D3" s="36" t="s">
        <v>67</v>
      </c>
    </row>
    <row r="4" spans="1:8" ht="38.25">
      <c r="A4" s="28">
        <v>2.1</v>
      </c>
      <c r="B4" s="27" t="s">
        <v>93</v>
      </c>
      <c r="C4" s="34" t="e">
        <f>F4</f>
        <v>#REF!</v>
      </c>
      <c r="D4" s="36" t="s">
        <v>125</v>
      </c>
      <c r="E4" s="30" t="e">
        <f>#REF!</f>
        <v>#REF!</v>
      </c>
      <c r="F4" s="1" t="e">
        <f>ROUND(E4*1.5*12,2)</f>
        <v>#REF!</v>
      </c>
    </row>
    <row r="5" spans="1:8" ht="24.75">
      <c r="A5" s="28">
        <v>2.2000000000000002</v>
      </c>
      <c r="B5" s="27" t="s">
        <v>94</v>
      </c>
      <c r="C5" s="32" t="e">
        <f>ROUND(E5,2)</f>
        <v>#REF!</v>
      </c>
      <c r="D5" s="36" t="s">
        <v>126</v>
      </c>
      <c r="E5" s="31" t="e">
        <f>ROUND(4500*G5*0.1%*E4,2)</f>
        <v>#REF!</v>
      </c>
      <c r="F5" s="38">
        <v>1E-3</v>
      </c>
      <c r="G5" s="41" t="e">
        <f>#REF!</f>
        <v>#REF!</v>
      </c>
    </row>
    <row r="6" spans="1:8" ht="24.75">
      <c r="A6" s="28">
        <v>2.2999999999999998</v>
      </c>
      <c r="B6" s="27" t="s">
        <v>95</v>
      </c>
      <c r="C6" s="28" t="e">
        <f>#REF!</f>
        <v>#REF!</v>
      </c>
      <c r="D6" s="36" t="s">
        <v>132</v>
      </c>
      <c r="E6" s="1" t="s">
        <v>85</v>
      </c>
      <c r="H6" s="33"/>
    </row>
    <row r="7" spans="1:8">
      <c r="A7" s="28">
        <v>3</v>
      </c>
      <c r="B7" s="27" t="s">
        <v>96</v>
      </c>
      <c r="C7" s="28" t="e">
        <f>C8+C9+C10</f>
        <v>#REF!</v>
      </c>
      <c r="D7" s="36" t="s">
        <v>68</v>
      </c>
    </row>
    <row r="8" spans="1:8" ht="24.75">
      <c r="A8" s="28">
        <v>3.1</v>
      </c>
      <c r="B8" s="27" t="s">
        <v>97</v>
      </c>
      <c r="C8" s="28" t="e">
        <f>E8</f>
        <v>#REF!</v>
      </c>
      <c r="D8" s="35" t="s">
        <v>153</v>
      </c>
      <c r="E8" s="1" t="e">
        <f>ROUND(61.84*12*E4*2%,2)</f>
        <v>#REF!</v>
      </c>
    </row>
    <row r="9" spans="1:8" ht="38.25" customHeight="1">
      <c r="A9" s="28">
        <v>3.2</v>
      </c>
      <c r="B9" s="27" t="s">
        <v>98</v>
      </c>
      <c r="C9" s="28">
        <v>0</v>
      </c>
      <c r="D9" s="35" t="s">
        <v>90</v>
      </c>
      <c r="E9" s="1" t="e">
        <f>ROUND(E2*0.7*4.2%*0.9,2)</f>
        <v>#REF!</v>
      </c>
      <c r="F9" s="1">
        <f>4.2%*0.9</f>
        <v>3.78E-2</v>
      </c>
      <c r="G9" s="39" t="s">
        <v>87</v>
      </c>
    </row>
    <row r="10" spans="1:8" ht="57">
      <c r="A10" s="28">
        <v>3.3</v>
      </c>
      <c r="B10" s="27" t="s">
        <v>99</v>
      </c>
      <c r="C10" s="28" t="e">
        <f>ROUND((C2)*3%,2)</f>
        <v>#REF!</v>
      </c>
      <c r="D10" s="35" t="s">
        <v>127</v>
      </c>
      <c r="E10" s="39" t="s">
        <v>86</v>
      </c>
    </row>
    <row r="11" spans="1:8" ht="20.25" customHeight="1">
      <c r="A11" s="28">
        <v>4</v>
      </c>
      <c r="B11" s="27" t="s">
        <v>100</v>
      </c>
      <c r="C11" s="34" t="e">
        <f>C2+C3+C7</f>
        <v>#REF!</v>
      </c>
      <c r="D11" s="29" t="s">
        <v>69</v>
      </c>
    </row>
    <row r="12" spans="1:8" ht="25.5">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标准房测算表-金隅上和园</vt:lpstr>
      <vt:lpstr>上和园周边公租房项目</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win10A</cp:lastModifiedBy>
  <cp:revision>7</cp:revision>
  <cp:lastPrinted>2024-05-24T02:09:28Z</cp:lastPrinted>
  <dcterms:created xsi:type="dcterms:W3CDTF">2015-06-05T18:19:00Z</dcterms:created>
  <dcterms:modified xsi:type="dcterms:W3CDTF">2024-07-04T12:41:55Z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