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数据 " sheetId="69" r:id="rId13"/>
    <sheet name="数据-汇总表" sheetId="6" r:id="rId14"/>
    <sheet name="数据-取费表" sheetId="1" r:id="rId15"/>
    <sheet name="投资成本预测" sheetId="70" r:id="rId16"/>
    <sheet name="估价对象房地状况" sheetId="20" r:id="rId17"/>
    <sheet name="系统读取表" sheetId="66" r:id="rId18"/>
    <sheet name="结果表" sheetId="9" r:id="rId19"/>
    <sheet name="比较法-住宅、综合" sheetId="39"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住宅"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利润预测" sheetId="71"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9">'比较法-住宅、综合'!$A$1:$K$67,'比较法-住宅、综合'!$A$71:$N$134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44">利润预测!$A$1:$E$38</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3">'数据-汇总表'!$A$1:$P$32</definedName>
    <definedName name="_xlnm.Print_Area" localSheetId="15">投资成本预测!$A$1:$G$41</definedName>
    <definedName name="_xlnm.Print_Area" localSheetId="17">系统读取表!$A$1:$J$26</definedName>
    <definedName name="_xlnm.Print_Area" localSheetId="9">项目基本情况!$A$1:$J$44</definedName>
    <definedName name="_xlnm.Print_Area" hidden="1">#REF!</definedName>
    <definedName name="_xlnm.Print_Titles" localSheetId="15">投资成本预测!$1:$4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66" l="1"/>
  <c r="B16" i="66"/>
  <c r="D16" i="66" l="1"/>
  <c r="G16" i="66" l="1"/>
  <c r="I16" i="66" l="1"/>
  <c r="M34" i="72" l="1"/>
  <c r="L48" i="72"/>
  <c r="M48" i="72"/>
  <c r="I13" i="69"/>
  <c r="C17" i="66" l="1"/>
  <c r="B17" i="66"/>
  <c r="A3" i="3" l="1"/>
  <c r="C15" i="66" l="1"/>
  <c r="B15" i="66"/>
  <c r="I8" i="39" l="1"/>
  <c r="I9" i="39"/>
  <c r="G8" i="39"/>
  <c r="E8" i="39"/>
  <c r="D3" i="4" l="1"/>
  <c r="N80" i="72" l="1"/>
  <c r="N79" i="72"/>
  <c r="N78" i="72"/>
  <c r="N77" i="72"/>
  <c r="N76" i="72"/>
  <c r="N75" i="72"/>
  <c r="N74" i="72"/>
  <c r="N73" i="72"/>
  <c r="N72" i="72"/>
  <c r="N71" i="72"/>
  <c r="N70" i="72"/>
  <c r="N69" i="72"/>
  <c r="N68" i="72"/>
  <c r="N67" i="72"/>
  <c r="N66" i="72"/>
  <c r="N65" i="72"/>
  <c r="N64" i="72"/>
  <c r="N63" i="72"/>
  <c r="N61" i="72"/>
  <c r="N60" i="72"/>
  <c r="N59" i="72"/>
  <c r="N58" i="72"/>
  <c r="N57" i="72"/>
  <c r="N56" i="72"/>
  <c r="N55" i="72"/>
  <c r="N54" i="72"/>
  <c r="N53" i="72"/>
  <c r="N52" i="72"/>
  <c r="N51" i="72"/>
  <c r="N50" i="72"/>
  <c r="N49" i="72"/>
  <c r="N47" i="72"/>
  <c r="N46" i="72"/>
  <c r="N45" i="72"/>
  <c r="N44" i="72"/>
  <c r="N43" i="72"/>
  <c r="N42" i="72"/>
  <c r="N41" i="72"/>
  <c r="N40" i="72"/>
  <c r="N39" i="72"/>
  <c r="N38" i="72"/>
  <c r="N37" i="72"/>
  <c r="N36" i="72"/>
  <c r="N35" i="72"/>
  <c r="N33" i="72"/>
  <c r="N32" i="72"/>
  <c r="N31" i="72"/>
  <c r="N30" i="72"/>
  <c r="N29" i="72"/>
  <c r="N28" i="72"/>
  <c r="N27" i="72"/>
  <c r="N26" i="72"/>
  <c r="N25" i="72"/>
  <c r="N24" i="72"/>
  <c r="N23" i="72"/>
  <c r="N22" i="72"/>
  <c r="N21" i="72"/>
  <c r="N20" i="72"/>
  <c r="N19" i="72"/>
  <c r="N18" i="72"/>
  <c r="N17" i="72"/>
  <c r="N3" i="72"/>
  <c r="N4" i="72"/>
  <c r="N5" i="72"/>
  <c r="N6" i="72"/>
  <c r="N7" i="72"/>
  <c r="N8" i="72"/>
  <c r="N9" i="72"/>
  <c r="N10" i="72"/>
  <c r="N11" i="72"/>
  <c r="N12" i="72"/>
  <c r="N13" i="72"/>
  <c r="N14" i="72"/>
  <c r="N15" i="72"/>
  <c r="N16" i="72"/>
  <c r="N2" i="72"/>
  <c r="L34" i="72" l="1"/>
  <c r="N34" i="72" s="1"/>
  <c r="E34" i="72"/>
  <c r="F34" i="72" s="1"/>
  <c r="D34" i="72"/>
  <c r="J26" i="69" l="1"/>
  <c r="D7" i="31" l="1"/>
  <c r="E7" i="31"/>
  <c r="F7" i="31"/>
  <c r="C7" i="31"/>
  <c r="D5" i="31"/>
  <c r="E5" i="31"/>
  <c r="F5" i="31"/>
  <c r="C5" i="31"/>
  <c r="E40" i="39"/>
  <c r="G40" i="39"/>
  <c r="I40" i="39"/>
  <c r="C40" i="39"/>
  <c r="E73" i="39"/>
  <c r="F73" i="39" s="1"/>
  <c r="G73" i="39" s="1"/>
  <c r="H73" i="39" s="1"/>
  <c r="I73" i="39" s="1"/>
  <c r="J73" i="39" s="1"/>
  <c r="K73" i="39" s="1"/>
  <c r="L73" i="39" s="1"/>
  <c r="M73" i="39" s="1"/>
  <c r="N73" i="39" s="1"/>
  <c r="D73" i="39"/>
  <c r="G9" i="39"/>
  <c r="E9" i="39"/>
  <c r="E48" i="72"/>
  <c r="D48" i="72"/>
  <c r="F48" i="72" s="1"/>
  <c r="L62" i="72"/>
  <c r="E62" i="72"/>
  <c r="F62" i="72" s="1"/>
  <c r="D62" i="72"/>
  <c r="N48" i="72" l="1"/>
  <c r="M62" i="72"/>
  <c r="N62" i="72"/>
  <c r="F26" i="69"/>
  <c r="E38" i="71"/>
  <c r="A2" i="71"/>
  <c r="L39" i="70"/>
  <c r="D39" i="70"/>
  <c r="L38" i="70"/>
  <c r="L37" i="70"/>
  <c r="L36" i="70"/>
  <c r="L32" i="70"/>
  <c r="L31" i="70"/>
  <c r="L29" i="70"/>
  <c r="L28" i="70"/>
  <c r="L27" i="70"/>
  <c r="L26" i="70"/>
  <c r="L25" i="70"/>
  <c r="L23" i="70"/>
  <c r="L22" i="70"/>
  <c r="L21" i="70"/>
  <c r="L19" i="70"/>
  <c r="L18" i="70"/>
  <c r="L16" i="70"/>
  <c r="L15" i="70"/>
  <c r="L14" i="70"/>
  <c r="L13" i="70"/>
  <c r="L12" i="70"/>
  <c r="L11" i="70"/>
  <c r="L10" i="70"/>
  <c r="I10" i="70"/>
  <c r="E9" i="70"/>
  <c r="D8" i="70"/>
  <c r="D7" i="70"/>
  <c r="L37" i="69"/>
  <c r="J16" i="69"/>
  <c r="H16" i="69"/>
  <c r="G16" i="69"/>
  <c r="C16" i="69"/>
  <c r="E15" i="69"/>
  <c r="L15" i="69" s="1"/>
  <c r="K15" i="69" s="1"/>
  <c r="E14" i="69"/>
  <c r="L14" i="69" s="1"/>
  <c r="K14" i="69" s="1"/>
  <c r="E13" i="69"/>
  <c r="C6" i="69"/>
  <c r="C5" i="69"/>
  <c r="C9" i="71" s="1"/>
  <c r="F9" i="71" s="1"/>
  <c r="C2" i="69"/>
  <c r="C7" i="71" s="1"/>
  <c r="E16" i="69" l="1"/>
  <c r="E8" i="70"/>
  <c r="C4" i="69"/>
  <c r="H4" i="70" s="1"/>
  <c r="F16" i="69"/>
  <c r="E7" i="70"/>
  <c r="E39" i="70"/>
  <c r="L13" i="69"/>
  <c r="D15" i="69"/>
  <c r="I15" i="69"/>
  <c r="M15" i="69" s="1"/>
  <c r="C28" i="71"/>
  <c r="E2" i="69"/>
  <c r="D14" i="69"/>
  <c r="I14" i="69"/>
  <c r="M14" i="69" s="1"/>
  <c r="D5" i="70"/>
  <c r="I13" i="3" l="1"/>
  <c r="M13" i="69"/>
  <c r="K13" i="69"/>
  <c r="K13" i="3" s="1"/>
  <c r="G20" i="6" s="1"/>
  <c r="L16" i="69"/>
  <c r="C9" i="69" s="1"/>
  <c r="C22" i="71"/>
  <c r="I16" i="69"/>
  <c r="C7" i="69" s="1"/>
  <c r="C10" i="71" s="1"/>
  <c r="D34" i="70"/>
  <c r="D30" i="70"/>
  <c r="D29" i="70"/>
  <c r="D24" i="70"/>
  <c r="D20" i="70"/>
  <c r="D19" i="70"/>
  <c r="D14" i="70"/>
  <c r="D13" i="70"/>
  <c r="D12" i="70"/>
  <c r="D11" i="70"/>
  <c r="E6" i="70"/>
  <c r="E5" i="70" s="1"/>
  <c r="D33" i="70"/>
  <c r="D32" i="70"/>
  <c r="D31" i="70"/>
  <c r="D27" i="70"/>
  <c r="D26" i="70"/>
  <c r="D25" i="70"/>
  <c r="D22" i="70"/>
  <c r="D21" i="70"/>
  <c r="D16" i="70"/>
  <c r="D15" i="70"/>
  <c r="D10" i="70"/>
  <c r="D9" i="70" s="1"/>
  <c r="C23" i="71" s="1"/>
  <c r="B24" i="31" l="1"/>
  <c r="M16" i="69"/>
  <c r="K16" i="69"/>
  <c r="C8" i="69" s="1"/>
  <c r="H14" i="70" s="1"/>
  <c r="D23" i="70" s="1"/>
  <c r="E23" i="70" s="1"/>
  <c r="D13" i="69"/>
  <c r="D16" i="69" s="1"/>
  <c r="C3" i="69" s="1"/>
  <c r="C8" i="71" s="1"/>
  <c r="C13" i="71"/>
  <c r="C19" i="71" s="1"/>
  <c r="E8" i="69"/>
  <c r="D35" i="70" l="1"/>
  <c r="E35" i="70" s="1"/>
  <c r="E17" i="70" s="1"/>
  <c r="C31" i="71"/>
  <c r="C20" i="71"/>
  <c r="D17" i="70"/>
  <c r="C24" i="71" l="1"/>
  <c r="C21" i="71" s="1"/>
  <c r="D38" i="70"/>
  <c r="D37" i="70"/>
  <c r="C32" i="71"/>
  <c r="C30" i="71"/>
  <c r="C29" i="71" l="1"/>
  <c r="C26" i="71"/>
  <c r="E37" i="70"/>
  <c r="D36" i="70"/>
  <c r="D40" i="70" s="1"/>
  <c r="C27" i="71"/>
  <c r="E38" i="70"/>
  <c r="J40" i="70" l="1"/>
  <c r="G37" i="70"/>
  <c r="I40" i="70"/>
  <c r="C25" i="71"/>
  <c r="E36" i="70"/>
  <c r="E40" i="70" s="1"/>
  <c r="C33" i="71" l="1"/>
  <c r="C38" i="71"/>
  <c r="G38" i="70"/>
  <c r="H38" i="70" s="1"/>
  <c r="H39" i="70"/>
  <c r="C35" i="71" l="1"/>
  <c r="C36" i="71" s="1"/>
  <c r="C37" i="71" s="1"/>
  <c r="C34" i="71"/>
  <c r="G40" i="70"/>
  <c r="H40" i="70" s="1"/>
  <c r="F19" i="6" l="1"/>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O13" i="59"/>
  <c r="O14" i="59"/>
  <c r="N13" i="59"/>
  <c r="N14" i="59"/>
  <c r="AH14" i="59"/>
  <c r="AG14" i="59"/>
  <c r="AE14" i="59"/>
  <c r="AF14" i="59" s="1"/>
  <c r="AD14" i="59"/>
  <c r="Q15" i="59"/>
  <c r="P15" i="59"/>
  <c r="O15" i="59"/>
  <c r="N15" i="59"/>
  <c r="B15" i="59" s="1"/>
  <c r="B14" i="59" s="1"/>
  <c r="M19" i="46"/>
  <c r="J50" i="15"/>
  <c r="D17" i="59"/>
  <c r="AH15" i="59"/>
  <c r="AG15" i="59"/>
  <c r="AE15" i="59"/>
  <c r="AF15" i="59" s="1"/>
  <c r="AD15" i="59"/>
  <c r="AE16" i="59"/>
  <c r="AF16" i="59"/>
  <c r="AG16" i="59"/>
  <c r="AH16" i="59"/>
  <c r="AD16" i="59"/>
  <c r="Q16" i="59"/>
  <c r="P16" i="59"/>
  <c r="E16" i="59" s="1"/>
  <c r="E15" i="59" s="1"/>
  <c r="O16" i="59"/>
  <c r="N16" i="59"/>
  <c r="N17" i="59"/>
  <c r="Q17" i="59"/>
  <c r="P17" i="59"/>
  <c r="O17" i="59"/>
  <c r="K59" i="15"/>
  <c r="P62" i="15" s="1"/>
  <c r="Q74" i="44"/>
  <c r="Q61" i="44"/>
  <c r="Q60" i="44"/>
  <c r="Q53" i="44"/>
  <c r="J51" i="44"/>
  <c r="J52" i="44" s="1"/>
  <c r="M48" i="44"/>
  <c r="A16" i="55"/>
  <c r="A15" i="55"/>
  <c r="B66" i="63" s="1"/>
  <c r="A10" i="55"/>
  <c r="B61" i="63" s="1"/>
  <c r="A9" i="55"/>
  <c r="B60" i="63" s="1"/>
  <c r="A8" i="55"/>
  <c r="A6" i="54"/>
  <c r="A8" i="54"/>
  <c r="A7" i="54"/>
  <c r="A27" i="51"/>
  <c r="B20" i="63"/>
  <c r="Q18" i="59"/>
  <c r="O18" i="59"/>
  <c r="N19" i="59"/>
  <c r="O19" i="59"/>
  <c r="P19" i="59"/>
  <c r="Q19" i="59"/>
  <c r="N18" i="59"/>
  <c r="P18" i="59"/>
  <c r="C20" i="59"/>
  <c r="K75" i="9"/>
  <c r="K6" i="4"/>
  <c r="O76" i="9"/>
  <c r="L76" i="9"/>
  <c r="K76" i="9"/>
  <c r="B22" i="31"/>
  <c r="E18" i="66"/>
  <c r="F18" i="66"/>
  <c r="E19" i="66"/>
  <c r="F19" i="66"/>
  <c r="E20" i="66"/>
  <c r="F20" i="66"/>
  <c r="E21" i="66"/>
  <c r="F21" i="66"/>
  <c r="E22" i="66"/>
  <c r="F22" i="66"/>
  <c r="E23" i="66"/>
  <c r="F23" i="66"/>
  <c r="B3" i="66"/>
  <c r="B16" i="59"/>
  <c r="E14" i="59"/>
  <c r="E13" i="59" s="1"/>
  <c r="E12" i="59" s="1"/>
  <c r="E11" i="59" s="1"/>
  <c r="E10" i="59" s="1"/>
  <c r="E9" i="59" s="1"/>
  <c r="F19" i="59"/>
  <c r="F18" i="59" s="1"/>
  <c r="F16" i="59"/>
  <c r="V16" i="59" s="1"/>
  <c r="U16" i="59"/>
  <c r="S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AA22" i="59"/>
  <c r="AB25" i="59"/>
  <c r="X29" i="59"/>
  <c r="S2" i="31"/>
  <c r="M2" i="31"/>
  <c r="N2" i="31"/>
  <c r="O2" i="31"/>
  <c r="P2" i="31"/>
  <c r="Q2" i="31"/>
  <c r="R2" i="31"/>
  <c r="C3" i="65"/>
  <c r="C1" i="65"/>
  <c r="N1" i="65" s="1"/>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B21" i="63"/>
  <c r="B67" i="63"/>
  <c r="I19" i="46"/>
  <c r="Q20" i="59"/>
  <c r="F20" i="59" s="1"/>
  <c r="V20" i="59" s="1"/>
  <c r="P20" i="59"/>
  <c r="O20" i="59"/>
  <c r="N20" i="59"/>
  <c r="B20" i="59" s="1"/>
  <c r="B19" i="59" s="1"/>
  <c r="B18" i="59" s="1"/>
  <c r="D81" i="59"/>
  <c r="F80" i="59"/>
  <c r="F79" i="59" s="1"/>
  <c r="F78" i="59" s="1"/>
  <c r="E80" i="59"/>
  <c r="E79" i="59"/>
  <c r="E78" i="59" s="1"/>
  <c r="C80" i="59"/>
  <c r="D80" i="59" s="1"/>
  <c r="B80" i="59"/>
  <c r="B79" i="59" s="1"/>
  <c r="B78" i="59"/>
  <c r="D77" i="59"/>
  <c r="F76" i="59"/>
  <c r="F75" i="59" s="1"/>
  <c r="F74" i="59" s="1"/>
  <c r="E76" i="59"/>
  <c r="E75" i="59"/>
  <c r="E74" i="59" s="1"/>
  <c r="C76" i="59"/>
  <c r="B76" i="59"/>
  <c r="B75" i="59" s="1"/>
  <c r="B74" i="59" s="1"/>
  <c r="D73" i="59"/>
  <c r="Q72" i="59"/>
  <c r="P72" i="59"/>
  <c r="O72" i="59"/>
  <c r="N72" i="59"/>
  <c r="F72" i="59"/>
  <c r="V72" i="59" s="1"/>
  <c r="E72" i="59"/>
  <c r="U72" i="59" s="1"/>
  <c r="C72" i="59"/>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U64" i="59" s="1"/>
  <c r="C64" i="59"/>
  <c r="B64" i="59"/>
  <c r="S64" i="59" s="1"/>
  <c r="Q63" i="59"/>
  <c r="P63" i="59"/>
  <c r="O63" i="59"/>
  <c r="N63" i="59"/>
  <c r="F63" i="59"/>
  <c r="F62" i="59" s="1"/>
  <c r="B63" i="59"/>
  <c r="B62" i="59" s="1"/>
  <c r="Q62" i="59"/>
  <c r="P62" i="59"/>
  <c r="O62" i="59"/>
  <c r="N62" i="59"/>
  <c r="Q61" i="59"/>
  <c r="P61" i="59"/>
  <c r="O61" i="59"/>
  <c r="N61" i="59"/>
  <c r="D61" i="59"/>
  <c r="F60" i="59"/>
  <c r="V60" i="59"/>
  <c r="E60" i="59"/>
  <c r="E59" i="59"/>
  <c r="C60" i="59"/>
  <c r="B60" i="59"/>
  <c r="N60" i="59"/>
  <c r="F59" i="59"/>
  <c r="F58" i="59"/>
  <c r="B59" i="59"/>
  <c r="N59" i="59" s="1"/>
  <c r="D57" i="59"/>
  <c r="Q56" i="59"/>
  <c r="P56" i="59"/>
  <c r="O56" i="59"/>
  <c r="N56" i="59"/>
  <c r="Q55" i="59"/>
  <c r="P55" i="59"/>
  <c r="O55" i="59"/>
  <c r="N55" i="59"/>
  <c r="Q54" i="59"/>
  <c r="P54" i="59"/>
  <c r="O54" i="59"/>
  <c r="N54" i="59"/>
  <c r="Q53" i="59"/>
  <c r="F54" i="59"/>
  <c r="P53" i="59"/>
  <c r="E54" i="59"/>
  <c r="E55" i="59" s="1"/>
  <c r="E56" i="59"/>
  <c r="U56" i="59" s="1"/>
  <c r="O53" i="59"/>
  <c r="C54" i="59" s="1"/>
  <c r="D54" i="59" s="1"/>
  <c r="N53" i="59"/>
  <c r="B54" i="59" s="1"/>
  <c r="B55" i="59" s="1"/>
  <c r="B56" i="59" s="1"/>
  <c r="S56" i="59"/>
  <c r="D53" i="59"/>
  <c r="Q52" i="59"/>
  <c r="P52" i="59"/>
  <c r="O52" i="59"/>
  <c r="N52" i="59"/>
  <c r="Q51" i="59"/>
  <c r="P51" i="59"/>
  <c r="O51" i="59"/>
  <c r="N51" i="59"/>
  <c r="Q50" i="59"/>
  <c r="P50" i="59"/>
  <c r="O50" i="59"/>
  <c r="C51" i="59" s="1"/>
  <c r="N50" i="59"/>
  <c r="Q49" i="59"/>
  <c r="F50" i="59" s="1"/>
  <c r="F51" i="59" s="1"/>
  <c r="F52" i="59" s="1"/>
  <c r="V52" i="59" s="1"/>
  <c r="P49" i="59"/>
  <c r="E50" i="59" s="1"/>
  <c r="E51" i="59"/>
  <c r="E52" i="59" s="1"/>
  <c r="U52" i="59" s="1"/>
  <c r="O49" i="59"/>
  <c r="C50" i="59"/>
  <c r="D50" i="59" s="1"/>
  <c r="N49" i="59"/>
  <c r="B50" i="59"/>
  <c r="B51" i="59" s="1"/>
  <c r="B52" i="59"/>
  <c r="S52" i="59" s="1"/>
  <c r="D49" i="59"/>
  <c r="Q48" i="59"/>
  <c r="P48" i="59"/>
  <c r="O48" i="59"/>
  <c r="N48" i="59"/>
  <c r="Q47" i="59"/>
  <c r="P47" i="59"/>
  <c r="O47" i="59"/>
  <c r="N47" i="59"/>
  <c r="Q46" i="59"/>
  <c r="P46" i="59"/>
  <c r="O46" i="59"/>
  <c r="N46" i="59"/>
  <c r="Q45" i="59"/>
  <c r="F46" i="59"/>
  <c r="P45" i="59"/>
  <c r="E46" i="59"/>
  <c r="E47" i="59" s="1"/>
  <c r="E48" i="59"/>
  <c r="U48" i="59" s="1"/>
  <c r="O45" i="59"/>
  <c r="C46" i="59" s="1"/>
  <c r="D46" i="59" s="1"/>
  <c r="N45" i="59"/>
  <c r="B46" i="59" s="1"/>
  <c r="B47" i="59" s="1"/>
  <c r="B48" i="59" s="1"/>
  <c r="S48" i="59"/>
  <c r="D45" i="59"/>
  <c r="Q44" i="59"/>
  <c r="P44" i="59"/>
  <c r="O44" i="59"/>
  <c r="N44" i="59"/>
  <c r="Q43" i="59"/>
  <c r="P43" i="59"/>
  <c r="O43" i="59"/>
  <c r="N43" i="59"/>
  <c r="Q42" i="59"/>
  <c r="P42" i="59"/>
  <c r="O42" i="59"/>
  <c r="C43" i="59" s="1"/>
  <c r="N42" i="59"/>
  <c r="Q41" i="59"/>
  <c r="F42" i="59" s="1"/>
  <c r="F43" i="59" s="1"/>
  <c r="F44" i="59" s="1"/>
  <c r="V44" i="59" s="1"/>
  <c r="P41" i="59"/>
  <c r="E42" i="59"/>
  <c r="E43" i="59" s="1"/>
  <c r="E44" i="59" s="1"/>
  <c r="U44" i="59" s="1"/>
  <c r="O41" i="59"/>
  <c r="C42" i="59"/>
  <c r="D42" i="59" s="1"/>
  <c r="N41" i="59"/>
  <c r="B42" i="59"/>
  <c r="B43" i="59" s="1"/>
  <c r="B44" i="59" s="1"/>
  <c r="D41" i="59"/>
  <c r="T40" i="59"/>
  <c r="Q40" i="59"/>
  <c r="P40" i="59"/>
  <c r="O40" i="59"/>
  <c r="N40" i="59"/>
  <c r="D40" i="59"/>
  <c r="Q39" i="59"/>
  <c r="P39" i="59"/>
  <c r="O39" i="59"/>
  <c r="N39" i="59"/>
  <c r="Q38" i="59"/>
  <c r="P38" i="59"/>
  <c r="O38" i="59"/>
  <c r="N38" i="59"/>
  <c r="Q37" i="59"/>
  <c r="F38" i="59" s="1"/>
  <c r="F39" i="59" s="1"/>
  <c r="P37" i="59"/>
  <c r="E38" i="59" s="1"/>
  <c r="E39" i="59"/>
  <c r="E40" i="59" s="1"/>
  <c r="U40" i="59" s="1"/>
  <c r="O37" i="59"/>
  <c r="C38" i="59"/>
  <c r="N37" i="59"/>
  <c r="B38" i="59"/>
  <c r="B39" i="59" s="1"/>
  <c r="B40" i="59"/>
  <c r="S40" i="59" s="1"/>
  <c r="D37" i="59"/>
  <c r="Q36" i="59"/>
  <c r="P36" i="59"/>
  <c r="O36" i="59"/>
  <c r="N36" i="59"/>
  <c r="Q35" i="59"/>
  <c r="P35" i="59"/>
  <c r="O35" i="59"/>
  <c r="N35" i="59"/>
  <c r="Q34" i="59"/>
  <c r="P34" i="59"/>
  <c r="O34" i="59"/>
  <c r="N34" i="59"/>
  <c r="Q33" i="59"/>
  <c r="F34" i="59"/>
  <c r="P33" i="59"/>
  <c r="E34" i="59"/>
  <c r="E35" i="59" s="1"/>
  <c r="E36" i="59"/>
  <c r="U36" i="59" s="1"/>
  <c r="O33" i="59"/>
  <c r="C34" i="59" s="1"/>
  <c r="C35" i="59" s="1"/>
  <c r="N33" i="59"/>
  <c r="B34" i="59" s="1"/>
  <c r="B35" i="59" s="1"/>
  <c r="B36" i="59" s="1"/>
  <c r="S36" i="59" s="1"/>
  <c r="D33" i="59"/>
  <c r="Q32" i="59"/>
  <c r="P32" i="59"/>
  <c r="O32" i="59"/>
  <c r="N32" i="59"/>
  <c r="Q31" i="59"/>
  <c r="P31" i="59"/>
  <c r="O31" i="59"/>
  <c r="Y31" i="59"/>
  <c r="Z31" i="59" s="1"/>
  <c r="N31" i="59"/>
  <c r="X31" i="59" s="1"/>
  <c r="Q30" i="59"/>
  <c r="P30" i="59"/>
  <c r="AA30" i="59" s="1"/>
  <c r="O30" i="59"/>
  <c r="Y30" i="59" s="1"/>
  <c r="Z30" i="59" s="1"/>
  <c r="N30" i="59"/>
  <c r="Q29" i="59"/>
  <c r="F30" i="59" s="1"/>
  <c r="F31" i="59" s="1"/>
  <c r="P29" i="59"/>
  <c r="O29" i="59"/>
  <c r="C30" i="59"/>
  <c r="N29" i="59"/>
  <c r="B30" i="59"/>
  <c r="B31" i="59" s="1"/>
  <c r="B32" i="59" s="1"/>
  <c r="S32" i="59" s="1"/>
  <c r="D29" i="59"/>
  <c r="Q28" i="59"/>
  <c r="P28" i="59"/>
  <c r="AA28" i="59" s="1"/>
  <c r="O28" i="59"/>
  <c r="N28" i="59"/>
  <c r="X28" i="59" s="1"/>
  <c r="Q27" i="59"/>
  <c r="P27" i="59"/>
  <c r="AA27" i="59" s="1"/>
  <c r="O27" i="59"/>
  <c r="N27" i="59"/>
  <c r="X27" i="59" s="1"/>
  <c r="Q26" i="59"/>
  <c r="P26" i="59"/>
  <c r="AA26" i="59" s="1"/>
  <c r="O26" i="59"/>
  <c r="Y26" i="59" s="1"/>
  <c r="Z26" i="59" s="1"/>
  <c r="N26" i="59"/>
  <c r="X26" i="59" s="1"/>
  <c r="Q25" i="59"/>
  <c r="F26" i="59"/>
  <c r="F27" i="59" s="1"/>
  <c r="F28" i="59" s="1"/>
  <c r="P25" i="59"/>
  <c r="E26" i="59"/>
  <c r="E27" i="59" s="1"/>
  <c r="E28" i="59" s="1"/>
  <c r="U28" i="59" s="1"/>
  <c r="O25" i="59"/>
  <c r="N25" i="59"/>
  <c r="B26" i="59" s="1"/>
  <c r="B27" i="59"/>
  <c r="B28" i="59" s="1"/>
  <c r="S28" i="59" s="1"/>
  <c r="D25" i="59"/>
  <c r="Q24" i="59"/>
  <c r="P24" i="59"/>
  <c r="AA24" i="59" s="1"/>
  <c r="O24" i="59"/>
  <c r="N24" i="59"/>
  <c r="Q23" i="59"/>
  <c r="P23" i="59"/>
  <c r="O23" i="59"/>
  <c r="N23" i="59"/>
  <c r="X23" i="59" s="1"/>
  <c r="Q22" i="59"/>
  <c r="P22" i="59"/>
  <c r="O22" i="59"/>
  <c r="N22" i="59"/>
  <c r="Q21" i="59"/>
  <c r="P21" i="59"/>
  <c r="O21" i="59"/>
  <c r="C22" i="59"/>
  <c r="C23" i="59" s="1"/>
  <c r="D23" i="59" s="1"/>
  <c r="N21" i="59"/>
  <c r="B22" i="59"/>
  <c r="B23" i="59" s="1"/>
  <c r="D21" i="59"/>
  <c r="X20" i="59"/>
  <c r="AA19" i="59"/>
  <c r="Y18" i="59"/>
  <c r="Z18" i="59" s="1"/>
  <c r="AB17" i="59"/>
  <c r="B24" i="59"/>
  <c r="S24" i="59" s="1"/>
  <c r="S44" i="59"/>
  <c r="S60" i="59"/>
  <c r="AA31" i="59"/>
  <c r="V28" i="59"/>
  <c r="F35" i="59"/>
  <c r="F36" i="59" s="1"/>
  <c r="V36" i="59" s="1"/>
  <c r="F40" i="59"/>
  <c r="V40" i="59" s="1"/>
  <c r="F47" i="59"/>
  <c r="F48" i="59" s="1"/>
  <c r="V48" i="59"/>
  <c r="F55" i="59"/>
  <c r="F56" i="59" s="1"/>
  <c r="V56" i="59" s="1"/>
  <c r="D22" i="59"/>
  <c r="D34" i="59"/>
  <c r="C47" i="59"/>
  <c r="C55" i="59"/>
  <c r="B58" i="59"/>
  <c r="N58" i="59" s="1"/>
  <c r="Q59" i="59"/>
  <c r="T60" i="59"/>
  <c r="D60" i="59"/>
  <c r="P60" i="59"/>
  <c r="U60" i="59"/>
  <c r="Q60" i="59"/>
  <c r="E63" i="59"/>
  <c r="E62" i="59" s="1"/>
  <c r="D64" i="59"/>
  <c r="C67" i="59"/>
  <c r="E67" i="59"/>
  <c r="E66" i="59" s="1"/>
  <c r="D68" i="59"/>
  <c r="E71" i="59"/>
  <c r="E70" i="59" s="1"/>
  <c r="C79" i="59"/>
  <c r="D79" i="59" s="1"/>
  <c r="U16" i="4"/>
  <c r="S16" i="4"/>
  <c r="Q16" i="4"/>
  <c r="O16" i="4"/>
  <c r="M16" i="4"/>
  <c r="K16" i="4"/>
  <c r="C78" i="59"/>
  <c r="D78" i="59" s="1"/>
  <c r="D67" i="59"/>
  <c r="C66" i="59"/>
  <c r="D66" i="59" s="1"/>
  <c r="C56" i="59"/>
  <c r="T56" i="59" s="1"/>
  <c r="D55" i="59"/>
  <c r="C48" i="59"/>
  <c r="T48" i="59" s="1"/>
  <c r="D47" i="59"/>
  <c r="C36" i="59"/>
  <c r="T36" i="59" s="1"/>
  <c r="D35" i="59"/>
  <c r="C24" i="59"/>
  <c r="T24" i="59" s="1"/>
  <c r="N16" i="4"/>
  <c r="D36" i="59"/>
  <c r="D56"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F31" i="39"/>
  <c r="AA31" i="39" s="1"/>
  <c r="G20" i="20"/>
  <c r="B85" i="46"/>
  <c r="C22" i="20"/>
  <c r="B65" i="46" s="1"/>
  <c r="S18" i="36"/>
  <c r="S18" i="35"/>
  <c r="S21" i="37"/>
  <c r="S21" i="34"/>
  <c r="S27" i="40"/>
  <c r="C27" i="40"/>
  <c r="B54" i="46"/>
  <c r="H18" i="35"/>
  <c r="J18" i="35"/>
  <c r="H21" i="37"/>
  <c r="J21" i="37"/>
  <c r="E84" i="34"/>
  <c r="F84" i="34" s="1"/>
  <c r="G84" i="34" s="1"/>
  <c r="J21" i="34"/>
  <c r="H21" i="34"/>
  <c r="F21" i="33"/>
  <c r="H21" i="33"/>
  <c r="J21" i="33"/>
  <c r="F96" i="40"/>
  <c r="H27" i="40"/>
  <c r="H31" i="39"/>
  <c r="F23" i="15"/>
  <c r="D22" i="15" s="1"/>
  <c r="G17" i="11"/>
  <c r="D23" i="15"/>
  <c r="F15" i="15"/>
  <c r="F17" i="15"/>
  <c r="F18" i="15"/>
  <c r="F20" i="15"/>
  <c r="F21" i="15"/>
  <c r="F33" i="15"/>
  <c r="F60" i="15" s="1"/>
  <c r="K2" i="4"/>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s="1"/>
  <c r="H61" i="40"/>
  <c r="I61" i="40" s="1"/>
  <c r="C61" i="40"/>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45" i="21"/>
  <c r="K139" i="21" s="1"/>
  <c r="J142" i="21"/>
  <c r="J140" i="21"/>
  <c r="M87" i="21"/>
  <c r="L87" i="21"/>
  <c r="K87" i="21"/>
  <c r="J87" i="21"/>
  <c r="I87" i="21"/>
  <c r="H87" i="21"/>
  <c r="G87" i="21"/>
  <c r="F87" i="21"/>
  <c r="E87" i="21"/>
  <c r="D87" i="21"/>
  <c r="G2" i="46"/>
  <c r="H17" i="46"/>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20" i="6"/>
  <c r="E21" i="6"/>
  <c r="K8" i="1"/>
  <c r="M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F42" i="39"/>
  <c r="AA42" i="39" s="1"/>
  <c r="H10" i="39"/>
  <c r="AB10" i="39" s="1"/>
  <c r="H11" i="39"/>
  <c r="AB11" i="39" s="1"/>
  <c r="H36" i="39"/>
  <c r="AB36" i="39" s="1"/>
  <c r="H40" i="39"/>
  <c r="AB40" i="39" s="1"/>
  <c r="H42" i="39"/>
  <c r="AB42" i="39"/>
  <c r="J10" i="39"/>
  <c r="AC10" i="39" s="1"/>
  <c r="J11" i="39"/>
  <c r="AC11" i="39" s="1"/>
  <c r="J36" i="39"/>
  <c r="AC36" i="39"/>
  <c r="J40" i="39"/>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c r="F81" i="21" s="1"/>
  <c r="G81" i="21" s="1"/>
  <c r="D77" i="21"/>
  <c r="E77" i="21" s="1"/>
  <c r="F77" i="21" s="1"/>
  <c r="G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c r="BG13" i="3"/>
  <c r="BH13" i="3"/>
  <c r="BI13" i="3"/>
  <c r="BJ13" i="3"/>
  <c r="BK13" i="3"/>
  <c r="BM13" i="3"/>
  <c r="BN13" i="3"/>
  <c r="BO13" i="3"/>
  <c r="BP13" i="3"/>
  <c r="BS13" i="3"/>
  <c r="BT13" i="3"/>
  <c r="BT5" i="3" s="1"/>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c r="F36" i="21"/>
  <c r="S36" i="21" s="1"/>
  <c r="F39" i="21"/>
  <c r="AA39" i="21" s="1"/>
  <c r="J40" i="21"/>
  <c r="W40" i="21" s="1"/>
  <c r="H35" i="21"/>
  <c r="AB35" i="21" s="1"/>
  <c r="J8" i="21"/>
  <c r="AC8" i="21" s="1"/>
  <c r="J9" i="21"/>
  <c r="AC9" i="21" s="1"/>
  <c r="H8" i="21"/>
  <c r="U8" i="21" s="1"/>
  <c r="H9" i="21"/>
  <c r="AB9" i="21" s="1"/>
  <c r="H10" i="21"/>
  <c r="U10" i="21" s="1"/>
  <c r="H39" i="21"/>
  <c r="AB39" i="21"/>
  <c r="J34" i="21"/>
  <c r="W34" i="21" s="1"/>
  <c r="H36" i="21"/>
  <c r="U36" i="21" s="1"/>
  <c r="F35" i="21"/>
  <c r="AA35"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W8" i="21"/>
  <c r="H39" i="37"/>
  <c r="AB39" i="37"/>
  <c r="AB27" i="35"/>
  <c r="S10" i="40"/>
  <c r="W10" i="40"/>
  <c r="S11" i="40"/>
  <c r="U11" i="40"/>
  <c r="S36" i="40"/>
  <c r="U36" i="40"/>
  <c r="S36" i="39"/>
  <c r="F11" i="21"/>
  <c r="S11" i="21" s="1"/>
  <c r="AC40" i="21"/>
  <c r="AA38" i="21"/>
  <c r="AC35" i="21"/>
  <c r="C29" i="39"/>
  <c r="C23" i="39"/>
  <c r="U36" i="39"/>
  <c r="S42" i="39"/>
  <c r="H32" i="33"/>
  <c r="AB32" i="33"/>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G5" i="3" s="1"/>
  <c r="B3"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U39" i="21"/>
  <c r="J32" i="21"/>
  <c r="AC32" i="21" s="1"/>
  <c r="G13" i="3"/>
  <c r="AC5" i="3"/>
  <c r="F17" i="21"/>
  <c r="S17" i="21" s="1"/>
  <c r="H17" i="21"/>
  <c r="AB17" i="21" s="1"/>
  <c r="J17" i="21"/>
  <c r="AC1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U38" i="21"/>
  <c r="BL571" i="3"/>
  <c r="BA571" i="3"/>
  <c r="AZ571" i="3" s="1"/>
  <c r="BL570" i="3"/>
  <c r="BE5" i="3"/>
  <c r="F42" i="2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AB10" i="21"/>
  <c r="AB8"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S47" i="39"/>
  <c r="U37" i="34"/>
  <c r="AB37" i="34"/>
  <c r="W41" i="40"/>
  <c r="J23" i="40"/>
  <c r="AC23" i="40" s="1"/>
  <c r="F23" i="40"/>
  <c r="S23" i="40"/>
  <c r="AC15"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B19" i="39"/>
  <c r="U46" i="34"/>
  <c r="AC30" i="34"/>
  <c r="AA14" i="34"/>
  <c r="W12" i="34"/>
  <c r="U29" i="33"/>
  <c r="AC13" i="33"/>
  <c r="U17" i="34"/>
  <c r="AA11" i="34"/>
  <c r="W32" i="33"/>
  <c r="H15" i="33"/>
  <c r="U15" i="33" s="1"/>
  <c r="AA11" i="33"/>
  <c r="AA40" i="21"/>
  <c r="S13" i="39"/>
  <c r="AA13" i="39"/>
  <c r="U16" i="40"/>
  <c r="AB34" i="40"/>
  <c r="AB42" i="40"/>
  <c r="U42" i="40"/>
  <c r="AC16" i="40"/>
  <c r="W32" i="40"/>
  <c r="H25" i="40"/>
  <c r="AB25" i="40"/>
  <c r="U47" i="39"/>
  <c r="W15" i="39"/>
  <c r="J37" i="34"/>
  <c r="AC37" i="34"/>
  <c r="J36" i="33"/>
  <c r="W36" i="33"/>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J11" i="34"/>
  <c r="W11" i="34" s="1"/>
  <c r="S17" i="34"/>
  <c r="AC36" i="33"/>
  <c r="F25" i="40"/>
  <c r="AA25" i="40" s="1"/>
  <c r="J11" i="33"/>
  <c r="W11" i="33" s="1"/>
  <c r="H33" i="37"/>
  <c r="AB33" i="37" s="1"/>
  <c r="W15" i="34"/>
  <c r="U20" i="35"/>
  <c r="AB20" i="35"/>
  <c r="W23" i="40"/>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W39" i="21"/>
  <c r="U35" i="21"/>
  <c r="W43" i="21"/>
  <c r="AB32" i="21"/>
  <c r="W28" i="21"/>
  <c r="AC46" i="21"/>
  <c r="AC26" i="21"/>
  <c r="F85" i="21"/>
  <c r="G85" i="21"/>
  <c r="J23" i="21"/>
  <c r="W23" i="21" s="1"/>
  <c r="F23" i="21"/>
  <c r="AA23" i="21" s="1"/>
  <c r="H23" i="21"/>
  <c r="U23" i="21" s="1"/>
  <c r="AA17" i="21"/>
  <c r="F15" i="21"/>
  <c r="S15" i="21" s="1"/>
  <c r="J15" i="21"/>
  <c r="AC15" i="21" s="1"/>
  <c r="H15" i="21"/>
  <c r="U15" i="21" s="1"/>
  <c r="AC11" i="21"/>
  <c r="AB11" i="21"/>
  <c r="W13" i="21"/>
  <c r="AA11" i="21"/>
  <c r="W44" i="21"/>
  <c r="AC38"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W29" i="39"/>
  <c r="AC21" i="39"/>
  <c r="S14" i="39"/>
  <c r="AB15" i="39"/>
  <c r="U11" i="39"/>
  <c r="AB38" i="39"/>
  <c r="U31" i="39"/>
  <c r="AB31" i="39"/>
  <c r="S38" i="39"/>
  <c r="M20" i="15"/>
  <c r="D96" i="9"/>
  <c r="F28" i="15"/>
  <c r="M18" i="15"/>
  <c r="A18" i="64"/>
  <c r="B74" i="63" s="1"/>
  <c r="C53" i="10"/>
  <c r="A25" i="64" s="1"/>
  <c r="A18" i="51"/>
  <c r="B14" i="63"/>
  <c r="BA16" i="3"/>
  <c r="BA17" i="3"/>
  <c r="AZ17" i="3" s="1"/>
  <c r="F3" i="35"/>
  <c r="K1" i="43"/>
  <c r="K1" i="12"/>
  <c r="G1" i="44"/>
  <c r="I4" i="6"/>
  <c r="G3" i="46"/>
  <c r="AZ15" i="3"/>
  <c r="BK5" i="3"/>
  <c r="BO5" i="3"/>
  <c r="BP5" i="3"/>
  <c r="BN5" i="3"/>
  <c r="BL18" i="3"/>
  <c r="AZ18" i="3"/>
  <c r="BC5" i="3"/>
  <c r="E8" i="6"/>
  <c r="E53" i="40" s="1"/>
  <c r="BD5" i="3"/>
  <c r="BR5" i="3"/>
  <c r="G28" i="6" s="1"/>
  <c r="G30" i="6" s="1"/>
  <c r="G31" i="6" s="1"/>
  <c r="BS5" i="3"/>
  <c r="BQ5" i="3"/>
  <c r="BL16" i="3"/>
  <c r="AZ16" i="3" s="1"/>
  <c r="BM5" i="3"/>
  <c r="F29" i="6" s="1"/>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s="1"/>
  <c r="K5" i="54"/>
  <c r="B38" i="63" s="1"/>
  <c r="T41" i="4"/>
  <c r="A17" i="64" s="1"/>
  <c r="B46" i="50"/>
  <c r="B4" i="63" s="1"/>
  <c r="C46" i="36"/>
  <c r="C48" i="35"/>
  <c r="D48" i="35" s="1"/>
  <c r="E48" i="35" s="1"/>
  <c r="F48" i="35" s="1"/>
  <c r="G48" i="35" s="1"/>
  <c r="H48" i="35" s="1"/>
  <c r="I48" i="35" s="1"/>
  <c r="C52" i="37"/>
  <c r="D52" i="37" s="1"/>
  <c r="E52" i="37" s="1"/>
  <c r="F52" i="37" s="1"/>
  <c r="G52" i="37" s="1"/>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A29" i="21"/>
  <c r="U27" i="21"/>
  <c r="W31" i="21"/>
  <c r="S27" i="21"/>
  <c r="AC27" i="21"/>
  <c r="W29" i="21"/>
  <c r="G96" i="40"/>
  <c r="J27" i="40"/>
  <c r="W37" i="40"/>
  <c r="W30" i="40"/>
  <c r="S34" i="40"/>
  <c r="U17" i="40"/>
  <c r="U38" i="40"/>
  <c r="S40" i="40"/>
  <c r="S42" i="40"/>
  <c r="J31" i="39"/>
  <c r="AC31" i="39" s="1"/>
  <c r="S45" i="39"/>
  <c r="AB43" i="39"/>
  <c r="AC46" i="39"/>
  <c r="S34"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S23"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 i="6"/>
  <c r="D12" i="11" s="1"/>
  <c r="C12" i="11" s="1"/>
  <c r="AT6" i="3"/>
  <c r="G29" i="6"/>
  <c r="A9" i="64"/>
  <c r="A3" i="55"/>
  <c r="B56" i="63" s="1"/>
  <c r="E4" i="4"/>
  <c r="B21" i="55" s="1"/>
  <c r="B72" i="63" s="1"/>
  <c r="C4" i="4"/>
  <c r="G66" i="36"/>
  <c r="J18" i="36"/>
  <c r="AE8" i="1"/>
  <c r="AE6" i="1"/>
  <c r="W18" i="36"/>
  <c r="AC18" i="36"/>
  <c r="AG6" i="1"/>
  <c r="L20" i="6"/>
  <c r="B20" i="55"/>
  <c r="B70" i="63" s="1"/>
  <c r="S8" i="1"/>
  <c r="S9" i="1"/>
  <c r="R9" i="1"/>
  <c r="R8" i="1"/>
  <c r="C45" i="9"/>
  <c r="H14" i="66" s="1"/>
  <c r="B7" i="66" s="1"/>
  <c r="K31" i="9"/>
  <c r="K32" i="9" s="1"/>
  <c r="N76" i="9"/>
  <c r="A25" i="51"/>
  <c r="B18" i="63" s="1"/>
  <c r="H58" i="46"/>
  <c r="J17" i="46"/>
  <c r="C17" i="46"/>
  <c r="F34" i="46"/>
  <c r="F38" i="46"/>
  <c r="F37" i="46"/>
  <c r="H113" i="46"/>
  <c r="H49" i="46"/>
  <c r="H53" i="46"/>
  <c r="U12" i="59"/>
  <c r="F15" i="59"/>
  <c r="F14" i="59" s="1"/>
  <c r="F13" i="59" s="1"/>
  <c r="F12" i="59" s="1"/>
  <c r="F11" i="59" s="1"/>
  <c r="F10" i="59" s="1"/>
  <c r="F9" i="59" s="1"/>
  <c r="F8" i="59" s="1"/>
  <c r="Y14" i="59"/>
  <c r="Z14" i="59" s="1"/>
  <c r="AA14" i="59"/>
  <c r="AB14" i="59"/>
  <c r="Y13" i="59"/>
  <c r="Z13" i="59" s="1"/>
  <c r="Y12" i="59"/>
  <c r="Z12" i="59" s="1"/>
  <c r="Y11" i="59"/>
  <c r="Z11" i="59" s="1"/>
  <c r="AB13" i="59"/>
  <c r="AB12" i="59"/>
  <c r="AB11" i="59"/>
  <c r="AA16" i="59"/>
  <c r="X14" i="59"/>
  <c r="X12" i="59"/>
  <c r="X11" i="59"/>
  <c r="AA12" i="59"/>
  <c r="AA11" i="59"/>
  <c r="E424" i="3"/>
  <c r="E430" i="3"/>
  <c r="E82" i="3"/>
  <c r="E146" i="3"/>
  <c r="E164" i="3"/>
  <c r="E77" i="3"/>
  <c r="E99" i="3"/>
  <c r="E434" i="3"/>
  <c r="E262" i="3"/>
  <c r="E552" i="3"/>
  <c r="E101" i="3"/>
  <c r="E57" i="3"/>
  <c r="H1" i="65"/>
  <c r="H51" i="46"/>
  <c r="X7" i="46"/>
  <c r="E17" i="46"/>
  <c r="N17" i="46"/>
  <c r="O17" i="46"/>
  <c r="M17" i="46"/>
  <c r="L17" i="46"/>
  <c r="H22" i="46"/>
  <c r="Y11" i="46"/>
  <c r="Y13" i="46" s="1"/>
  <c r="H101" i="46"/>
  <c r="H102" i="46" s="1"/>
  <c r="G22" i="46"/>
  <c r="J22" i="46"/>
  <c r="F101" i="46"/>
  <c r="F106" i="46" s="1"/>
  <c r="D101" i="46"/>
  <c r="AP7" i="1"/>
  <c r="G13" i="1"/>
  <c r="D46" i="36"/>
  <c r="H70" i="46"/>
  <c r="H73" i="46"/>
  <c r="H50" i="46"/>
  <c r="H48" i="46"/>
  <c r="F35" i="46"/>
  <c r="I17" i="46"/>
  <c r="H63" i="46"/>
  <c r="I101" i="46"/>
  <c r="I102" i="46" s="1"/>
  <c r="M101" i="46"/>
  <c r="M107" i="46" s="1"/>
  <c r="N101" i="46"/>
  <c r="N105" i="46" s="1"/>
  <c r="AC11" i="46"/>
  <c r="AC13" i="46" s="1"/>
  <c r="AD11" i="46"/>
  <c r="AD13" i="46" s="1"/>
  <c r="AJ11" i="46"/>
  <c r="H64" i="46"/>
  <c r="H66" i="46"/>
  <c r="D100" i="46"/>
  <c r="F109" i="46"/>
  <c r="H62" i="46"/>
  <c r="AF12" i="46"/>
  <c r="K100" i="46"/>
  <c r="AB12" i="46"/>
  <c r="AJ12" i="46"/>
  <c r="F102" i="46"/>
  <c r="C101" i="46"/>
  <c r="C109" i="46" s="1"/>
  <c r="G101" i="46"/>
  <c r="G106" i="46" s="1"/>
  <c r="J101" i="46"/>
  <c r="J107" i="46" s="1"/>
  <c r="B113" i="46"/>
  <c r="I115" i="46" s="1"/>
  <c r="J115" i="46" s="1"/>
  <c r="K115" i="46" s="1"/>
  <c r="L115" i="46" s="1"/>
  <c r="M115" i="46" s="1"/>
  <c r="N104" i="45"/>
  <c r="L101" i="46"/>
  <c r="L102" i="46" s="1"/>
  <c r="F22" i="46"/>
  <c r="E101" i="46"/>
  <c r="E104" i="46" s="1"/>
  <c r="Z7" i="46"/>
  <c r="K101" i="46"/>
  <c r="K107" i="46" s="1"/>
  <c r="E22" i="46"/>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B13" i="59"/>
  <c r="B12" i="59" s="1"/>
  <c r="B11" i="59" s="1"/>
  <c r="B10" i="59" s="1"/>
  <c r="B9" i="59" s="1"/>
  <c r="V12" i="59"/>
  <c r="H107" i="46"/>
  <c r="K14" i="1"/>
  <c r="I107" i="46"/>
  <c r="K103" i="46"/>
  <c r="K106" i="46"/>
  <c r="K105" i="46"/>
  <c r="E106" i="46"/>
  <c r="E103" i="46"/>
  <c r="E107" i="46"/>
  <c r="L105" i="46"/>
  <c r="L106" i="46"/>
  <c r="C23" i="46"/>
  <c r="L107" i="46"/>
  <c r="I116" i="46"/>
  <c r="J116" i="46" s="1"/>
  <c r="K116" i="46" s="1"/>
  <c r="L116" i="46" s="1"/>
  <c r="M116" i="46" s="1"/>
  <c r="I118" i="46"/>
  <c r="J118" i="46" s="1"/>
  <c r="K118" i="46" s="1"/>
  <c r="L118" i="46" s="1"/>
  <c r="M118" i="46" s="1"/>
  <c r="D116" i="46"/>
  <c r="E116" i="46" s="1"/>
  <c r="F116" i="46" s="1"/>
  <c r="G116" i="46" s="1"/>
  <c r="H116" i="46" s="1"/>
  <c r="D115" i="46"/>
  <c r="E115" i="46" s="1"/>
  <c r="F115" i="46" s="1"/>
  <c r="G118" i="46"/>
  <c r="H118" i="46" s="1"/>
  <c r="B117" i="46"/>
  <c r="C117" i="46" s="1"/>
  <c r="B118" i="46"/>
  <c r="C118" i="46" s="1"/>
  <c r="G103" i="46"/>
  <c r="G102" i="46"/>
  <c r="G105" i="46"/>
  <c r="G109" i="46"/>
  <c r="J106" i="46"/>
  <c r="E109" i="46"/>
  <c r="C7" i="46"/>
  <c r="G20" i="46"/>
  <c r="E41" i="46"/>
  <c r="C41" i="46" s="1"/>
  <c r="S5" i="46"/>
  <c r="S2" i="46"/>
  <c r="S3" i="46"/>
  <c r="S7" i="46"/>
  <c r="S6" i="46"/>
  <c r="S4" i="46"/>
  <c r="F8" i="67"/>
  <c r="M29" i="44"/>
  <c r="F14" i="67"/>
  <c r="E13" i="67"/>
  <c r="F26" i="15"/>
  <c r="M8" i="44"/>
  <c r="J7" i="65"/>
  <c r="F8" i="15"/>
  <c r="M31" i="44"/>
  <c r="F10" i="67"/>
  <c r="M27" i="15"/>
  <c r="E9" i="67"/>
  <c r="F43" i="15"/>
  <c r="B14" i="67"/>
  <c r="F13" i="67"/>
  <c r="M29" i="15"/>
  <c r="M30" i="44"/>
  <c r="F7" i="15"/>
  <c r="M24" i="15"/>
  <c r="M23" i="15"/>
  <c r="M11" i="44"/>
  <c r="F10" i="44"/>
  <c r="F45" i="44"/>
  <c r="N6" i="65"/>
  <c r="E8" i="67"/>
  <c r="F11" i="44"/>
  <c r="E14" i="67"/>
  <c r="N7" i="65"/>
  <c r="F37" i="15"/>
  <c r="E11" i="67"/>
  <c r="B13" i="67"/>
  <c r="N4" i="65"/>
  <c r="L48" i="44"/>
  <c r="F40" i="44"/>
  <c r="M22" i="15"/>
  <c r="M24" i="44"/>
  <c r="B9" i="67"/>
  <c r="F36" i="15"/>
  <c r="F11" i="67"/>
  <c r="F12" i="67"/>
  <c r="F8" i="44"/>
  <c r="J17" i="44"/>
  <c r="E10" i="67"/>
  <c r="F43" i="44"/>
  <c r="F38" i="15"/>
  <c r="I7" i="65"/>
  <c r="M10" i="44"/>
  <c r="F6" i="15"/>
  <c r="N3" i="65"/>
  <c r="J36" i="15"/>
  <c r="N5" i="65"/>
  <c r="J6" i="65"/>
  <c r="F16" i="15"/>
  <c r="M6" i="15"/>
  <c r="F46" i="44"/>
  <c r="F40" i="15"/>
  <c r="M28" i="44"/>
  <c r="F39" i="44"/>
  <c r="M23" i="44"/>
  <c r="I4" i="65"/>
  <c r="B10" i="67"/>
  <c r="F37" i="44"/>
  <c r="M25" i="44"/>
  <c r="F18" i="44"/>
  <c r="F9" i="15"/>
  <c r="L47" i="15"/>
  <c r="F13" i="15"/>
  <c r="F9" i="44"/>
  <c r="L48" i="15"/>
  <c r="M9" i="15"/>
  <c r="M28" i="15"/>
  <c r="B11" i="67"/>
  <c r="M26" i="44"/>
  <c r="E12" i="67"/>
  <c r="M26" i="15"/>
  <c r="F15" i="44"/>
  <c r="M8" i="15"/>
  <c r="L49" i="44"/>
  <c r="B8" i="67"/>
  <c r="F9" i="67"/>
  <c r="F42" i="15"/>
  <c r="C19" i="44"/>
  <c r="J15" i="15"/>
  <c r="F38" i="44"/>
  <c r="F28" i="44"/>
  <c r="B12" i="67"/>
  <c r="W10" i="21" l="1"/>
  <c r="AA42" i="21"/>
  <c r="E50" i="21"/>
  <c r="AC45" i="21"/>
  <c r="P75" i="15"/>
  <c r="G17" i="46"/>
  <c r="C16" i="46" s="1"/>
  <c r="E572" i="3"/>
  <c r="E570" i="3"/>
  <c r="AZ570" i="3"/>
  <c r="BA5" i="3"/>
  <c r="E27" i="6" s="1"/>
  <c r="K24" i="6" s="1"/>
  <c r="M24" i="6" s="1"/>
  <c r="I24" i="6" s="1"/>
  <c r="S24" i="6" s="1"/>
  <c r="AC9" i="33"/>
  <c r="W9" i="33"/>
  <c r="S12" i="59"/>
  <c r="D106" i="46"/>
  <c r="D109" i="46"/>
  <c r="F7" i="59"/>
  <c r="F6" i="59" s="1"/>
  <c r="F5" i="59" s="1"/>
  <c r="V8" i="59"/>
  <c r="E363" i="3"/>
  <c r="E303" i="3"/>
  <c r="E467" i="3"/>
  <c r="E214" i="3"/>
  <c r="E449" i="3"/>
  <c r="E196" i="3"/>
  <c r="E259" i="3"/>
  <c r="E308" i="3"/>
  <c r="E416" i="3"/>
  <c r="E96" i="3"/>
  <c r="E160" i="3"/>
  <c r="E242" i="3"/>
  <c r="E133" i="3"/>
  <c r="E87" i="3"/>
  <c r="E458" i="3"/>
  <c r="E29" i="3"/>
  <c r="E256" i="3"/>
  <c r="E491" i="3"/>
  <c r="E319" i="3"/>
  <c r="E456" i="3"/>
  <c r="E217" i="3"/>
  <c r="E436" i="3"/>
  <c r="E177" i="3"/>
  <c r="E260" i="3"/>
  <c r="E307" i="3"/>
  <c r="E432" i="3"/>
  <c r="E90" i="3"/>
  <c r="E153"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7" i="3"/>
  <c r="E67" i="3"/>
  <c r="E479" i="3"/>
  <c r="E43" i="3"/>
  <c r="E276" i="3"/>
  <c r="E370" i="3"/>
  <c r="E526" i="3"/>
  <c r="E477" i="3"/>
  <c r="E540" i="3"/>
  <c r="E134" i="3"/>
  <c r="AI6" i="3"/>
  <c r="E239" i="3"/>
  <c r="E234" i="3"/>
  <c r="E128" i="3"/>
  <c r="E176" i="3"/>
  <c r="E554" i="3"/>
  <c r="E525" i="3"/>
  <c r="K6" i="3"/>
  <c r="E353" i="3"/>
  <c r="E81" i="3"/>
  <c r="E16" i="3"/>
  <c r="E277" i="3"/>
  <c r="E385" i="3"/>
  <c r="E524" i="3"/>
  <c r="E95" i="3"/>
  <c r="E498" i="3"/>
  <c r="E212" i="3"/>
  <c r="E298" i="3"/>
  <c r="E35" i="3"/>
  <c r="E361" i="3"/>
  <c r="E182" i="3"/>
  <c r="E267" i="3"/>
  <c r="E323" i="3"/>
  <c r="E159" i="3"/>
  <c r="E514" i="3"/>
  <c r="E512" i="3"/>
  <c r="E371" i="3"/>
  <c r="E567" i="3"/>
  <c r="E329" i="3"/>
  <c r="E26" i="3"/>
  <c r="E511" i="3"/>
  <c r="E17" i="3"/>
  <c r="E18" i="3"/>
  <c r="E509" i="3"/>
  <c r="E564" i="3"/>
  <c r="E86" i="3"/>
  <c r="E476" i="3"/>
  <c r="E68" i="3"/>
  <c r="E192" i="3"/>
  <c r="E135" i="3"/>
  <c r="E114" i="3"/>
  <c r="E147" i="3"/>
  <c r="E22" i="3"/>
  <c r="E93" i="3"/>
  <c r="E439" i="3"/>
  <c r="E459" i="3"/>
  <c r="E117" i="3"/>
  <c r="E231" i="3"/>
  <c r="E528" i="3"/>
  <c r="E470" i="3"/>
  <c r="E349" i="3"/>
  <c r="E186" i="3"/>
  <c r="E124" i="3"/>
  <c r="E222" i="3"/>
  <c r="E388" i="3"/>
  <c r="E19" i="3"/>
  <c r="E315" i="3"/>
  <c r="E312" i="3"/>
  <c r="E501" i="3"/>
  <c r="E384" i="3"/>
  <c r="E310" i="3"/>
  <c r="E487" i="3"/>
  <c r="AB6" i="3"/>
  <c r="S6" i="3"/>
  <c r="E322" i="3"/>
  <c r="E377" i="3"/>
  <c r="E358" i="3"/>
  <c r="E20" i="3"/>
  <c r="E348" i="3"/>
  <c r="E394" i="3"/>
  <c r="E55" i="3"/>
  <c r="E282" i="3"/>
  <c r="E375" i="3"/>
  <c r="E409" i="3"/>
  <c r="E83" i="3"/>
  <c r="E311" i="3"/>
  <c r="E263" i="3"/>
  <c r="AZ520" i="3"/>
  <c r="BL5" i="3"/>
  <c r="AZ13" i="3"/>
  <c r="S12" i="21"/>
  <c r="AA12" i="21"/>
  <c r="AC26" i="33"/>
  <c r="W26" i="33"/>
  <c r="E29" i="6"/>
  <c r="U30" i="33"/>
  <c r="C58" i="21"/>
  <c r="D58" i="21" s="1"/>
  <c r="E58" i="21" s="1"/>
  <c r="I7" i="21"/>
  <c r="E7" i="21"/>
  <c r="G7" i="21"/>
  <c r="H42" i="21"/>
  <c r="U42" i="21" s="1"/>
  <c r="F9" i="33"/>
  <c r="H9" i="33"/>
  <c r="O40" i="9"/>
  <c r="R7" i="54" s="1"/>
  <c r="B52" i="63" s="1"/>
  <c r="AH13" i="46"/>
  <c r="AJ13" i="46"/>
  <c r="F27" i="6"/>
  <c r="A17" i="51"/>
  <c r="B13" i="63" s="1"/>
  <c r="S17" i="40"/>
  <c r="U25" i="33"/>
  <c r="W34" i="33"/>
  <c r="AC11" i="34"/>
  <c r="AA27" i="34"/>
  <c r="AA32" i="37"/>
  <c r="AA20" i="35"/>
  <c r="AC13" i="40"/>
  <c r="S41" i="40"/>
  <c r="W34" i="40"/>
  <c r="AB16" i="39"/>
  <c r="U41" i="40"/>
  <c r="W40" i="40"/>
  <c r="H29" i="39"/>
  <c r="U29" i="39" s="1"/>
  <c r="F29" i="39"/>
  <c r="U12" i="37"/>
  <c r="H5" i="3"/>
  <c r="BI5" i="3"/>
  <c r="AZ392" i="3"/>
  <c r="AZ395" i="3"/>
  <c r="AZ405" i="3"/>
  <c r="AZ411" i="3"/>
  <c r="AZ420" i="3"/>
  <c r="AZ432" i="3"/>
  <c r="AZ447" i="3"/>
  <c r="AZ251" i="3"/>
  <c r="AZ267" i="3"/>
  <c r="AZ271" i="3"/>
  <c r="AZ287" i="3"/>
  <c r="D43" i="59"/>
  <c r="C44" i="59"/>
  <c r="C52" i="59"/>
  <c r="D51" i="59"/>
  <c r="F9" i="36"/>
  <c r="H9" i="36"/>
  <c r="H24" i="36"/>
  <c r="K145" i="21"/>
  <c r="AZ397" i="3"/>
  <c r="AZ408" i="3"/>
  <c r="AZ413" i="3"/>
  <c r="AZ424" i="3"/>
  <c r="AZ437" i="3"/>
  <c r="AZ457" i="3"/>
  <c r="AZ470" i="3"/>
  <c r="AZ473" i="3"/>
  <c r="AZ318" i="3"/>
  <c r="AZ334" i="3"/>
  <c r="AZ350" i="3"/>
  <c r="AZ208" i="3"/>
  <c r="AZ211" i="3"/>
  <c r="AZ224" i="3"/>
  <c r="AZ227" i="3"/>
  <c r="AZ240" i="3"/>
  <c r="AZ243" i="3"/>
  <c r="AZ259" i="3"/>
  <c r="AZ279" i="3"/>
  <c r="AZ113" i="3"/>
  <c r="AZ116" i="3"/>
  <c r="AZ132" i="3"/>
  <c r="AZ148" i="3"/>
  <c r="E83" i="21"/>
  <c r="F83" i="21" s="1"/>
  <c r="G83" i="21" s="1"/>
  <c r="F21" i="21"/>
  <c r="AA21" i="21" s="1"/>
  <c r="J21" i="21"/>
  <c r="Y25" i="59"/>
  <c r="Z25" i="59" s="1"/>
  <c r="C26" i="59"/>
  <c r="Y17" i="59"/>
  <c r="Z17" i="59" s="1"/>
  <c r="Y19" i="59"/>
  <c r="Z19" i="59" s="1"/>
  <c r="C31" i="59"/>
  <c r="D30" i="59"/>
  <c r="X10" i="59"/>
  <c r="X5" i="59"/>
  <c r="D38" i="4"/>
  <c r="C39" i="4" s="1"/>
  <c r="G19" i="46"/>
  <c r="O19" i="46" s="1"/>
  <c r="AZ194" i="3"/>
  <c r="AZ204" i="3"/>
  <c r="AZ22" i="3"/>
  <c r="AZ26" i="3"/>
  <c r="AZ45" i="3"/>
  <c r="AZ49" i="3"/>
  <c r="AZ52" i="3"/>
  <c r="AZ54" i="3"/>
  <c r="AZ58" i="3"/>
  <c r="AZ76" i="3"/>
  <c r="AZ80" i="3"/>
  <c r="AZ83" i="3"/>
  <c r="AZ96" i="3"/>
  <c r="AZ100" i="3"/>
  <c r="AZ103" i="3"/>
  <c r="AZ105" i="3"/>
  <c r="AZ109" i="3"/>
  <c r="D1" i="57"/>
  <c r="E10" i="57" s="1"/>
  <c r="H21" i="21"/>
  <c r="D48" i="59"/>
  <c r="D24" i="59"/>
  <c r="N57" i="59"/>
  <c r="Y20" i="59"/>
  <c r="Z20" i="59" s="1"/>
  <c r="X3" i="59"/>
  <c r="AA21" i="59"/>
  <c r="E22" i="59"/>
  <c r="E23" i="59" s="1"/>
  <c r="E24" i="59" s="1"/>
  <c r="U24" i="59" s="1"/>
  <c r="AA29" i="59"/>
  <c r="E30" i="59"/>
  <c r="E31" i="59" s="1"/>
  <c r="E32" i="59" s="1"/>
  <c r="U32" i="59" s="1"/>
  <c r="AB31" i="59"/>
  <c r="AB20" i="59"/>
  <c r="AB19" i="59"/>
  <c r="F32" i="59"/>
  <c r="V32" i="59" s="1"/>
  <c r="P59" i="59"/>
  <c r="E58" i="59"/>
  <c r="T64" i="59"/>
  <c r="C63" i="59"/>
  <c r="T72" i="59"/>
  <c r="C71" i="59"/>
  <c r="D72" i="59"/>
  <c r="E20" i="59"/>
  <c r="AA20" i="59"/>
  <c r="X30" i="59"/>
  <c r="Y24" i="59"/>
  <c r="Z24" i="59" s="1"/>
  <c r="X21" i="59"/>
  <c r="S20" i="59"/>
  <c r="D20" i="59"/>
  <c r="T20" i="59"/>
  <c r="C19" i="59"/>
  <c r="X16" i="59"/>
  <c r="X17" i="59"/>
  <c r="X15" i="59"/>
  <c r="X18" i="59"/>
  <c r="AA18" i="59"/>
  <c r="AA17" i="59"/>
  <c r="X19" i="59"/>
  <c r="AB10" i="59"/>
  <c r="X6" i="59"/>
  <c r="X9" i="59"/>
  <c r="Y9" i="59"/>
  <c r="Z9" i="59" s="1"/>
  <c r="AA9" i="59"/>
  <c r="AB9" i="59"/>
  <c r="AB5" i="59"/>
  <c r="F22" i="59"/>
  <c r="F23" i="59" s="1"/>
  <c r="F24" i="59" s="1"/>
  <c r="V24" i="59" s="1"/>
  <c r="AB18" i="59"/>
  <c r="Y22" i="59"/>
  <c r="Z22" i="59" s="1"/>
  <c r="AB22" i="59"/>
  <c r="Y23" i="59"/>
  <c r="Z23" i="59" s="1"/>
  <c r="AB23" i="59"/>
  <c r="AB24" i="59"/>
  <c r="AB27" i="59"/>
  <c r="AB30" i="59"/>
  <c r="C39" i="59"/>
  <c r="D39" i="59" s="1"/>
  <c r="D38" i="59"/>
  <c r="Q58" i="59"/>
  <c r="Q57" i="59"/>
  <c r="O60" i="59"/>
  <c r="C59" i="59"/>
  <c r="D76" i="59"/>
  <c r="C75" i="59"/>
  <c r="AB29" i="59"/>
  <c r="Y28" i="59"/>
  <c r="Z28" i="59" s="1"/>
  <c r="X25" i="59"/>
  <c r="AB21" i="59"/>
  <c r="Y16" i="59"/>
  <c r="Z16" i="59" s="1"/>
  <c r="AB16" i="59"/>
  <c r="AA15" i="59"/>
  <c r="X13" i="59"/>
  <c r="Y10" i="59"/>
  <c r="Z10" i="59" s="1"/>
  <c r="AA13" i="59"/>
  <c r="AB3" i="59"/>
  <c r="AA3" i="59"/>
  <c r="AA5" i="59"/>
  <c r="L16" i="4"/>
  <c r="Y21" i="59"/>
  <c r="Z21" i="59" s="1"/>
  <c r="X22" i="59"/>
  <c r="AA23" i="59"/>
  <c r="X24" i="59"/>
  <c r="AA25" i="59"/>
  <c r="AB26" i="59"/>
  <c r="Y27" i="59"/>
  <c r="Z27" i="59" s="1"/>
  <c r="AB28" i="59"/>
  <c r="Y29" i="59"/>
  <c r="Z29" i="59" s="1"/>
  <c r="A28" i="64"/>
  <c r="Y15" i="59"/>
  <c r="Z15" i="59" s="1"/>
  <c r="C16" i="59"/>
  <c r="AB15" i="59"/>
  <c r="AA10" i="59"/>
  <c r="Y6" i="59"/>
  <c r="Z6" i="59" s="1"/>
  <c r="AB7" i="59"/>
  <c r="AB6" i="59"/>
  <c r="Y5" i="59"/>
  <c r="Z5" i="59" s="1"/>
  <c r="AA7" i="59"/>
  <c r="X8" i="59"/>
  <c r="AA6" i="59"/>
  <c r="N107" i="46"/>
  <c r="D102" i="46"/>
  <c r="N106" i="46"/>
  <c r="I109" i="46"/>
  <c r="H106" i="46"/>
  <c r="H109" i="46"/>
  <c r="N102" i="46"/>
  <c r="I103" i="46"/>
  <c r="I104" i="46"/>
  <c r="D104" i="46"/>
  <c r="D105" i="46"/>
  <c r="H104" i="46"/>
  <c r="D103" i="46"/>
  <c r="H105" i="46"/>
  <c r="D107" i="46"/>
  <c r="I106" i="46"/>
  <c r="E247" i="3"/>
  <c r="E190" i="3"/>
  <c r="E560" i="3"/>
  <c r="E420" i="3"/>
  <c r="E111" i="3"/>
  <c r="E233" i="3"/>
  <c r="E261" i="3"/>
  <c r="E203" i="3"/>
  <c r="E39" i="3"/>
  <c r="E402" i="3"/>
  <c r="E107" i="3"/>
  <c r="E172" i="3"/>
  <c r="E288" i="3"/>
  <c r="E255"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32" i="6"/>
  <c r="C9" i="12"/>
  <c r="D3" i="21"/>
  <c r="K25" i="6"/>
  <c r="M25" i="6" s="1"/>
  <c r="I25" i="6" s="1"/>
  <c r="F103" i="46"/>
  <c r="Q16" i="1"/>
  <c r="F33" i="12" s="1"/>
  <c r="C34" i="12" s="1"/>
  <c r="D33" i="12" s="1"/>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72" i="3"/>
  <c r="E116" i="3"/>
  <c r="E429" i="3"/>
  <c r="L6" i="3"/>
  <c r="E275" i="3"/>
  <c r="E507" i="3"/>
  <c r="E189" i="3"/>
  <c r="E58" i="39"/>
  <c r="AC40" i="39"/>
  <c r="W40" i="39"/>
  <c r="AA40" i="39"/>
  <c r="S40" i="39"/>
  <c r="K15" i="1"/>
  <c r="K16" i="1" s="1"/>
  <c r="E30" i="6"/>
  <c r="L19" i="6"/>
  <c r="F105" i="46"/>
  <c r="F104" i="46"/>
  <c r="F107" i="46"/>
  <c r="E305" i="3"/>
  <c r="E207" i="3"/>
  <c r="E291" i="3"/>
  <c r="E258" i="3"/>
  <c r="U6" i="3"/>
  <c r="E204" i="3"/>
  <c r="E556" i="3"/>
  <c r="E25" i="3"/>
  <c r="E451" i="3"/>
  <c r="O6" i="3"/>
  <c r="E445" i="3"/>
  <c r="E102" i="3"/>
  <c r="E52" i="3"/>
  <c r="E166" i="3"/>
  <c r="E139" i="3"/>
  <c r="E272" i="3"/>
  <c r="E245" i="3"/>
  <c r="E257" i="3"/>
  <c r="E332" i="3"/>
  <c r="E401" i="3"/>
  <c r="E539" i="3"/>
  <c r="E425" i="3"/>
  <c r="E85" i="3"/>
  <c r="E79" i="3"/>
  <c r="E568" i="3"/>
  <c r="E113" i="3"/>
  <c r="E136" i="3"/>
  <c r="W42" i="21"/>
  <c r="AB45" i="21"/>
  <c r="S45" i="21"/>
  <c r="AC23" i="21"/>
  <c r="S44" i="21"/>
  <c r="H113" i="21"/>
  <c r="F37" i="21"/>
  <c r="H37" i="21"/>
  <c r="J37" i="21"/>
  <c r="AB36" i="21"/>
  <c r="AC34" i="21"/>
  <c r="S34" i="21"/>
  <c r="AB34" i="21"/>
  <c r="S32" i="21"/>
  <c r="W32" i="21"/>
  <c r="S21" i="21"/>
  <c r="AA33" i="39"/>
  <c r="W34" i="39"/>
  <c r="B74" i="46"/>
  <c r="C31" i="39"/>
  <c r="AC19" i="21"/>
  <c r="U19" i="21"/>
  <c r="S19" i="21"/>
  <c r="W17" i="21"/>
  <c r="U17" i="21"/>
  <c r="AA15" i="21"/>
  <c r="W15" i="21"/>
  <c r="S42" i="21"/>
  <c r="W9" i="21"/>
  <c r="U9" i="21"/>
  <c r="S8" i="21"/>
  <c r="C72" i="39"/>
  <c r="D70" i="39"/>
  <c r="C67" i="40"/>
  <c r="D65" i="40"/>
  <c r="C30" i="44"/>
  <c r="C15" i="43"/>
  <c r="C31" i="43"/>
  <c r="C95" i="9"/>
  <c r="C92" i="9" s="1"/>
  <c r="C25" i="12"/>
  <c r="C27" i="43"/>
  <c r="C28" i="15"/>
  <c r="G6" i="1"/>
  <c r="J51" i="15"/>
  <c r="C18" i="9"/>
  <c r="D18" i="9" s="1"/>
  <c r="M44" i="9" s="1"/>
  <c r="AB33" i="39"/>
  <c r="W33" i="39"/>
  <c r="A30" i="64"/>
  <c r="A30" i="51"/>
  <c r="B22" i="63" s="1"/>
  <c r="AC44" i="39"/>
  <c r="S41" i="39"/>
  <c r="W41" i="39"/>
  <c r="U41" i="39"/>
  <c r="S31" i="39"/>
  <c r="W31" i="39"/>
  <c r="AB29" i="39"/>
  <c r="S27" i="39"/>
  <c r="W27" i="39"/>
  <c r="S25" i="39"/>
  <c r="W25" i="39"/>
  <c r="AB25" i="39"/>
  <c r="U23" i="39"/>
  <c r="S23" i="39"/>
  <c r="W23" i="39"/>
  <c r="AB21" i="39"/>
  <c r="S17" i="39"/>
  <c r="AC17" i="39"/>
  <c r="AB17" i="39"/>
  <c r="W13" i="39"/>
  <c r="U13" i="39"/>
  <c r="C5" i="46"/>
  <c r="D5" i="46"/>
  <c r="L27" i="6"/>
  <c r="AZ5" i="3"/>
  <c r="C102" i="46"/>
  <c r="H16" i="1"/>
  <c r="J105" i="46"/>
  <c r="J109" i="46"/>
  <c r="C105" i="46"/>
  <c r="C107" i="46"/>
  <c r="J104" i="46"/>
  <c r="M14" i="1"/>
  <c r="O14" i="1" s="1"/>
  <c r="P14" i="1" s="1"/>
  <c r="D22" i="46"/>
  <c r="C21" i="46" s="1"/>
  <c r="C106" i="46"/>
  <c r="C103" i="46"/>
  <c r="C104" i="46"/>
  <c r="J103" i="46"/>
  <c r="J102" i="46"/>
  <c r="F24" i="43"/>
  <c r="C26" i="43" s="1"/>
  <c r="D24" i="43" s="1"/>
  <c r="M105" i="46"/>
  <c r="M102" i="46"/>
  <c r="F30" i="6"/>
  <c r="M106"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O13" i="1"/>
  <c r="P13" i="1" s="1"/>
  <c r="O12" i="1"/>
  <c r="P12" i="1" s="1"/>
  <c r="K109" i="46"/>
  <c r="G107" i="46"/>
  <c r="G104" i="46"/>
  <c r="I117" i="46"/>
  <c r="J117" i="46" s="1"/>
  <c r="K117" i="46" s="1"/>
  <c r="L117" i="46" s="1"/>
  <c r="M117" i="46" s="1"/>
  <c r="D118" i="46"/>
  <c r="E118" i="46" s="1"/>
  <c r="F118" i="46" s="1"/>
  <c r="D117" i="46"/>
  <c r="E117" i="46" s="1"/>
  <c r="F117" i="46" s="1"/>
  <c r="G117" i="46" s="1"/>
  <c r="H117" i="46" s="1"/>
  <c r="B116" i="46"/>
  <c r="C116" i="46" s="1"/>
  <c r="B115" i="46"/>
  <c r="C115" i="46" s="1"/>
  <c r="L103" i="46"/>
  <c r="L109" i="46"/>
  <c r="L104" i="46"/>
  <c r="E102" i="46"/>
  <c r="E105" i="46"/>
  <c r="K104" i="46"/>
  <c r="K102" i="46"/>
  <c r="I105" i="46"/>
  <c r="N103" i="46"/>
  <c r="N109" i="46"/>
  <c r="N104" i="46"/>
  <c r="M104" i="46"/>
  <c r="M109" i="46"/>
  <c r="M103" i="46"/>
  <c r="F31" i="6"/>
  <c r="S25" i="6"/>
  <c r="O7" i="1"/>
  <c r="P7" i="1" s="1"/>
  <c r="M16" i="1"/>
  <c r="O11" i="1"/>
  <c r="P11" i="1" s="1"/>
  <c r="O8" i="1"/>
  <c r="P8" i="1" s="1"/>
  <c r="K20" i="6"/>
  <c r="E31" i="6"/>
  <c r="C33" i="21" s="1"/>
  <c r="K19" i="6"/>
  <c r="S6" i="1" s="1"/>
  <c r="K26" i="6"/>
  <c r="M26" i="6" s="1"/>
  <c r="I26" i="6" s="1"/>
  <c r="P6" i="1"/>
  <c r="C15" i="12" s="1"/>
  <c r="O9" i="1"/>
  <c r="E15" i="6"/>
  <c r="E12" i="6"/>
  <c r="E11" i="6"/>
  <c r="E14" i="6"/>
  <c r="E13" i="6"/>
  <c r="E10" i="6"/>
  <c r="D21" i="12"/>
  <c r="C21" i="12" s="1"/>
  <c r="G115" i="46"/>
  <c r="H115" i="46" s="1"/>
  <c r="K17" i="4"/>
  <c r="A22" i="51" s="1"/>
  <c r="B16" i="63" s="1"/>
  <c r="AP16" i="1"/>
  <c r="F22" i="11" s="1"/>
  <c r="G16" i="1"/>
  <c r="J12" i="40" s="1"/>
  <c r="J48" i="35"/>
  <c r="K48" i="35" s="1"/>
  <c r="L48" i="35" s="1"/>
  <c r="M48" i="35" s="1"/>
  <c r="N48" i="35" s="1"/>
  <c r="O48" i="35" s="1"/>
  <c r="H52" i="37"/>
  <c r="E46" i="36"/>
  <c r="F46" i="36" s="1"/>
  <c r="G46" i="36" s="1"/>
  <c r="H46" i="36" s="1"/>
  <c r="I46" i="36" s="1"/>
  <c r="J46" i="36" s="1"/>
  <c r="K46" i="36" s="1"/>
  <c r="L46" i="36" s="1"/>
  <c r="M46" i="36" s="1"/>
  <c r="N46" i="36" s="1"/>
  <c r="O46" i="36" s="1"/>
  <c r="H7" i="36"/>
  <c r="H7" i="35"/>
  <c r="J7" i="35"/>
  <c r="E59" i="34"/>
  <c r="E58" i="33"/>
  <c r="F58" i="21"/>
  <c r="C18" i="11"/>
  <c r="K77" i="9"/>
  <c r="K79" i="9" s="1"/>
  <c r="K81" i="9" s="1"/>
  <c r="E12" i="52"/>
  <c r="B15" i="52"/>
  <c r="F31" i="15"/>
  <c r="F33" i="44"/>
  <c r="E8" i="59"/>
  <c r="B8" i="59"/>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Y8" i="59"/>
  <c r="Z8" i="59" s="1"/>
  <c r="P22" i="46"/>
  <c r="P24" i="46"/>
  <c r="B68" i="40" s="1"/>
  <c r="P23" i="46"/>
  <c r="P25" i="46"/>
  <c r="B73" i="39" s="1"/>
  <c r="P21" i="46"/>
  <c r="E20" i="46"/>
  <c r="C36" i="44"/>
  <c r="Q73" i="44"/>
  <c r="C6" i="15"/>
  <c r="F65" i="15"/>
  <c r="C29" i="44"/>
  <c r="C8" i="44"/>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I3" i="65"/>
  <c r="J5" i="65"/>
  <c r="C16" i="15"/>
  <c r="I5" i="65"/>
  <c r="I6" i="65"/>
  <c r="J3" i="65"/>
  <c r="J4" i="65"/>
  <c r="C18" i="44"/>
  <c r="AB42" i="21" l="1"/>
  <c r="G50" i="21"/>
  <c r="J1" i="65"/>
  <c r="E7" i="59"/>
  <c r="E6" i="59" s="1"/>
  <c r="E5" i="59" s="1"/>
  <c r="U8" i="59"/>
  <c r="T16" i="59"/>
  <c r="D16" i="59"/>
  <c r="C15" i="59"/>
  <c r="C74" i="59"/>
  <c r="D74" i="59" s="1"/>
  <c r="D75" i="59"/>
  <c r="O59" i="59"/>
  <c r="D59" i="59"/>
  <c r="C58" i="59"/>
  <c r="AB21" i="21"/>
  <c r="U21" i="21"/>
  <c r="D31" i="59"/>
  <c r="C32" i="59"/>
  <c r="AB24" i="36"/>
  <c r="U24" i="36"/>
  <c r="AA9" i="36"/>
  <c r="S9" i="36"/>
  <c r="T52" i="59"/>
  <c r="D52" i="59"/>
  <c r="AA9" i="33"/>
  <c r="S9" i="33"/>
  <c r="B7" i="59"/>
  <c r="B6" i="59" s="1"/>
  <c r="B5" i="59" s="1"/>
  <c r="S8" i="59"/>
  <c r="C18" i="59"/>
  <c r="D18" i="59" s="1"/>
  <c r="D19" i="59"/>
  <c r="U20" i="59"/>
  <c r="E19" i="59"/>
  <c r="E18" i="59" s="1"/>
  <c r="C70" i="59"/>
  <c r="D70" i="59" s="1"/>
  <c r="D71" i="59"/>
  <c r="D63" i="59"/>
  <c r="C62" i="59"/>
  <c r="D62" i="59" s="1"/>
  <c r="P57" i="59"/>
  <c r="P58" i="59"/>
  <c r="D26" i="59"/>
  <c r="C27" i="59"/>
  <c r="W21" i="21"/>
  <c r="AC21" i="21"/>
  <c r="AB9" i="36"/>
  <c r="U9" i="36"/>
  <c r="T44" i="59"/>
  <c r="D44" i="59"/>
  <c r="AA29" i="39"/>
  <c r="S29" i="39"/>
  <c r="AB9" i="33"/>
  <c r="U9" i="33"/>
  <c r="K22" i="6"/>
  <c r="M22" i="6" s="1"/>
  <c r="I22" i="6" s="1"/>
  <c r="S22" i="6" s="1"/>
  <c r="K23" i="6"/>
  <c r="M23" i="6" s="1"/>
  <c r="I23" i="6" s="1"/>
  <c r="S23" i="6" s="1"/>
  <c r="K21" i="6"/>
  <c r="M21" i="6" s="1"/>
  <c r="I21" i="6" s="1"/>
  <c r="S21" i="6" s="1"/>
  <c r="H33" i="21"/>
  <c r="J33" i="21"/>
  <c r="F33" i="21"/>
  <c r="W37" i="21"/>
  <c r="AC37" i="21"/>
  <c r="S37" i="21"/>
  <c r="AA37" i="21"/>
  <c r="U37" i="21"/>
  <c r="AB37" i="21"/>
  <c r="D67" i="40"/>
  <c r="E65" i="40"/>
  <c r="E70" i="39"/>
  <c r="D72" i="39"/>
  <c r="J7" i="36"/>
  <c r="F7" i="36"/>
  <c r="M43" i="9"/>
  <c r="E3" i="6"/>
  <c r="AY6" i="3"/>
  <c r="M20" i="6"/>
  <c r="I20" i="6" s="1"/>
  <c r="S20" i="6" s="1"/>
  <c r="S7" i="1"/>
  <c r="H12" i="40"/>
  <c r="AB12" i="40" s="1"/>
  <c r="AC6" i="3"/>
  <c r="H6" i="3"/>
  <c r="O16" i="1"/>
  <c r="J12" i="39"/>
  <c r="AC12" i="39" s="1"/>
  <c r="F12" i="39"/>
  <c r="S12" i="39" s="1"/>
  <c r="E65" i="39"/>
  <c r="E60" i="40"/>
  <c r="E58" i="40"/>
  <c r="E63" i="39"/>
  <c r="E67" i="39"/>
  <c r="E62" i="40"/>
  <c r="P9" i="1"/>
  <c r="P16" i="1" s="1"/>
  <c r="C13" i="12" s="1"/>
  <c r="K27" i="6"/>
  <c r="M19" i="6"/>
  <c r="E16" i="6"/>
  <c r="E61" i="40"/>
  <c r="E66" i="39"/>
  <c r="E59" i="40"/>
  <c r="E64" i="39"/>
  <c r="S26" i="6"/>
  <c r="C13" i="43"/>
  <c r="N16" i="1"/>
  <c r="C29" i="43" s="1"/>
  <c r="L16" i="1"/>
  <c r="D113" i="46"/>
  <c r="H12" i="39"/>
  <c r="AB12" i="39" s="1"/>
  <c r="F12" i="40"/>
  <c r="S12" i="40" s="1"/>
  <c r="G58" i="21"/>
  <c r="F58" i="33"/>
  <c r="U7" i="35"/>
  <c r="AB7" i="35"/>
  <c r="T38" i="35" s="1"/>
  <c r="G38" i="35" s="1"/>
  <c r="AB7" i="36"/>
  <c r="T36" i="36" s="1"/>
  <c r="G36" i="36" s="1"/>
  <c r="U7" i="36"/>
  <c r="U12" i="39"/>
  <c r="AA12" i="40"/>
  <c r="W12" i="40"/>
  <c r="AC12" i="40"/>
  <c r="I52" i="37"/>
  <c r="F7" i="35"/>
  <c r="F59" i="34"/>
  <c r="AC7" i="35"/>
  <c r="V38" i="35" s="1"/>
  <c r="I38" i="35" s="1"/>
  <c r="W7" i="35"/>
  <c r="W7" i="36"/>
  <c r="AC7" i="36"/>
  <c r="V36" i="36" s="1"/>
  <c r="I36" i="36" s="1"/>
  <c r="AA7" i="36"/>
  <c r="R36" i="36" s="1"/>
  <c r="S7" i="36"/>
  <c r="U12" i="40"/>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2" i="65"/>
  <c r="AE7" i="1"/>
  <c r="C17" i="15"/>
  <c r="E3" i="65"/>
  <c r="B40" i="1" l="1"/>
  <c r="F21" i="43" s="1"/>
  <c r="C23" i="43" s="1"/>
  <c r="D21" i="43" s="1"/>
  <c r="F17" i="11"/>
  <c r="C17" i="11" s="1"/>
  <c r="C19" i="11" s="1"/>
  <c r="C20" i="11" s="1"/>
  <c r="C21" i="11" s="1"/>
  <c r="C22" i="11" s="1"/>
  <c r="C23" i="11" s="1"/>
  <c r="B2" i="11" s="1"/>
  <c r="C14" i="59"/>
  <c r="D15" i="59"/>
  <c r="D27" i="59"/>
  <c r="C28" i="59"/>
  <c r="T32" i="59"/>
  <c r="D32" i="59"/>
  <c r="O58" i="59"/>
  <c r="O57" i="59"/>
  <c r="D58" i="59"/>
  <c r="W33" i="21"/>
  <c r="AC33" i="21"/>
  <c r="S33" i="21"/>
  <c r="AA33" i="21"/>
  <c r="U33" i="21"/>
  <c r="AB33" i="21"/>
  <c r="F65" i="40"/>
  <c r="E67" i="40"/>
  <c r="E72" i="39"/>
  <c r="F70" i="39"/>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87" i="3"/>
  <c r="AY109" i="3"/>
  <c r="AY142" i="3"/>
  <c r="AY537" i="3"/>
  <c r="AY144" i="3"/>
  <c r="AY136" i="3"/>
  <c r="AY232" i="3"/>
  <c r="AY448" i="3"/>
  <c r="AY49" i="3"/>
  <c r="AY381" i="3"/>
  <c r="AY326" i="3"/>
  <c r="AY178" i="3"/>
  <c r="AY294" i="3"/>
  <c r="AY550" i="3"/>
  <c r="AY269" i="3"/>
  <c r="AY389" i="3"/>
  <c r="AY302" i="3"/>
  <c r="AY122" i="3"/>
  <c r="AY457" i="3"/>
  <c r="BC6" i="3"/>
  <c r="AY543" i="3"/>
  <c r="AY501" i="3"/>
  <c r="AY99" i="3"/>
  <c r="AY481" i="3"/>
  <c r="AY103" i="3"/>
  <c r="AY204" i="3"/>
  <c r="AY150" i="3"/>
  <c r="AY216" i="3"/>
  <c r="AY432" i="3"/>
  <c r="AY28" i="3"/>
  <c r="AY280" i="3"/>
  <c r="AY311" i="3"/>
  <c r="AY172" i="3"/>
  <c r="AY257" i="3"/>
  <c r="BS6" i="3"/>
  <c r="AY254" i="3"/>
  <c r="AY394" i="3"/>
  <c r="AY359" i="3"/>
  <c r="AY282" i="3"/>
  <c r="AY437" i="3"/>
  <c r="AY544"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530" i="3"/>
  <c r="AY97" i="3"/>
  <c r="AY198" i="3"/>
  <c r="AY77" i="3"/>
  <c r="AY73" i="3"/>
  <c r="AY57" i="3"/>
  <c r="AY262" i="3"/>
  <c r="AY349" i="3"/>
  <c r="AY397" i="3"/>
  <c r="AY149" i="3"/>
  <c r="AY379" i="3"/>
  <c r="AY463" i="3"/>
  <c r="AY135" i="3"/>
  <c r="AY372" i="3"/>
  <c r="AY62" i="3"/>
  <c r="AY376" i="3"/>
  <c r="AY155" i="3"/>
  <c r="AY450" i="3"/>
  <c r="AY307" i="3"/>
  <c r="AY412" i="3"/>
  <c r="AY201" i="3"/>
  <c r="AY308" i="3"/>
  <c r="AY528" i="3"/>
  <c r="AY236" i="3"/>
  <c r="AY516" i="3"/>
  <c r="AY52" i="3"/>
  <c r="AY36" i="3"/>
  <c r="AY246" i="3"/>
  <c r="AY333" i="3"/>
  <c r="AY408" i="3"/>
  <c r="AY117" i="3"/>
  <c r="AY374" i="3"/>
  <c r="AY123" i="3"/>
  <c r="AY183" i="3"/>
  <c r="AY337" i="3"/>
  <c r="AY25" i="3"/>
  <c r="AY341" i="3"/>
  <c r="AY197" i="3"/>
  <c r="AY76" i="3"/>
  <c r="AY321" i="3"/>
  <c r="AY465" i="3"/>
  <c r="BH6" i="3"/>
  <c r="AY320" i="3"/>
  <c r="AY27" i="3"/>
  <c r="AY268" i="3"/>
  <c r="BN6" i="3"/>
  <c r="AY207" i="3"/>
  <c r="AY510" i="3"/>
  <c r="AY154" i="3"/>
  <c r="AY75" i="3"/>
  <c r="AY259" i="3"/>
  <c r="AY368" i="3"/>
  <c r="AY409" i="3"/>
  <c r="AY171" i="3"/>
  <c r="AY365" i="3"/>
  <c r="AY471" i="3"/>
  <c r="AY138" i="3"/>
  <c r="AY316" i="3"/>
  <c r="AY29" i="3"/>
  <c r="AY367" i="3"/>
  <c r="AY166" i="3"/>
  <c r="AY413" i="3"/>
  <c r="AY319" i="3"/>
  <c r="BT6" i="3"/>
  <c r="AY323" i="3"/>
  <c r="AY370"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BD6" i="3"/>
  <c r="BL6" i="3"/>
  <c r="AY160" i="3"/>
  <c r="AY145" i="3"/>
  <c r="AY248" i="3"/>
  <c r="AY472" i="3"/>
  <c r="AY96" i="3"/>
  <c r="AY233" i="3"/>
  <c r="AY329" i="3"/>
  <c r="AY131" i="3"/>
  <c r="AY206" i="3"/>
  <c r="AY520" i="3"/>
  <c r="AY249" i="3"/>
  <c r="AY453" i="3"/>
  <c r="AY225" i="3"/>
  <c r="AY184" i="3"/>
  <c r="BQ6" i="3"/>
  <c r="AY151" i="3"/>
  <c r="AY36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BI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D16" i="12"/>
  <c r="M8" i="12" s="1"/>
  <c r="D16" i="43"/>
  <c r="C16" i="43" s="1"/>
  <c r="L38" i="9"/>
  <c r="B14" i="66" s="1"/>
  <c r="D45" i="9"/>
  <c r="E6" i="6"/>
  <c r="C21" i="4"/>
  <c r="O5" i="54" s="1"/>
  <c r="B45" i="63" s="1"/>
  <c r="AA12" i="39"/>
  <c r="W12" i="39"/>
  <c r="S16" i="1"/>
  <c r="T7" i="1" s="1"/>
  <c r="E6" i="3"/>
  <c r="C14" i="43"/>
  <c r="C17" i="43"/>
  <c r="I19" i="6"/>
  <c r="M27" i="6"/>
  <c r="C17" i="12"/>
  <c r="C14" i="12"/>
  <c r="R37" i="36"/>
  <c r="E36" i="36"/>
  <c r="I41" i="36" s="1"/>
  <c r="J41" i="36" s="1"/>
  <c r="I42" i="35"/>
  <c r="J42" i="35" s="1"/>
  <c r="G59" i="34"/>
  <c r="G42" i="35"/>
  <c r="H42" i="35" s="1"/>
  <c r="G43" i="35"/>
  <c r="H43" i="35" s="1"/>
  <c r="G58" i="33"/>
  <c r="I40" i="36"/>
  <c r="J40" i="36" s="1"/>
  <c r="AA7" i="35"/>
  <c r="R38" i="35" s="1"/>
  <c r="S7" i="35"/>
  <c r="J52" i="37"/>
  <c r="K52" i="37" s="1"/>
  <c r="L52" i="37" s="1"/>
  <c r="M52" i="37" s="1"/>
  <c r="N52" i="37" s="1"/>
  <c r="O52" i="37" s="1"/>
  <c r="F7" i="37"/>
  <c r="G41" i="36"/>
  <c r="H41" i="36" s="1"/>
  <c r="G40" i="36"/>
  <c r="H40" i="36" s="1"/>
  <c r="H58" i="21"/>
  <c r="I58" i="21" s="1"/>
  <c r="J58" i="21" s="1"/>
  <c r="K58" i="21" s="1"/>
  <c r="L58" i="21" s="1"/>
  <c r="M58" i="21" s="1"/>
  <c r="N58" i="21" s="1"/>
  <c r="O58" i="21"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F26" i="44"/>
  <c r="C26" i="44" s="1"/>
  <c r="F41" i="15"/>
  <c r="F24" i="15" l="1"/>
  <c r="C24" i="15" s="1"/>
  <c r="F26" i="12"/>
  <c r="C27" i="12" s="1"/>
  <c r="D26" i="12" s="1"/>
  <c r="C32" i="12" s="1"/>
  <c r="D30" i="12" s="1"/>
  <c r="G33" i="46"/>
  <c r="I33" i="46" s="1"/>
  <c r="C27" i="46" s="1"/>
  <c r="C13" i="59"/>
  <c r="D14" i="59"/>
  <c r="T28" i="59"/>
  <c r="D28" i="59"/>
  <c r="E38" i="46"/>
  <c r="F72" i="39"/>
  <c r="G70" i="39"/>
  <c r="G65" i="40"/>
  <c r="F67" i="40"/>
  <c r="F68" i="15"/>
  <c r="D13" i="11"/>
  <c r="C13" i="11" s="1"/>
  <c r="D22" i="12"/>
  <c r="C22" i="12" s="1"/>
  <c r="C20" i="12" s="1"/>
  <c r="C16" i="12"/>
  <c r="C18" i="12" s="1"/>
  <c r="D19" i="12"/>
  <c r="C19" i="12" s="1"/>
  <c r="C22" i="4"/>
  <c r="D5" i="6"/>
  <c r="E68" i="39"/>
  <c r="D26" i="6"/>
  <c r="D25" i="6"/>
  <c r="K38" i="9"/>
  <c r="C14" i="66" s="1"/>
  <c r="B2" i="66" s="1"/>
  <c r="D8" i="6"/>
  <c r="D19" i="6"/>
  <c r="H24" i="6"/>
  <c r="D21" i="6"/>
  <c r="D24" i="6"/>
  <c r="R24" i="6" s="1"/>
  <c r="D29" i="6"/>
  <c r="E45" i="9"/>
  <c r="D22" i="6"/>
  <c r="F45" i="9"/>
  <c r="D23" i="6"/>
  <c r="H22" i="6"/>
  <c r="H23" i="6"/>
  <c r="R23" i="6" s="1"/>
  <c r="H25" i="6"/>
  <c r="R25" i="6" s="1"/>
  <c r="H21" i="6"/>
  <c r="D20" i="6"/>
  <c r="D9" i="6"/>
  <c r="E63" i="40"/>
  <c r="D6" i="6"/>
  <c r="D10" i="6"/>
  <c r="D12" i="6"/>
  <c r="H26" i="6"/>
  <c r="D28" i="6"/>
  <c r="D13" i="6"/>
  <c r="D11" i="6"/>
  <c r="D15" i="6"/>
  <c r="H20" i="6"/>
  <c r="D14" i="6"/>
  <c r="E35" i="46"/>
  <c r="T12" i="1"/>
  <c r="T6" i="1"/>
  <c r="T8" i="1"/>
  <c r="T11" i="1"/>
  <c r="T10" i="1"/>
  <c r="T13" i="1"/>
  <c r="T9" i="1"/>
  <c r="C18" i="43"/>
  <c r="C19" i="43" s="1"/>
  <c r="C25" i="43" s="1"/>
  <c r="C24" i="43" s="1"/>
  <c r="S19" i="6"/>
  <c r="S27" i="6" s="1"/>
  <c r="H19" i="6"/>
  <c r="I27" i="6"/>
  <c r="E37" i="46"/>
  <c r="G39" i="46"/>
  <c r="I39" i="46" s="1"/>
  <c r="E36" i="46"/>
  <c r="H7" i="21"/>
  <c r="H7" i="37"/>
  <c r="F7" i="21"/>
  <c r="H58" i="33"/>
  <c r="H59" i="34"/>
  <c r="C36" i="36"/>
  <c r="C37" i="36"/>
  <c r="B3" i="36" s="1"/>
  <c r="B2" i="36" s="1"/>
  <c r="J7" i="37"/>
  <c r="AA7" i="37"/>
  <c r="R42" i="37" s="1"/>
  <c r="S7" i="37"/>
  <c r="R39" i="35"/>
  <c r="E38" i="35"/>
  <c r="E40" i="36"/>
  <c r="F40" i="36" s="1"/>
  <c r="E41" i="36"/>
  <c r="F41" i="36" s="1"/>
  <c r="J7" i="21"/>
  <c r="E29" i="46"/>
  <c r="C65" i="15"/>
  <c r="C59" i="15"/>
  <c r="B5" i="11"/>
  <c r="B3" i="11"/>
  <c r="B4" i="11"/>
  <c r="J26" i="15"/>
  <c r="J29" i="15" s="1"/>
  <c r="J24" i="15"/>
  <c r="C38" i="15"/>
  <c r="Q58" i="44"/>
  <c r="Q67" i="44"/>
  <c r="Q49" i="44"/>
  <c r="Q55" i="44" s="1"/>
  <c r="C14" i="15"/>
  <c r="F7" i="67"/>
  <c r="C16" i="44"/>
  <c r="D13" i="59" l="1"/>
  <c r="C12" i="59"/>
  <c r="R26" i="6"/>
  <c r="R22" i="6"/>
  <c r="C22" i="43"/>
  <c r="C21" i="43" s="1"/>
  <c r="C28" i="43" s="1"/>
  <c r="C30" i="43" s="1"/>
  <c r="C32" i="43" s="1"/>
  <c r="B2" i="43" s="1"/>
  <c r="B3" i="43" s="1"/>
  <c r="H70" i="39"/>
  <c r="G72" i="39"/>
  <c r="G67" i="40"/>
  <c r="H65" i="40"/>
  <c r="C23" i="12"/>
  <c r="R20" i="6"/>
  <c r="R7" i="1" s="1"/>
  <c r="D30" i="6"/>
  <c r="D16" i="6"/>
  <c r="R21" i="6"/>
  <c r="D27" i="6"/>
  <c r="D7" i="66"/>
  <c r="N5" i="54"/>
  <c r="B43" i="63" s="1"/>
  <c r="A20" i="64"/>
  <c r="A6" i="51"/>
  <c r="B7" i="63" s="1"/>
  <c r="A6" i="64"/>
  <c r="A20" i="51"/>
  <c r="B15" i="63" s="1"/>
  <c r="C20" i="44"/>
  <c r="C17" i="44"/>
  <c r="C15" i="15"/>
  <c r="C18" i="15"/>
  <c r="T16" i="1"/>
  <c r="R19" i="6"/>
  <c r="H27" i="6"/>
  <c r="AC7" i="21"/>
  <c r="V48" i="21" s="1"/>
  <c r="I48" i="21" s="1"/>
  <c r="W7" i="21"/>
  <c r="C39" i="35"/>
  <c r="B3" i="35" s="1"/>
  <c r="B2" i="35" s="1"/>
  <c r="C38" i="35"/>
  <c r="R43" i="37"/>
  <c r="E42" i="37"/>
  <c r="AA7" i="21"/>
  <c r="R48" i="21" s="1"/>
  <c r="S7" i="21"/>
  <c r="AB7" i="21"/>
  <c r="T48" i="21" s="1"/>
  <c r="G48" i="21" s="1"/>
  <c r="U7" i="21"/>
  <c r="E43" i="35"/>
  <c r="F43" i="35" s="1"/>
  <c r="E42" i="35"/>
  <c r="F42" i="35" s="1"/>
  <c r="I43" i="35"/>
  <c r="J43" i="35" s="1"/>
  <c r="AC7" i="37"/>
  <c r="V42" i="37" s="1"/>
  <c r="I42" i="37" s="1"/>
  <c r="W7" i="37"/>
  <c r="I59" i="34"/>
  <c r="I58" i="33"/>
  <c r="AB7" i="37"/>
  <c r="T42" i="37" s="1"/>
  <c r="G42" i="37" s="1"/>
  <c r="U7" i="37"/>
  <c r="E4" i="67"/>
  <c r="C26" i="46"/>
  <c r="B2" i="46" s="1"/>
  <c r="D77" i="9"/>
  <c r="N75" i="9" s="1"/>
  <c r="M21" i="15"/>
  <c r="F35" i="15"/>
  <c r="B7" i="67"/>
  <c r="E7" i="67"/>
  <c r="C11" i="59" l="1"/>
  <c r="T12" i="59"/>
  <c r="D12" i="59"/>
  <c r="D31" i="6"/>
  <c r="I5" i="6" s="1"/>
  <c r="H67" i="40"/>
  <c r="I65" i="40"/>
  <c r="I70" i="39"/>
  <c r="H72" i="39"/>
  <c r="B4" i="43"/>
  <c r="B5" i="43"/>
  <c r="F62" i="15"/>
  <c r="C61" i="15" s="1"/>
  <c r="C34" i="15"/>
  <c r="J20" i="15"/>
  <c r="I6" i="6"/>
  <c r="C19" i="15"/>
  <c r="C20" i="15" s="1"/>
  <c r="C26" i="15" s="1"/>
  <c r="C21" i="44"/>
  <c r="R27" i="6"/>
  <c r="R6" i="1"/>
  <c r="R16" i="1" s="1"/>
  <c r="G53" i="21"/>
  <c r="H53" i="21" s="1"/>
  <c r="G52" i="21"/>
  <c r="H52" i="21" s="1"/>
  <c r="R49" i="21"/>
  <c r="E48" i="21"/>
  <c r="I53" i="21" s="1"/>
  <c r="J53" i="21" s="1"/>
  <c r="C43" i="37"/>
  <c r="B3" i="37" s="1"/>
  <c r="B2" i="37" s="1"/>
  <c r="C42" i="37"/>
  <c r="I52" i="21"/>
  <c r="J52" i="21" s="1"/>
  <c r="G46" i="37"/>
  <c r="H46" i="37" s="1"/>
  <c r="G47" i="37"/>
  <c r="H47" i="37" s="1"/>
  <c r="J58" i="33"/>
  <c r="K58" i="33" s="1"/>
  <c r="L58" i="33" s="1"/>
  <c r="M58" i="33" s="1"/>
  <c r="N58" i="33" s="1"/>
  <c r="O58" i="33" s="1"/>
  <c r="H7" i="33" s="1"/>
  <c r="J59" i="34"/>
  <c r="K59" i="34" s="1"/>
  <c r="L59" i="34" s="1"/>
  <c r="M59" i="34" s="1"/>
  <c r="N59" i="34" s="1"/>
  <c r="O59" i="34" s="1"/>
  <c r="H7" i="34" s="1"/>
  <c r="I46" i="37"/>
  <c r="J46" i="37" s="1"/>
  <c r="I47" i="37"/>
  <c r="J47" i="37" s="1"/>
  <c r="E47" i="37"/>
  <c r="F47" i="37" s="1"/>
  <c r="E46" i="37"/>
  <c r="F46" i="37" s="1"/>
  <c r="J7" i="33"/>
  <c r="E3" i="67"/>
  <c r="B2" i="67"/>
  <c r="D4" i="46"/>
  <c r="B3" i="46"/>
  <c r="B4" i="46"/>
  <c r="C10" i="59" l="1"/>
  <c r="D11" i="59"/>
  <c r="I67" i="40"/>
  <c r="J65" i="40"/>
  <c r="J70" i="39"/>
  <c r="I72" i="39"/>
  <c r="C22" i="44"/>
  <c r="C25" i="44" s="1"/>
  <c r="C23" i="15"/>
  <c r="C29" i="15" s="1"/>
  <c r="U7" i="33"/>
  <c r="AB7" i="33"/>
  <c r="T48" i="33" s="1"/>
  <c r="G48" i="33" s="1"/>
  <c r="AC7" i="33"/>
  <c r="V48" i="33" s="1"/>
  <c r="I48" i="33" s="1"/>
  <c r="W7" i="33"/>
  <c r="J7" i="34"/>
  <c r="F7" i="33"/>
  <c r="E52" i="21"/>
  <c r="F52" i="21" s="1"/>
  <c r="E53" i="21"/>
  <c r="F53" i="21" s="1"/>
  <c r="U7" i="34"/>
  <c r="AB7" i="34"/>
  <c r="T49" i="34" s="1"/>
  <c r="G49" i="34" s="1"/>
  <c r="C49" i="21"/>
  <c r="B3" i="21" s="1"/>
  <c r="B2" i="21" s="1"/>
  <c r="C10" i="12" s="1"/>
  <c r="C48" i="21"/>
  <c r="C8" i="12" s="1"/>
  <c r="F7" i="34"/>
  <c r="B3" i="67"/>
  <c r="B4" i="67"/>
  <c r="C9" i="59" l="1"/>
  <c r="D10" i="59"/>
  <c r="K65" i="40"/>
  <c r="J67" i="40"/>
  <c r="K70" i="39"/>
  <c r="J72" i="39"/>
  <c r="C28" i="44"/>
  <c r="C31" i="44" s="1"/>
  <c r="C15" i="44" s="1"/>
  <c r="Q50" i="15"/>
  <c r="J14" i="15"/>
  <c r="J59" i="15"/>
  <c r="J60" i="15" s="1"/>
  <c r="C36" i="15"/>
  <c r="J19" i="15"/>
  <c r="J17" i="15" s="1"/>
  <c r="C13" i="15"/>
  <c r="C33" i="15"/>
  <c r="C31" i="15" s="1"/>
  <c r="C56" i="15"/>
  <c r="G53" i="34"/>
  <c r="H53" i="34" s="1"/>
  <c r="S7" i="33"/>
  <c r="AA7" i="33"/>
  <c r="R48" i="33" s="1"/>
  <c r="AC7" i="34"/>
  <c r="V49" i="34" s="1"/>
  <c r="I49" i="34" s="1"/>
  <c r="W7" i="34"/>
  <c r="G52" i="33"/>
  <c r="H52" i="33" s="1"/>
  <c r="G53" i="33"/>
  <c r="H53" i="33" s="1"/>
  <c r="AA7" i="34"/>
  <c r="R49" i="34" s="1"/>
  <c r="S7" i="34"/>
  <c r="I52" i="33"/>
  <c r="J52" i="33" s="1"/>
  <c r="C8" i="59" l="1"/>
  <c r="D9" i="59"/>
  <c r="L70" i="39"/>
  <c r="K72" i="39"/>
  <c r="K67" i="40"/>
  <c r="L65" i="40"/>
  <c r="J16" i="44"/>
  <c r="J24" i="44" s="1"/>
  <c r="J21" i="44"/>
  <c r="J19" i="44" s="1"/>
  <c r="C35" i="44"/>
  <c r="C33" i="44" s="1"/>
  <c r="C38" i="44"/>
  <c r="Q51" i="44"/>
  <c r="C39" i="44"/>
  <c r="Q72" i="44"/>
  <c r="C43" i="44"/>
  <c r="Q49" i="15"/>
  <c r="C60" i="15"/>
  <c r="C58" i="15" s="1"/>
  <c r="C63" i="15"/>
  <c r="C37" i="15"/>
  <c r="C30" i="15" s="1"/>
  <c r="C39" i="15" s="1"/>
  <c r="J35" i="15"/>
  <c r="Q71" i="15"/>
  <c r="C55" i="15"/>
  <c r="C64" i="15" s="1"/>
  <c r="J22" i="15"/>
  <c r="J13" i="15"/>
  <c r="J23" i="15" s="1"/>
  <c r="I53" i="34"/>
  <c r="J53" i="34" s="1"/>
  <c r="G54" i="34"/>
  <c r="H54" i="34" s="1"/>
  <c r="R50" i="34"/>
  <c r="E49" i="34"/>
  <c r="I54" i="34" s="1"/>
  <c r="J54" i="34" s="1"/>
  <c r="R49" i="33"/>
  <c r="E48" i="33"/>
  <c r="L51" i="15"/>
  <c r="C7" i="59" l="1"/>
  <c r="T8" i="59"/>
  <c r="D8" i="59"/>
  <c r="M65" i="40"/>
  <c r="L67" i="40"/>
  <c r="M70" i="39"/>
  <c r="L72" i="39"/>
  <c r="J15" i="44"/>
  <c r="J25" i="44" s="1"/>
  <c r="J18" i="44" s="1"/>
  <c r="J27" i="44" s="1"/>
  <c r="C32" i="44"/>
  <c r="C42" i="44" s="1"/>
  <c r="Q71" i="44" s="1"/>
  <c r="Q70" i="44" s="1"/>
  <c r="J16" i="15"/>
  <c r="J25" i="15" s="1"/>
  <c r="L57" i="15"/>
  <c r="L60" i="15" s="1"/>
  <c r="Q58" i="15" s="1"/>
  <c r="Q68" i="15"/>
  <c r="Q70" i="15"/>
  <c r="Q69" i="15" s="1"/>
  <c r="C40" i="15"/>
  <c r="C57" i="15"/>
  <c r="C66" i="15" s="1"/>
  <c r="C67" i="15" s="1"/>
  <c r="J39" i="15"/>
  <c r="J40" i="15" s="1"/>
  <c r="E53" i="33"/>
  <c r="F53" i="33" s="1"/>
  <c r="E52" i="33"/>
  <c r="F52" i="33" s="1"/>
  <c r="I53" i="33"/>
  <c r="J53" i="33" s="1"/>
  <c r="E54" i="34"/>
  <c r="F54" i="34" s="1"/>
  <c r="E53" i="34"/>
  <c r="F53" i="34" s="1"/>
  <c r="C48" i="33"/>
  <c r="C49" i="33"/>
  <c r="B3" i="33" s="1"/>
  <c r="B2" i="33" s="1"/>
  <c r="C50" i="34"/>
  <c r="B3" i="34" s="1"/>
  <c r="B2" i="34" s="1"/>
  <c r="C49" i="34"/>
  <c r="C6" i="59" l="1"/>
  <c r="D7" i="59"/>
  <c r="N70" i="39"/>
  <c r="N72" i="39" s="1"/>
  <c r="M72" i="39"/>
  <c r="J9" i="39" s="1"/>
  <c r="H9" i="39"/>
  <c r="M67" i="40"/>
  <c r="N65" i="40"/>
  <c r="N67" i="40" s="1"/>
  <c r="F9" i="40" s="1"/>
  <c r="Q67" i="15"/>
  <c r="L46" i="15"/>
  <c r="B2" i="15" s="1"/>
  <c r="C44" i="44"/>
  <c r="C45" i="44" s="1"/>
  <c r="B2" i="44" s="1"/>
  <c r="C70" i="15"/>
  <c r="C46" i="15"/>
  <c r="Q57" i="15"/>
  <c r="Q63" i="15" s="1"/>
  <c r="Q48" i="15"/>
  <c r="Q54" i="15" s="1"/>
  <c r="Q66" i="15"/>
  <c r="C43" i="15"/>
  <c r="J42" i="15"/>
  <c r="J43" i="15" s="1"/>
  <c r="C5" i="59" l="1"/>
  <c r="D6" i="59"/>
  <c r="AC9" i="39"/>
  <c r="V49" i="39" s="1"/>
  <c r="I49" i="39" s="1"/>
  <c r="W9" i="39"/>
  <c r="U9" i="39"/>
  <c r="AB9" i="39"/>
  <c r="T49" i="39" s="1"/>
  <c r="G49" i="39" s="1"/>
  <c r="G53" i="39" s="1"/>
  <c r="H53" i="39" s="1"/>
  <c r="F9" i="39"/>
  <c r="S9" i="40"/>
  <c r="AA9" i="40"/>
  <c r="R44" i="40" s="1"/>
  <c r="H9" i="40"/>
  <c r="J9" i="40"/>
  <c r="B3" i="15"/>
  <c r="D8" i="12" s="1"/>
  <c r="D10" i="12"/>
  <c r="C6" i="12" s="1"/>
  <c r="L7" i="12" s="1"/>
  <c r="Q76" i="15"/>
  <c r="L52" i="44"/>
  <c r="L58" i="44" s="1"/>
  <c r="L61" i="44" s="1"/>
  <c r="B3" i="44"/>
  <c r="B5" i="44"/>
  <c r="B4" i="44"/>
  <c r="D5" i="59" l="1"/>
  <c r="M20" i="46"/>
  <c r="AB9" i="40"/>
  <c r="T44" i="40" s="1"/>
  <c r="G44" i="40" s="1"/>
  <c r="U9" i="40"/>
  <c r="AC9" i="40"/>
  <c r="V44" i="40" s="1"/>
  <c r="I44" i="40" s="1"/>
  <c r="W9" i="40"/>
  <c r="E44" i="40"/>
  <c r="R45" i="40"/>
  <c r="S9" i="39"/>
  <c r="AA9" i="39"/>
  <c r="R49" i="39" s="1"/>
  <c r="G54" i="39"/>
  <c r="H54" i="39" s="1"/>
  <c r="I53" i="39"/>
  <c r="J53" i="39" s="1"/>
  <c r="C29" i="12"/>
  <c r="C24" i="12"/>
  <c r="Q69" i="44"/>
  <c r="Q68" i="44"/>
  <c r="Q77" i="44" s="1"/>
  <c r="Q59" i="44"/>
  <c r="Q64" i="44" s="1"/>
  <c r="E49" i="39" l="1"/>
  <c r="R50" i="39"/>
  <c r="C44" i="40"/>
  <c r="C45" i="40"/>
  <c r="E48" i="40"/>
  <c r="F48" i="40" s="1"/>
  <c r="E49" i="40"/>
  <c r="F49" i="40" s="1"/>
  <c r="I48" i="40"/>
  <c r="J48" i="40" s="1"/>
  <c r="I49" i="40"/>
  <c r="J49" i="40" s="1"/>
  <c r="G49" i="40"/>
  <c r="H49" i="40" s="1"/>
  <c r="G48" i="40"/>
  <c r="H48" i="40" s="1"/>
  <c r="C35" i="12"/>
  <c r="C33" i="12" s="1"/>
  <c r="C28" i="12"/>
  <c r="C26" i="12" s="1"/>
  <c r="C31" i="12" s="1"/>
  <c r="C30" i="12" s="1"/>
  <c r="B57" i="40" l="1"/>
  <c r="F57" i="40" s="1"/>
  <c r="B58" i="40"/>
  <c r="F58" i="40" s="1"/>
  <c r="B53" i="40"/>
  <c r="F53" i="40" s="1"/>
  <c r="B61" i="40"/>
  <c r="F61" i="40" s="1"/>
  <c r="B59" i="40"/>
  <c r="F59" i="40" s="1"/>
  <c r="B55" i="40"/>
  <c r="F55" i="40" s="1"/>
  <c r="B62" i="40"/>
  <c r="F62" i="40" s="1"/>
  <c r="B56" i="40"/>
  <c r="F56" i="40" s="1"/>
  <c r="B54" i="40"/>
  <c r="F54" i="40" s="1"/>
  <c r="F63" i="40"/>
  <c r="B2" i="40" s="1"/>
  <c r="B60" i="40"/>
  <c r="F60" i="40" s="1"/>
  <c r="C50" i="39"/>
  <c r="C49" i="39"/>
  <c r="E54" i="39"/>
  <c r="F54" i="39" s="1"/>
  <c r="E53" i="39"/>
  <c r="F53" i="39" s="1"/>
  <c r="I54" i="39"/>
  <c r="J54" i="39" s="1"/>
  <c r="C36" i="12"/>
  <c r="B2" i="12" s="1"/>
  <c r="D19" i="9"/>
  <c r="B67" i="39" l="1"/>
  <c r="F67" i="39" s="1"/>
  <c r="B64" i="39"/>
  <c r="F64" i="39" s="1"/>
  <c r="B60" i="39"/>
  <c r="F60" i="39" s="1"/>
  <c r="B63" i="39"/>
  <c r="F63" i="39" s="1"/>
  <c r="B62" i="39"/>
  <c r="F62" i="39" s="1"/>
  <c r="B65" i="39"/>
  <c r="F65" i="39" s="1"/>
  <c r="B61" i="39"/>
  <c r="F61" i="39" s="1"/>
  <c r="B59" i="39"/>
  <c r="F59" i="39" s="1"/>
  <c r="B66" i="39"/>
  <c r="F66" i="39" s="1"/>
  <c r="B58" i="39"/>
  <c r="F58" i="39" s="1"/>
  <c r="B5" i="40"/>
  <c r="B4" i="40"/>
  <c r="B3" i="40"/>
  <c r="L44" i="9"/>
  <c r="B3" i="12"/>
  <c r="B4" i="12"/>
  <c r="B5" i="12"/>
  <c r="D21" i="9"/>
  <c r="D20" i="9"/>
  <c r="F68" i="39" l="1"/>
  <c r="B2" i="39" s="1"/>
  <c r="C19" i="9"/>
  <c r="L43" i="9" l="1"/>
  <c r="D22" i="9"/>
  <c r="G19" i="9"/>
  <c r="B27" i="9" s="1"/>
  <c r="B5" i="39"/>
  <c r="B3" i="39"/>
  <c r="B4" i="39"/>
  <c r="C20" i="9"/>
  <c r="C21" i="9"/>
  <c r="G20" i="9" l="1"/>
  <c r="G21" i="9"/>
  <c r="C32" i="9"/>
  <c r="N43" i="9"/>
  <c r="G22" i="9"/>
  <c r="O43" i="9" l="1"/>
  <c r="C34" i="9"/>
  <c r="C42" i="9"/>
  <c r="C33" i="9"/>
  <c r="O38" i="9"/>
  <c r="C35" i="9"/>
  <c r="F42" i="9" s="1"/>
  <c r="R24" i="31" l="1"/>
  <c r="D42" i="9"/>
  <c r="Q5" i="54" s="1"/>
  <c r="B47" i="63" s="1"/>
  <c r="N38" i="9"/>
  <c r="K28" i="9" s="1"/>
  <c r="M38" i="9"/>
  <c r="K27" i="9" s="1"/>
  <c r="E42" i="9"/>
  <c r="P5" i="54" s="1"/>
  <c r="B46" i="63" s="1"/>
  <c r="K26" i="9"/>
  <c r="K25" i="9"/>
  <c r="R5" i="54"/>
  <c r="B48" i="63" s="1"/>
  <c r="C44" i="9"/>
  <c r="D14" i="66"/>
  <c r="D63" i="9"/>
  <c r="N68" i="9"/>
  <c r="E14" i="66" l="1"/>
  <c r="F14" i="66"/>
  <c r="C111" i="9"/>
  <c r="C104" i="9" s="1"/>
  <c r="D70" i="9"/>
  <c r="D73" i="9"/>
  <c r="N73" i="9" s="1"/>
  <c r="C103" i="9"/>
  <c r="C82" i="9"/>
  <c r="C81" i="9" s="1"/>
  <c r="C85" i="9" s="1"/>
  <c r="C86" i="9" s="1"/>
  <c r="D72" i="9" s="1"/>
  <c r="D71" i="9"/>
  <c r="D66" i="9" s="1"/>
  <c r="N72" i="9" s="1"/>
  <c r="C96" i="9"/>
  <c r="C91" i="9" s="1"/>
  <c r="C90" i="9"/>
  <c r="N69" i="9"/>
  <c r="F44" i="9"/>
  <c r="O39" i="9"/>
  <c r="G14" i="66"/>
  <c r="D44" i="9"/>
  <c r="E44" i="9"/>
  <c r="S24" i="31"/>
  <c r="R26" i="31"/>
  <c r="S26" i="31" s="1"/>
  <c r="R25" i="31"/>
  <c r="S25" i="31" s="1"/>
  <c r="K29" i="9" l="1"/>
  <c r="K30" i="9" s="1"/>
  <c r="R6" i="54"/>
  <c r="B50" i="63" s="1"/>
  <c r="M83" i="9"/>
  <c r="N83" i="9" s="1"/>
  <c r="M88" i="9"/>
  <c r="N88" i="9" s="1"/>
  <c r="M87" i="9"/>
  <c r="N87" i="9" s="1"/>
  <c r="M84" i="9"/>
  <c r="N84" i="9" s="1"/>
  <c r="M86" i="9"/>
  <c r="N86" i="9" s="1"/>
  <c r="M85" i="9"/>
  <c r="N85" i="9" s="1"/>
  <c r="C97" i="9"/>
  <c r="C113" i="9"/>
  <c r="S22" i="31"/>
  <c r="R22" i="31" l="1"/>
  <c r="B21" i="31" s="1"/>
  <c r="B20" i="31"/>
  <c r="C98" i="9"/>
  <c r="E98" i="9" s="1"/>
  <c r="E99" i="9" s="1"/>
  <c r="N89" i="9"/>
  <c r="O89" i="9" s="1"/>
  <c r="C114" i="9"/>
  <c r="E114" i="9" s="1"/>
  <c r="E115" i="9" s="1"/>
  <c r="C115" i="9" l="1"/>
  <c r="D76" i="9" s="1"/>
  <c r="D74" i="9" s="1"/>
  <c r="N74" i="9" s="1"/>
  <c r="O77" i="9" s="1"/>
  <c r="O78" i="9" s="1"/>
  <c r="C99" i="9"/>
  <c r="Q77" i="9" l="1"/>
  <c r="O79" i="9"/>
  <c r="B28" i="9" s="1"/>
  <c r="Q80" i="9" l="1"/>
  <c r="O80" i="9"/>
  <c r="C46" i="9"/>
  <c r="O81" i="9"/>
  <c r="K33" i="9" l="1"/>
  <c r="O41" i="9"/>
  <c r="R8" i="54" s="1"/>
  <c r="B54" i="63" s="1"/>
  <c r="I14" i="66"/>
  <c r="D46" i="9"/>
  <c r="F46" i="9"/>
  <c r="E46" i="9"/>
  <c r="K34" i="9" l="1"/>
  <c r="D15" i="66" l="1"/>
  <c r="F15" i="66" l="1"/>
  <c r="E15" i="66"/>
  <c r="G15" i="66"/>
  <c r="I15" i="66" l="1"/>
  <c r="B1" i="66" l="1"/>
  <c r="C7" i="66" l="1"/>
  <c r="F16" i="66" l="1"/>
  <c r="E16" i="66"/>
  <c r="D17" i="66" l="1"/>
  <c r="E17" i="66" l="1"/>
  <c r="F17" i="66"/>
  <c r="B5" i="66"/>
  <c r="G17" i="66"/>
  <c r="B6" i="66" s="1"/>
  <c r="D6" i="66" l="1"/>
  <c r="C6" i="66"/>
  <c r="D5" i="66"/>
  <c r="C5" i="66"/>
  <c r="I17"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<sst xmlns="http://schemas.openxmlformats.org/spreadsheetml/2006/main" count="7958" uniqueCount="3368">
  <si>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</si>
  <si>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</si>
  <si>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</si>
  <si>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</si>
  <si>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</si>
  <si>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</si>
  <si>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</si>
  <si>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</si>
  <si>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</si>
  <si>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</si>
  <si>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</si>
  <si>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</si>
  <si>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</si>
  <si>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</si>
  <si>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</si>
  <si>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</si>
  <si>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</si>
  <si>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</si>
  <si>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</si>
  <si>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</si>
  <si>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</si>
  <si>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</si>
  <si>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</si>
  <si>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</si>
  <si>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</si>
  <si>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</si>
  <si>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</si>
  <si>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</si>
  <si>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</si>
  <si>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</si>
  <si>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</si>
  <si>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</si>
  <si>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</si>
  <si>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</si>
  <si>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</si>
  <si>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</si>
  <si>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</si>
  <si>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</si>
  <si>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</si>
  <si>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</si>
  <si>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</si>
  <si>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</si>
  <si>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</si>
  <si>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</si>
  <si>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</si>
  <si>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</si>
  <si>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</si>
  <si>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</si>
  <si>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</si>
  <si>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</si>
  <si>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</si>
  <si>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</si>
  <si>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</si>
  <si>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</si>
  <si>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</si>
  <si>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</si>
  <si>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</si>
  <si>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</si>
  <si>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</si>
  <si>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</si>
  <si>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</si>
  <si>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</si>
  <si>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</si>
  <si>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</si>
  <si>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</si>
  <si>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</si>
  <si>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</si>
  <si>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</si>
  <si>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</si>
  <si>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</si>
  <si>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</si>
  <si>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</si>
  <si>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</si>
  <si>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</si>
  <si>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</si>
  <si>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</si>
  <si>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</si>
  <si>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</si>
  <si>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</si>
  <si>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</si>
  <si>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</si>
  <si>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</si>
  <si>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</si>
  <si>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</si>
  <si>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</si>
  <si>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</si>
  <si>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</si>
  <si>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</si>
  <si>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</si>
  <si>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</si>
  <si>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</si>
  <si>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</si>
  <si>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</si>
  <si>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</si>
  <si>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</si>
  <si>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</si>
  <si>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</si>
  <si>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</si>
  <si>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</si>
  <si>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</si>
  <si>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</si>
  <si>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</si>
  <si>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</si>
  <si>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</si>
  <si>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</si>
  <si>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</si>
  <si>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</si>
  <si>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</si>
  <si>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</si>
  <si>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</si>
  <si>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</si>
  <si>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</si>
  <si>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</si>
  <si>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</si>
  <si>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</si>
  <si>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</si>
  <si>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</si>
  <si>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</si>
  <si>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</si>
  <si>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</si>
  <si>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</si>
  <si>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</si>
  <si>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</si>
  <si>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</si>
  <si>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</si>
  <si>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</si>
  <si>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</si>
  <si>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</si>
  <si>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</si>
  <si>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</si>
  <si>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</si>
  <si>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</si>
  <si>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</si>
  <si>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</si>
  <si>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</si>
  <si>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</si>
  <si>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</si>
  <si>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</si>
  <si>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</si>
  <si>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</si>
  <si>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</si>
  <si>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</si>
  <si>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</si>
  <si>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</si>
  <si>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</si>
  <si>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</si>
  <si>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</si>
  <si>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</si>
  <si>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</si>
  <si>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</si>
  <si>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</si>
  <si>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</si>
  <si>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</si>
  <si>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</si>
  <si>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</si>
  <si>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</si>
  <si>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</si>
  <si>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</si>
  <si>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</si>
  <si>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</si>
  <si>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</si>
  <si>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</si>
  <si>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</si>
  <si>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</si>
  <si>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</si>
  <si>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</si>
  <si>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</si>
  <si>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</si>
  <si>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</si>
  <si>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</si>
  <si>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</si>
  <si>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</si>
  <si>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</si>
  <si>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</si>
  <si>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</si>
  <si>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</si>
  <si>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</si>
  <si>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</si>
  <si>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</si>
  <si>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</si>
  <si>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</si>
  <si>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</si>
  <si>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</si>
  <si>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</si>
  <si>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</si>
  <si>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</si>
  <si>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</si>
  <si>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</si>
  <si>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</si>
  <si>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</si>
  <si>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</si>
  <si>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</si>
  <si>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</si>
  <si>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</si>
  <si>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</si>
  <si>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</si>
  <si>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</si>
  <si>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</si>
  <si>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</si>
  <si>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</si>
  <si>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</si>
  <si>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</si>
  <si>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</si>
  <si>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</si>
  <si>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</si>
  <si>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</si>
  <si>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</si>
  <si>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</si>
  <si>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</si>
  <si>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</si>
  <si>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</si>
  <si>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</si>
  <si>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</si>
  <si>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</si>
  <si>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</si>
  <si>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</si>
  <si>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</si>
  <si>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</si>
  <si>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</si>
  <si>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</si>
  <si>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</si>
  <si>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</si>
  <si>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</si>
  <si>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</si>
  <si>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</si>
  <si>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</si>
  <si>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</si>
  <si>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</si>
  <si>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</si>
  <si>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</si>
  <si>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</si>
  <si>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</si>
  <si>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</si>
  <si>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</si>
  <si>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</si>
  <si>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</si>
  <si>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</si>
  <si>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</si>
  <si>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</si>
  <si>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</si>
  <si>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</si>
  <si>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</si>
  <si>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</si>
  <si>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</si>
  <si>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</si>
  <si>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</si>
  <si>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</si>
  <si>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</si>
  <si>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</si>
  <si>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</si>
  <si>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</si>
  <si>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</si>
  <si>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</si>
  <si>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</si>
  <si>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</si>
  <si>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</si>
  <si>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</si>
  <si>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</si>
  <si>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</si>
  <si>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</si>
  <si>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</si>
  <si>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</si>
  <si>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</si>
  <si>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</si>
  <si>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</si>
  <si>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</si>
  <si>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</si>
  <si>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</si>
  <si>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</si>
  <si>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</si>
  <si>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</si>
  <si>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</si>
  <si>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</si>
  <si>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</si>
  <si>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</si>
  <si>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</si>
  <si>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</si>
  <si>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</si>
  <si>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</si>
  <si>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</si>
  <si>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</si>
  <si>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</si>
  <si>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</si>
  <si>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</si>
  <si>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</si>
  <si>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</si>
  <si>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</si>
  <si>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</si>
  <si>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</si>
  <si>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</si>
  <si>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</si>
  <si>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</si>
  <si>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</si>
  <si>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</si>
  <si>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</si>
  <si>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</si>
  <si>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</si>
  <si>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</si>
  <si>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</si>
  <si>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</si>
  <si>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</si>
  <si>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</si>
  <si>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</si>
  <si>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</si>
  <si>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</si>
  <si>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</si>
  <si>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</si>
  <si>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</si>
  <si>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</si>
  <si>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</si>
  <si>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</si>
  <si>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</si>
  <si>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</si>
  <si>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</si>
  <si>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</si>
  <si>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</si>
  <si>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</si>
  <si>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</si>
  <si>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</si>
  <si>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</si>
  <si>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</si>
  <si>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</si>
  <si>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</si>
  <si>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</si>
  <si>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</si>
  <si>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</si>
  <si>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</si>
  <si>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</si>
  <si>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</si>
  <si>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</si>
  <si>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</si>
  <si>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</si>
  <si>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</si>
  <si>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</si>
  <si>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</si>
  <si>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</si>
  <si>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</si>
  <si>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</si>
  <si>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</si>
  <si>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</si>
  <si>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</si>
  <si>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</si>
  <si>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</si>
  <si>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</si>
  <si>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</si>
  <si>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</si>
  <si>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</si>
  <si>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</si>
  <si>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</si>
  <si>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</si>
  <si>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</si>
  <si>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</si>
  <si>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</si>
  <si>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</si>
  <si>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</si>
  <si>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</si>
  <si>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</si>
  <si>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</si>
  <si>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</si>
  <si>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</si>
  <si>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</si>
  <si>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</si>
  <si>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</si>
  <si>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</si>
  <si>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</si>
  <si>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</si>
  <si>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</si>
  <si>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</si>
  <si>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</si>
  <si>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</si>
  <si>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</si>
  <si>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</si>
  <si>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</si>
  <si>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</si>
  <si>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</si>
  <si>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</si>
  <si>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</si>
  <si>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</si>
  <si>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</si>
  <si>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</si>
  <si>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</si>
  <si>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</si>
  <si>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</si>
  <si>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</si>
  <si>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</si>
  <si>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</si>
  <si>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</si>
  <si>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</si>
  <si>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</si>
  <si>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</si>
  <si>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</si>
  <si>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</si>
  <si>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</si>
  <si>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</si>
  <si>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</si>
  <si>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</si>
  <si>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</si>
  <si>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</si>
  <si>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</si>
  <si>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</si>
  <si>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</si>
  <si>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</si>
  <si>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</si>
  <si>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</si>
  <si>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</si>
  <si>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</si>
  <si>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</si>
  <si>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</si>
  <si>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</si>
  <si>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</si>
  <si>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</si>
  <si>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</si>
  <si>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</si>
  <si>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</si>
  <si>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</si>
  <si>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</si>
  <si>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</si>
  <si>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</si>
  <si>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</si>
  <si>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</si>
  <si>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</si>
  <si>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</si>
  <si>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</si>
  <si>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</si>
  <si>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</si>
  <si>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</si>
  <si>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</si>
  <si>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</si>
  <si>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</si>
  <si>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</si>
  <si>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</si>
  <si>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</si>
  <si>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</si>
  <si>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</si>
  <si>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</si>
  <si>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</si>
  <si>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</si>
  <si>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</si>
  <si>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</si>
  <si>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</si>
  <si>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</si>
  <si>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</si>
  <si>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</si>
  <si>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</si>
  <si>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</si>
  <si>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</si>
  <si>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</si>
  <si>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</si>
  <si>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</si>
  <si>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</si>
  <si>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</si>
  <si>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</si>
  <si>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</si>
  <si>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</si>
  <si>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</si>
  <si>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</si>
  <si>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</si>
  <si>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</si>
  <si>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</si>
  <si>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</si>
  <si>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</si>
  <si>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</si>
  <si>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</si>
  <si>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</si>
  <si>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</si>
  <si>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</si>
  <si>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</si>
  <si>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</si>
  <si>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</si>
  <si>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</si>
  <si>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</si>
  <si>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</si>
  <si>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</si>
  <si>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</si>
  <si>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</si>
  <si>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</si>
  <si>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</si>
  <si>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</si>
  <si>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</si>
  <si>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</si>
  <si>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</si>
  <si>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</si>
  <si>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</si>
  <si>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</si>
  <si>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</si>
  <si>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</si>
  <si>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</si>
  <si>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</si>
  <si>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</si>
  <si>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</si>
  <si>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</si>
  <si>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</si>
  <si>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</si>
  <si>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</si>
  <si>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</si>
  <si>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</si>
  <si>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</si>
  <si>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</si>
  <si>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</si>
  <si>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</si>
  <si>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</si>
  <si>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</si>
  <si>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</si>
  <si>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</si>
  <si>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</si>
  <si>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</si>
  <si>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</si>
  <si>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</si>
  <si>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</si>
  <si>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</si>
  <si>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</si>
  <si>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</si>
  <si>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</si>
  <si>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</si>
  <si>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</si>
  <si>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</si>
  <si>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</si>
  <si>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</si>
  <si>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</si>
  <si>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</si>
  <si>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</si>
  <si>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</si>
  <si>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</si>
  <si>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</si>
  <si>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</si>
  <si>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</si>
  <si>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</si>
  <si>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</si>
  <si>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</si>
  <si>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</si>
  <si>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</si>
  <si>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</si>
  <si>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</si>
  <si>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</si>
  <si>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</si>
  <si>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</si>
  <si>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</si>
  <si>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</si>
  <si>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</si>
  <si>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</si>
  <si>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</si>
  <si>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</si>
  <si>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</si>
  <si>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</si>
  <si>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</si>
  <si>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</si>
  <si>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</si>
  <si>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</si>
  <si>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</si>
  <si>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</si>
  <si>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</si>
  <si>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</si>
  <si>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</si>
  <si>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</si>
  <si>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</si>
  <si>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</si>
  <si>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</si>
  <si>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</si>
  <si>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</si>
  <si>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</si>
  <si>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</si>
  <si>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</si>
  <si>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</si>
  <si>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</si>
  <si>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</si>
  <si>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</si>
  <si>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</si>
  <si>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</si>
  <si>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</si>
  <si>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</si>
  <si>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</si>
  <si>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</si>
  <si>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</si>
  <si>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</si>
  <si>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</si>
  <si>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</si>
  <si>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</si>
  <si>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</si>
  <si>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</si>
  <si>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</si>
  <si>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</si>
  <si>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</si>
  <si>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</si>
  <si>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</si>
  <si>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</si>
  <si>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</si>
  <si>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</si>
  <si>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</si>
  <si>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</si>
  <si>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</si>
  <si>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</si>
  <si>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</si>
  <si>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</si>
  <si>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</si>
  <si>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</si>
  <si>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</si>
  <si>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</si>
  <si>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</si>
  <si>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</si>
  <si>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</si>
  <si>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</si>
  <si>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</si>
  <si>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</si>
  <si>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</si>
  <si>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</si>
  <si>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</si>
  <si>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</si>
  <si>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</si>
  <si>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</si>
  <si>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</si>
  <si>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</si>
  <si>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</si>
  <si>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</si>
  <si>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</si>
  <si>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</si>
  <si>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</si>
  <si>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</si>
  <si>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</si>
  <si>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</si>
  <si>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</si>
  <si>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</si>
  <si>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</si>
  <si>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</si>
  <si>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</si>
  <si>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</si>
  <si>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</si>
  <si>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</si>
  <si>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</si>
  <si>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</si>
  <si>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</si>
  <si>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</si>
  <si>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</si>
  <si>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</si>
  <si>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</si>
  <si>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</si>
  <si>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</si>
  <si>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</si>
  <si>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</si>
  <si>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</si>
  <si>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</si>
  <si>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</si>
  <si>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</si>
  <si>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</si>
  <si>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</si>
  <si>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</si>
  <si>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</si>
  <si>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</si>
  <si>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</si>
  <si>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</si>
  <si>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</si>
  <si>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</si>
  <si>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</si>
  <si>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</si>
  <si>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</si>
  <si>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</si>
  <si>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</si>
  <si>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</si>
  <si>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</si>
  <si>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</si>
  <si>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</si>
  <si>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</si>
  <si>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</si>
  <si>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</si>
  <si>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</si>
  <si>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</si>
  <si>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</si>
  <si>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</si>
  <si>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</si>
  <si>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</si>
  <si>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</si>
  <si>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</si>
  <si>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</si>
  <si>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</si>
  <si>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</si>
  <si>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</si>
  <si>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</si>
  <si>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</si>
  <si>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</si>
  <si>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</si>
  <si>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</si>
  <si>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</si>
  <si>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</si>
  <si>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</si>
  <si>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</si>
  <si>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</si>
  <si>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</si>
  <si>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</si>
  <si>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</si>
  <si>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</si>
  <si>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</si>
  <si>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</si>
  <si>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</si>
  <si>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</si>
  <si>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</si>
  <si>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</si>
  <si>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</si>
  <si>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</si>
  <si>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</si>
  <si>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</si>
  <si>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</si>
  <si>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</si>
  <si>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</si>
  <si>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</si>
  <si>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</si>
  <si>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</si>
  <si>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</si>
  <si>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</si>
  <si>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</si>
  <si>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</si>
  <si>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</si>
  <si>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</si>
  <si>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</si>
  <si>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</si>
  <si>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</si>
  <si>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</si>
  <si>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</si>
  <si>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</si>
  <si>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</si>
  <si>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</si>
  <si>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</si>
  <si>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</si>
  <si>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</si>
  <si>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</si>
  <si>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</si>
  <si>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</si>
  <si>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</si>
  <si>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</si>
  <si>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</si>
  <si>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</si>
  <si>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</si>
  <si>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</si>
  <si>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</si>
  <si>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</si>
  <si>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</si>
  <si>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</si>
  <si>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</si>
  <si>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</si>
  <si>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</si>
  <si>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</si>
  <si>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</si>
  <si>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</si>
  <si>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</si>
  <si>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</si>
  <si>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</si>
  <si>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</si>
  <si>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</si>
  <si>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</si>
  <si>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</si>
  <si>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</si>
  <si>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</si>
  <si>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</si>
  <si>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</si>
  <si>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</si>
  <si>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</si>
  <si>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</si>
  <si>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</si>
  <si>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</si>
  <si>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</si>
  <si>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</si>
  <si>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</si>
  <si>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</si>
  <si>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</si>
  <si>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</si>
  <si>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</si>
  <si>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</si>
  <si>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</si>
  <si>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</si>
  <si>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</si>
  <si>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</si>
  <si>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</si>
  <si>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</si>
  <si>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</si>
  <si>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</si>
  <si>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</si>
  <si>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</si>
  <si>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</si>
  <si>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</si>
  <si>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</si>
  <si>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</si>
  <si>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</si>
  <si>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</si>
  <si>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</si>
  <si>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</si>
  <si>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</si>
  <si>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</si>
  <si>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</si>
  <si>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</si>
  <si>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</si>
  <si>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</si>
  <si>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</si>
  <si>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</si>
  <si>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</si>
  <si>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</si>
  <si>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</si>
  <si>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</si>
  <si>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</si>
  <si>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</si>
  <si>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</si>
  <si>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</si>
  <si>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</si>
  <si>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</si>
  <si>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</si>
  <si>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</si>
  <si>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</si>
  <si>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</si>
  <si>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</si>
  <si>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</si>
  <si>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</si>
  <si>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</si>
  <si>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</si>
  <si>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</si>
  <si>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</si>
  <si>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</si>
  <si>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</si>
  <si>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</si>
  <si>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</si>
  <si>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</si>
  <si>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</si>
  <si>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</si>
  <si>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</si>
  <si>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</si>
  <si>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</si>
  <si>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</si>
  <si>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</si>
  <si>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</si>
  <si>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</si>
  <si>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</si>
  <si>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</si>
  <si>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</si>
  <si>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</si>
  <si>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</si>
  <si>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</si>
  <si>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</si>
  <si>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</si>
  <si>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</si>
  <si>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</si>
  <si>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</si>
  <si>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</si>
  <si>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</si>
  <si>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</si>
  <si>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</si>
  <si>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</si>
  <si>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</si>
  <si>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</si>
  <si>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</si>
  <si>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</si>
  <si>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</si>
  <si>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</si>
  <si>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</si>
  <si>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</si>
  <si>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</si>
  <si>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</si>
  <si>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</si>
  <si>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</si>
  <si>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</si>
  <si>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</si>
  <si>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</si>
  <si>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</si>
  <si>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</si>
  <si>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</si>
  <si>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</si>
  <si>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</si>
  <si>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</si>
  <si>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</si>
  <si>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</si>
  <si>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</si>
  <si>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</si>
  <si>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</si>
  <si>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</si>
  <si>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</si>
  <si>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</si>
  <si>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</si>
  <si>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</si>
  <si>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</si>
  <si>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</si>
  <si>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</si>
  <si>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</si>
  <si>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</si>
  <si>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</si>
  <si>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</si>
  <si>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</si>
  <si>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</si>
  <si>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</si>
  <si>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</si>
  <si>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</si>
  <si>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</si>
  <si>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</si>
  <si>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</si>
  <si>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</si>
  <si>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</si>
  <si>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</si>
  <si>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</si>
  <si>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</si>
  <si>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</si>
  <si>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</si>
  <si>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</si>
  <si>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</si>
  <si>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</si>
  <si>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</si>
  <si>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</si>
  <si>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</si>
  <si>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</si>
  <si>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</si>
  <si>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</si>
  <si>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</si>
  <si>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</si>
  <si>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</si>
  <si>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</si>
  <si>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</si>
  <si>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</si>
  <si>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</si>
  <si>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</si>
  <si>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</si>
  <si>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</si>
  <si>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</si>
  <si>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</si>
  <si>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</si>
  <si>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</si>
  <si>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</si>
  <si>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</si>
  <si>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</si>
  <si>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</si>
  <si>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</si>
  <si>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</si>
  <si>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</si>
  <si>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</si>
  <si>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</si>
  <si>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</si>
  <si>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</si>
  <si>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</si>
  <si>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</si>
  <si>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</si>
  <si>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</si>
  <si>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</si>
  <si>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</si>
  <si>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</si>
  <si>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</si>
  <si>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</si>
  <si>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</si>
  <si>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</si>
  <si>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</si>
  <si>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</si>
  <si>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</si>
  <si>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</si>
  <si>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</si>
  <si>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</si>
  <si>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</si>
  <si>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</si>
  <si>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</si>
  <si>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</si>
  <si>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</si>
  <si>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</si>
  <si>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</si>
  <si>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</si>
  <si>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</si>
  <si>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</si>
  <si>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</si>
  <si>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</si>
  <si>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</si>
  <si>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</si>
  <si>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</si>
  <si>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</si>
  <si>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</si>
  <si>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</si>
  <si>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</si>
  <si>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</si>
  <si>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</si>
  <si>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</si>
  <si>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</si>
  <si>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</si>
  <si>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</si>
  <si>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</si>
  <si>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</si>
  <si>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</si>
  <si>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</si>
  <si>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</si>
  <si>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</si>
  <si>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</si>
  <si>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</si>
  <si>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</si>
  <si>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</si>
  <si>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</si>
  <si>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</si>
  <si>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</si>
  <si>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</si>
  <si>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</si>
  <si>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</si>
  <si>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</si>
  <si>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</si>
  <si>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</si>
  <si>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</si>
  <si>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</si>
  <si>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</si>
  <si>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</si>
  <si>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</si>
  <si>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</si>
  <si>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</si>
  <si>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</si>
  <si>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</si>
  <si>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</si>
  <si>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</si>
  <si>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</si>
  <si>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</si>
  <si>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</si>
  <si>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</si>
  <si>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</si>
  <si>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</si>
  <si>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</si>
  <si>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</si>
  <si>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</si>
  <si>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</si>
  <si>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</si>
  <si>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</si>
  <si>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</si>
  <si>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</si>
  <si>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</si>
  <si>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</si>
  <si>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</si>
  <si>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</si>
  <si>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</si>
  <si>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</si>
  <si>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</si>
  <si>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</si>
  <si>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</si>
  <si>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</si>
  <si>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</si>
  <si>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</si>
  <si>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</si>
  <si>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</si>
  <si>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</si>
  <si>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</si>
  <si>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</si>
  <si>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</si>
  <si>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</si>
  <si>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</si>
  <si>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</si>
  <si>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</si>
  <si>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</si>
  <si>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</si>
  <si>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</si>
  <si>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</si>
  <si>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</si>
  <si>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</si>
  <si>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</si>
  <si>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</si>
  <si>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</si>
  <si>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</si>
  <si>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</si>
  <si>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</si>
  <si>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</si>
  <si>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</si>
  <si>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</si>
  <si>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</si>
  <si>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</si>
  <si>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</si>
  <si>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</si>
  <si>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</si>
  <si>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</si>
  <si>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</si>
  <si>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</si>
  <si>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</si>
  <si>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</si>
  <si>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</si>
  <si>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</si>
  <si>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</si>
  <si>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</si>
  <si>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</si>
  <si>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</si>
  <si>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</si>
  <si>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</si>
  <si>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</si>
  <si>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</si>
  <si>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</si>
  <si>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</si>
  <si>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</si>
  <si>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</si>
  <si>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</si>
  <si>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</si>
  <si>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</si>
  <si>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</si>
  <si>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</si>
  <si>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</si>
  <si>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</si>
  <si>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</si>
  <si>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</si>
  <si>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</si>
  <si>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</si>
  <si>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</si>
  <si>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</si>
  <si>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</si>
  <si>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</si>
  <si>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</si>
  <si>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</si>
  <si>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</si>
  <si>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</si>
  <si>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</si>
  <si>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</si>
  <si>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</si>
  <si>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</si>
  <si>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</si>
  <si>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</si>
  <si>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</si>
  <si>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</si>
  <si>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</si>
  <si>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</si>
  <si>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</si>
  <si>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</si>
  <si>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</si>
  <si>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</si>
  <si>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</si>
  <si>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</si>
  <si>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</si>
  <si>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</si>
  <si>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</si>
  <si>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</si>
  <si>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</si>
  <si>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</si>
  <si>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</si>
  <si>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</si>
  <si>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</si>
  <si>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</si>
  <si>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</si>
  <si>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</si>
  <si>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</si>
  <si>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</si>
  <si>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</si>
  <si>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</si>
  <si>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</si>
  <si>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</si>
  <si>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</si>
  <si>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</si>
  <si>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</si>
  <si>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</si>
  <si>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</si>
  <si>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</si>
  <si>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</si>
  <si>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</si>
  <si>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</si>
  <si>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</si>
  <si>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</si>
  <si>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</si>
  <si>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</si>
  <si>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</si>
  <si>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</si>
  <si>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</si>
  <si>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</si>
  <si>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</si>
  <si>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</si>
  <si>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</si>
  <si>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</si>
  <si>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</si>
  <si>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</si>
  <si>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</si>
  <si>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</si>
  <si>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</si>
  <si>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</si>
  <si>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</si>
  <si>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</si>
  <si>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</si>
  <si>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</si>
  <si>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</si>
  <si>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</si>
  <si>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</si>
  <si>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</si>
  <si>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</si>
  <si>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</si>
  <si>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</si>
  <si>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</si>
  <si>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</si>
  <si>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</si>
  <si>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</si>
  <si>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</si>
  <si>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</si>
  <si>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</si>
  <si>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</si>
  <si>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</si>
  <si>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</si>
  <si>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</si>
  <si>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</si>
  <si>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</si>
  <si>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</si>
  <si>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</si>
  <si>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</si>
  <si>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</si>
  <si>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</si>
  <si>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</si>
  <si>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</si>
  <si>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</si>
  <si>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</si>
  <si>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</si>
  <si>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</si>
  <si>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</si>
  <si>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</si>
  <si>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</si>
  <si>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</si>
  <si>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</si>
  <si>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</si>
  <si>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</si>
  <si>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</si>
  <si>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</si>
  <si>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</si>
  <si>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</si>
  <si>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</si>
  <si>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</si>
  <si>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</si>
  <si>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</si>
  <si>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</si>
  <si>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</si>
  <si>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</si>
  <si>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</si>
  <si>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</si>
  <si>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</si>
  <si>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</si>
  <si>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</si>
  <si>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</si>
  <si>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</si>
  <si>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</si>
  <si>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</si>
  <si>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</si>
  <si>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</si>
  <si>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</si>
  <si>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</si>
  <si>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</si>
  <si>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</si>
  <si>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</si>
  <si>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</si>
  <si>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</si>
  <si>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</si>
  <si>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</si>
  <si>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</si>
  <si>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</si>
  <si>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</si>
  <si>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</si>
  <si>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</si>
  <si>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</si>
  <si>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</si>
  <si>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</si>
  <si>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</si>
  <si>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</si>
  <si>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</si>
  <si>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</si>
  <si>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</si>
  <si>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</si>
  <si>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</si>
  <si>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</si>
  <si>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</si>
  <si>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</si>
  <si>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</si>
  <si>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</si>
  <si>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</si>
  <si>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</si>
  <si>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</si>
  <si>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</si>
  <si>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</si>
  <si>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</si>
  <si>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</si>
  <si>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</si>
  <si>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</si>
  <si>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</si>
  <si>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</si>
  <si>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</si>
  <si>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</si>
  <si>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</si>
  <si>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</si>
  <si>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</si>
  <si>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</si>
  <si>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</si>
  <si>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</si>
  <si>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</si>
  <si>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</si>
  <si>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</si>
  <si>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</si>
  <si>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</si>
  <si>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</si>
  <si>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</si>
  <si>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</si>
  <si>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</si>
  <si>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</si>
  <si>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</si>
  <si>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</si>
  <si>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</si>
  <si>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</si>
  <si>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</si>
  <si>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</si>
  <si>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</si>
  <si>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</si>
  <si>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</si>
  <si>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</si>
  <si>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</si>
  <si>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</si>
  <si>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</si>
  <si>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</si>
  <si>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</si>
  <si>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</si>
  <si>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</si>
  <si>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</si>
  <si>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</si>
  <si>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</si>
  <si>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</si>
  <si>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</si>
  <si>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</si>
  <si>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</si>
  <si>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</si>
  <si>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</si>
  <si>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</si>
  <si>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</si>
  <si>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</si>
  <si>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</si>
  <si>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</si>
  <si>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</si>
  <si>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</si>
  <si>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</si>
  <si>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</si>
  <si>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</si>
  <si>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</si>
  <si>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</si>
  <si>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</si>
  <si>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</si>
  <si>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</si>
  <si>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</si>
  <si>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</si>
  <si>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</si>
  <si>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</si>
  <si>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</si>
  <si>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</si>
  <si>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</si>
  <si>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</si>
  <si>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</si>
  <si>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</si>
  <si>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</si>
  <si>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</si>
  <si>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</si>
  <si>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</si>
  <si>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</si>
  <si>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</si>
  <si>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</si>
  <si>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</si>
  <si>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</si>
  <si>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</si>
  <si>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</si>
  <si>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</si>
  <si>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</si>
  <si>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</si>
  <si>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</si>
  <si>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</si>
  <si>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</si>
  <si>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</si>
  <si>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</si>
  <si>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</si>
  <si>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</si>
  <si>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</si>
  <si>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</si>
  <si>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</si>
  <si>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</si>
  <si>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</si>
  <si>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</si>
  <si>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</si>
  <si>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</si>
  <si>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</si>
  <si>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</si>
  <si>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</si>
  <si>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</si>
  <si>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</si>
  <si>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</si>
  <si>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</si>
  <si>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</si>
  <si>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</si>
  <si>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</si>
  <si>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</si>
  <si>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</si>
  <si>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</si>
  <si>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</si>
  <si>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</si>
  <si>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</si>
  <si>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</si>
  <si>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</si>
  <si>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</si>
  <si>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</si>
  <si>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</si>
  <si>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</si>
  <si>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</si>
  <si>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</si>
  <si>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</si>
  <si>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</si>
  <si>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</si>
  <si>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</si>
  <si>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</si>
  <si>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</si>
  <si>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</si>
  <si>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</si>
  <si>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</si>
  <si>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</si>
  <si>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</si>
  <si>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</si>
  <si>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</si>
  <si>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</si>
  <si>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</si>
  <si>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</si>
  <si>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</si>
  <si>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</si>
  <si>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</si>
  <si>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</si>
  <si>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</si>
  <si>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</si>
  <si>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</si>
  <si>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</si>
  <si>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</si>
  <si>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</si>
  <si>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</si>
  <si>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</si>
  <si>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</si>
  <si>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</si>
  <si>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</si>
  <si>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</si>
  <si>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</si>
  <si>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</si>
  <si>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</si>
  <si>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</si>
  <si>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</si>
  <si>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</si>
  <si>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</si>
  <si>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</si>
  <si>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</si>
  <si>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</si>
  <si>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</si>
  <si>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</si>
  <si>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</si>
  <si>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</si>
  <si>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</si>
  <si>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</si>
  <si>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</si>
  <si>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</si>
  <si>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</si>
  <si>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</si>
  <si>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</si>
  <si>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</si>
  <si>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</si>
  <si>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</si>
  <si>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</si>
  <si>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</si>
  <si>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</si>
  <si>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</si>
  <si>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</si>
  <si>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</si>
  <si>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</si>
  <si>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</si>
  <si>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</si>
  <si>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</si>
  <si>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</si>
  <si>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</si>
  <si>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</si>
  <si>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</si>
  <si>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</si>
  <si>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</si>
  <si>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</si>
  <si>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</si>
  <si>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</si>
  <si>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</si>
  <si>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</si>
  <si>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</si>
  <si>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</si>
  <si>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</si>
  <si>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</si>
  <si>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</si>
  <si>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</si>
  <si>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</si>
  <si>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</si>
  <si>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</si>
  <si>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</si>
  <si>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</si>
  <si>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</si>
  <si>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</si>
  <si>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</si>
  <si>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</si>
  <si>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</si>
  <si>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</si>
  <si>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</si>
  <si>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</si>
  <si>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</si>
  <si>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</si>
  <si>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</si>
  <si>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</si>
  <si>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</si>
  <si>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</si>
  <si>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</si>
  <si>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</si>
  <si>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</si>
  <si>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</si>
  <si>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</si>
  <si>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</si>
  <si>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</si>
  <si>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</si>
  <si>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</si>
  <si>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</si>
  <si>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</si>
  <si>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</si>
  <si>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</si>
  <si>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</si>
  <si>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</si>
  <si>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</si>
  <si>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</si>
  <si>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</si>
  <si>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</si>
  <si>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</si>
  <si>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</si>
  <si>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</si>
  <si>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</si>
  <si>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</si>
  <si>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</si>
  <si>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</si>
  <si>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</si>
  <si>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</si>
  <si>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</si>
  <si>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</si>
  <si>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</si>
  <si>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</si>
  <si>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</si>
  <si>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</si>
  <si>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</si>
  <si>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</si>
  <si>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</si>
  <si>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</si>
  <si>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</si>
  <si>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</si>
  <si>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</si>
  <si>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</si>
  <si>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</si>
  <si>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</si>
  <si>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</si>
  <si>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</si>
  <si>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</si>
  <si>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</si>
  <si>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</si>
  <si>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</si>
  <si>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</si>
  <si>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</si>
  <si>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</si>
  <si>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</si>
  <si>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</si>
  <si>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</si>
  <si>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</si>
  <si>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</si>
  <si>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</si>
  <si>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</si>
  <si>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</si>
  <si>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</si>
  <si>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</si>
  <si>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</si>
  <si>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</si>
  <si>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</si>
  <si>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</si>
  <si>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</si>
  <si>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</si>
  <si>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</si>
  <si>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</si>
  <si>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</si>
  <si>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</si>
  <si>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</si>
  <si>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</si>
  <si>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</si>
  <si>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</si>
  <si>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</si>
  <si>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</si>
  <si>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</si>
  <si>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</si>
  <si>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</si>
  <si>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</si>
  <si>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</si>
  <si>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</si>
  <si>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</si>
  <si>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</si>
  <si>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</si>
  <si>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</si>
  <si>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</si>
  <si>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</si>
  <si>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</si>
  <si>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</si>
  <si>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</si>
  <si>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</si>
  <si>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</si>
  <si>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</si>
  <si>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</si>
  <si>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</si>
  <si>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</si>
  <si>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</si>
  <si>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</si>
  <si>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</si>
  <si>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</si>
  <si>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</si>
  <si>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</si>
  <si>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</si>
  <si>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</si>
  <si>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</si>
  <si>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</si>
  <si>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</si>
  <si>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</si>
  <si>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</si>
  <si>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</si>
  <si>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</si>
  <si>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</si>
  <si>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</si>
  <si>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</si>
  <si>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</si>
  <si>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</si>
  <si>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</si>
  <si>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</si>
  <si>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</si>
  <si>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</si>
  <si>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</si>
  <si>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</si>
  <si>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</si>
  <si>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</si>
  <si>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</si>
  <si>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</si>
  <si>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</si>
  <si>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</si>
  <si>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</si>
  <si>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</si>
  <si>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</si>
  <si>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</si>
  <si>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</si>
  <si>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</si>
  <si>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</si>
  <si>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</si>
  <si>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</si>
  <si>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</si>
  <si>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</si>
  <si>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</si>
  <si>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</si>
  <si>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</si>
  <si>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</si>
  <si>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</si>
  <si>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</si>
  <si>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</si>
  <si>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</si>
  <si>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</si>
  <si>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</si>
  <si>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</si>
  <si>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</si>
  <si>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</si>
  <si>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</si>
  <si>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</si>
  <si>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</si>
  <si>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</si>
  <si>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</si>
  <si>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</si>
  <si>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</si>
  <si>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</si>
  <si>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</si>
  <si>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</si>
  <si>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</si>
  <si>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</si>
  <si>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</si>
  <si>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</si>
  <si>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</si>
  <si>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</si>
  <si>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</si>
  <si>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</si>
  <si>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</si>
  <si>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</si>
  <si>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</si>
  <si>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</si>
  <si>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</si>
  <si>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</si>
  <si>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</si>
  <si>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</si>
  <si>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</si>
  <si>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</si>
  <si>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</si>
  <si>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</si>
  <si>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</si>
  <si>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</si>
  <si>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</si>
  <si>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</si>
  <si>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</si>
  <si>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</si>
  <si>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</si>
  <si>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</si>
  <si>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</si>
  <si>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</si>
  <si>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</si>
  <si>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</si>
  <si>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</si>
  <si>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</si>
  <si>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</si>
  <si>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</si>
  <si>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</si>
  <si>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</si>
  <si>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</si>
  <si>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</si>
  <si>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</si>
  <si>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</si>
  <si>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</si>
  <si>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</si>
  <si>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</si>
  <si>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</si>
  <si>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</si>
  <si>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</si>
  <si>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</si>
  <si>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</si>
  <si>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</si>
  <si>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</si>
  <si>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</si>
  <si>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</si>
  <si>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</si>
  <si>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</si>
  <si>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</si>
  <si>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</si>
  <si>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</si>
  <si>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</si>
  <si>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</si>
  <si>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</si>
  <si>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</si>
  <si>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</si>
  <si>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</si>
  <si>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</si>
  <si>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</si>
  <si>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</si>
  <si>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</si>
  <si>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</si>
  <si>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</si>
  <si>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</si>
  <si>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</si>
  <si>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</si>
  <si>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</si>
  <si>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</si>
  <si>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</si>
  <si>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</si>
  <si>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</si>
  <si>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</si>
  <si>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</si>
  <si>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</si>
  <si>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</si>
  <si>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</si>
  <si>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</si>
  <si>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</si>
  <si>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</si>
  <si>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</si>
  <si>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</si>
  <si>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</si>
  <si>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</si>
  <si>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</si>
  <si>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</si>
  <si>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</si>
  <si>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</si>
  <si>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</si>
  <si>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</si>
  <si>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</si>
  <si>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</si>
  <si>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</si>
  <si>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</si>
  <si>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</si>
  <si>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</si>
  <si>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</si>
  <si>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</si>
  <si>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</si>
  <si>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</si>
  <si>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</si>
  <si>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</si>
  <si>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</si>
  <si>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</si>
  <si>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</si>
  <si>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</si>
  <si>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</si>
  <si>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</si>
  <si>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</si>
  <si>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</si>
  <si>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</si>
  <si>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</si>
  <si>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</si>
  <si>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</si>
  <si>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</si>
  <si>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</si>
  <si>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</si>
  <si>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</si>
  <si>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</si>
  <si>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</si>
  <si>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</si>
  <si>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</si>
  <si>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</si>
  <si>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</si>
  <si>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</si>
  <si>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</si>
  <si>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</si>
  <si>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</si>
  <si>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</si>
  <si>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</si>
  <si>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</si>
  <si>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</si>
  <si>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</si>
  <si>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</si>
  <si>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</si>
  <si>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</si>
  <si>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</si>
  <si>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</si>
  <si>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</si>
  <si>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</si>
  <si>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</si>
  <si>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</si>
  <si>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</si>
  <si>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</si>
  <si>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</si>
  <si>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</si>
  <si>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</si>
  <si>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</si>
  <si>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</si>
  <si>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</si>
  <si>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</si>
  <si>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</si>
  <si>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</si>
  <si>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</si>
  <si>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</si>
  <si>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</si>
  <si>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</si>
  <si>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</si>
  <si>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</si>
  <si>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</si>
  <si>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</si>
  <si>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</si>
  <si>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</si>
  <si>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</si>
  <si>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</si>
  <si>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</si>
  <si>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</si>
  <si>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</si>
  <si>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</si>
  <si>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</si>
  <si>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</si>
  <si>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</si>
  <si>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</si>
  <si>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</si>
  <si>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</si>
  <si>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</si>
  <si>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</si>
  <si>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</si>
  <si>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</si>
  <si>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</si>
  <si>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</si>
  <si>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</si>
  <si>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</si>
  <si>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</si>
  <si>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</si>
  <si>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</si>
  <si>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</si>
  <si>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</si>
  <si>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</si>
  <si>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</si>
  <si>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</si>
  <si>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</si>
  <si>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</si>
  <si>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</si>
  <si>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</si>
  <si>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</si>
  <si>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</si>
  <si>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</si>
  <si>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</si>
  <si>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</si>
  <si>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</si>
  <si>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</si>
  <si>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</si>
  <si>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</si>
  <si>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</si>
  <si>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</si>
  <si>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</si>
  <si>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</si>
  <si>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</si>
  <si>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</si>
  <si>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</si>
  <si>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</si>
  <si>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</si>
  <si>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</si>
  <si>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</si>
  <si>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</si>
  <si>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</si>
  <si>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</si>
  <si>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</si>
  <si>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</si>
  <si>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</si>
  <si>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</si>
  <si>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</si>
  <si>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</si>
  <si>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</si>
  <si>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</si>
  <si>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</si>
  <si>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</si>
  <si>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</si>
  <si>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</si>
  <si>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</si>
  <si>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</si>
  <si>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</si>
  <si>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</si>
  <si>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</si>
  <si>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</si>
  <si>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</si>
  <si>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</si>
  <si>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</si>
  <si>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</si>
  <si>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</si>
  <si>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</si>
  <si>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</si>
  <si>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</si>
  <si>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</si>
  <si>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</si>
  <si>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</si>
  <si>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</si>
  <si>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</si>
  <si>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</si>
  <si>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</si>
  <si>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</si>
  <si>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</si>
  <si>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</si>
  <si>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</si>
  <si>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</si>
  <si>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</si>
  <si>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</si>
  <si>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</si>
  <si>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</si>
  <si>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</si>
  <si>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</si>
  <si>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</si>
  <si>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</si>
  <si>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</si>
  <si>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</si>
  <si>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</si>
  <si>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</si>
  <si>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</si>
  <si>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</si>
  <si>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</si>
  <si>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</si>
  <si>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</si>
  <si>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</si>
  <si>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</si>
  <si>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</si>
  <si>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</si>
  <si>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</si>
  <si>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</si>
  <si>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</si>
  <si>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</si>
  <si>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</si>
  <si>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</si>
  <si>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</si>
  <si>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</si>
  <si>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</si>
  <si>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</si>
  <si>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</si>
  <si>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</si>
  <si>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</si>
  <si>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</si>
  <si>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</si>
  <si>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</si>
  <si>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</si>
  <si>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</si>
  <si>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</si>
  <si>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</si>
  <si>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</si>
  <si>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</si>
  <si>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</si>
  <si>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</si>
  <si>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</si>
  <si>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</si>
  <si>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</si>
  <si>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</si>
  <si>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</si>
  <si>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</si>
  <si>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</si>
  <si>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</si>
  <si>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</si>
  <si>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</si>
  <si>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</si>
  <si>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</si>
  <si>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</si>
  <si>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</si>
  <si>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</si>
  <si>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</si>
  <si>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</si>
  <si>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</si>
  <si>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</si>
  <si>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</si>
  <si>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</si>
  <si>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</si>
  <si>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</si>
  <si>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</si>
  <si>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</si>
  <si>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</si>
  <si>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</si>
  <si>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</si>
  <si>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</si>
  <si>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</si>
  <si>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</si>
  <si>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</si>
  <si>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</si>
  <si>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</si>
  <si>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</si>
  <si>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</si>
  <si>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</si>
  <si>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</si>
  <si>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</si>
  <si>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</si>
  <si>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</si>
  <si>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</si>
  <si>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</si>
  <si>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</si>
  <si>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</si>
  <si>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</si>
  <si>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</si>
  <si>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</si>
  <si>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</si>
  <si>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</si>
  <si>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</si>
  <si>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</si>
  <si>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</si>
  <si>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</si>
  <si>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</si>
  <si>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</si>
  <si>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</si>
  <si>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</si>
  <si>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</si>
  <si>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</si>
  <si>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</si>
  <si>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</si>
  <si>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</si>
  <si>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</si>
  <si>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</si>
  <si>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</si>
  <si>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</si>
  <si>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</si>
  <si>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</si>
  <si>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</si>
  <si>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</si>
  <si>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</si>
  <si>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</si>
  <si>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</si>
  <si>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</si>
  <si>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</si>
  <si>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</si>
  <si>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</si>
  <si>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</si>
  <si>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</si>
  <si>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</si>
  <si>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</si>
  <si>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</si>
  <si>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</si>
  <si>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</si>
  <si>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</si>
  <si>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</si>
  <si>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</si>
  <si>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</si>
  <si>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</si>
  <si>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</si>
  <si>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</si>
  <si>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</si>
  <si>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</si>
  <si>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</si>
  <si>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</si>
  <si>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</si>
  <si>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</si>
  <si>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</si>
  <si>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</si>
  <si>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</si>
  <si>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</si>
  <si>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</si>
  <si>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</si>
  <si>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</si>
  <si>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</si>
  <si>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</si>
  <si>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</si>
  <si>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</si>
  <si>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</si>
  <si>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</si>
  <si>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</si>
  <si>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</si>
  <si>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</si>
  <si>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</si>
  <si>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</si>
  <si>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</si>
  <si>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</si>
  <si>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</si>
  <si>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</si>
  <si>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</si>
  <si>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</si>
  <si>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</si>
  <si>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</si>
  <si>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</si>
  <si>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</si>
  <si>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</si>
  <si>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</si>
  <si>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</si>
  <si>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</si>
  <si>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</si>
  <si>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</si>
  <si>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</si>
  <si>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</si>
  <si>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</si>
  <si>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</si>
  <si>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</si>
  <si>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</si>
  <si>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</si>
  <si>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</si>
  <si>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</si>
  <si>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</si>
  <si>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</si>
  <si>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</si>
  <si>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</si>
  <si>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</si>
  <si>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</si>
  <si>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</si>
  <si>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</si>
  <si>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</si>
  <si>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</si>
  <si>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</si>
  <si>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</si>
  <si>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</si>
  <si>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</si>
  <si>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</si>
  <si>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</si>
  <si>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</si>
  <si>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</si>
  <si>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</si>
  <si>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</si>
  <si>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</si>
  <si>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</si>
  <si>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</si>
  <si>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</si>
  <si>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</si>
  <si>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</si>
  <si>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</si>
  <si>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</si>
  <si>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</si>
  <si>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</si>
  <si>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</si>
  <si>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</si>
  <si>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</si>
  <si>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</si>
  <si>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</si>
  <si>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</si>
  <si>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</si>
  <si>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</si>
  <si>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</si>
  <si>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</si>
  <si>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</si>
  <si>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</si>
  <si>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</si>
  <si>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</si>
  <si>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</si>
  <si>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</si>
  <si>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</si>
  <si>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</si>
  <si>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</si>
  <si>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</si>
  <si>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</si>
  <si>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</si>
  <si>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</si>
  <si>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</si>
  <si>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</si>
  <si>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</si>
  <si>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</si>
  <si>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</si>
  <si>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</si>
  <si>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</si>
  <si>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</si>
  <si>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</si>
  <si>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</si>
  <si>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</si>
  <si>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</si>
  <si>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</si>
  <si>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</si>
  <si>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</si>
  <si>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</si>
  <si>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</si>
  <si>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</si>
  <si>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</si>
  <si>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</si>
  <si>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</si>
  <si>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</si>
  <si>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</si>
  <si>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</si>
  <si>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</si>
  <si>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</si>
  <si>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</si>
  <si>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</si>
  <si>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</si>
  <si>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</si>
  <si>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</si>
  <si>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</si>
  <si>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</si>
  <si>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</si>
  <si>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</si>
  <si>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</si>
  <si>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</si>
  <si>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</si>
  <si>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</si>
  <si>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</si>
  <si>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</si>
  <si>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</si>
  <si>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</si>
  <si>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</si>
  <si>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</si>
  <si>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</si>
  <si>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</si>
  <si>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</si>
  <si>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</si>
  <si>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</si>
  <si>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</si>
  <si>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</si>
  <si>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</si>
  <si>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</si>
  <si>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</si>
  <si>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</si>
  <si>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</si>
  <si>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</si>
  <si>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</si>
  <si>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</si>
  <si>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</si>
  <si>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</si>
  <si>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</si>
  <si>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</si>
  <si>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</si>
  <si>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</si>
  <si>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</si>
  <si>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</si>
  <si>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</si>
  <si>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</si>
  <si>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</si>
  <si>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</si>
  <si>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</si>
  <si>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</si>
  <si>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</si>
  <si>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</si>
  <si>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</si>
  <si>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</si>
  <si>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</si>
  <si>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</si>
  <si>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</si>
  <si>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</si>
  <si>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</si>
  <si>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</si>
  <si>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</si>
  <si>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</si>
  <si>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</si>
  <si>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</si>
  <si>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</si>
  <si>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</si>
  <si>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</si>
  <si>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</si>
  <si>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</si>
  <si>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</si>
  <si>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</si>
  <si>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</si>
  <si>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</si>
  <si>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</si>
  <si>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</si>
  <si>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</si>
  <si>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</si>
  <si>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</si>
  <si>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</si>
  <si>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</si>
  <si>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</si>
  <si>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</si>
  <si>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</si>
  <si>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</si>
  <si>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</si>
  <si>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</si>
  <si>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</si>
  <si>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</si>
  <si>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</si>
  <si>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</si>
  <si>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</si>
  <si>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</si>
  <si>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</si>
  <si>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</si>
  <si>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</si>
  <si>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</si>
  <si>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</si>
  <si>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</si>
  <si>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</si>
  <si>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</si>
  <si>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</si>
  <si>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</si>
  <si>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</si>
  <si>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</si>
  <si>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</si>
  <si>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</si>
  <si>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</si>
  <si>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</si>
  <si>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</si>
  <si>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</si>
  <si>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</si>
  <si>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</si>
  <si>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</si>
  <si>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</si>
  <si>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</si>
  <si>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</si>
  <si>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</si>
  <si>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</si>
  <si>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</si>
  <si>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</si>
  <si>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</si>
  <si>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</si>
  <si>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</si>
  <si>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</si>
  <si>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</si>
  <si>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</si>
  <si>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</si>
  <si>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</si>
  <si>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</si>
  <si>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</si>
  <si>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</si>
  <si>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</si>
  <si>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</si>
  <si>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</si>
  <si>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</si>
  <si>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</si>
  <si>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</si>
  <si>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</si>
  <si>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</si>
  <si>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</si>
  <si>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</si>
  <si>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</si>
  <si>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</si>
  <si>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</si>
  <si>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</si>
  <si>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</si>
  <si>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</si>
  <si>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</si>
  <si>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</si>
  <si>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</si>
  <si>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</si>
  <si>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</si>
  <si>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</si>
  <si>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</si>
  <si>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</si>
  <si>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</si>
  <si>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</si>
  <si>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</si>
  <si>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</si>
  <si>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</si>
  <si>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</si>
  <si>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</si>
  <si>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</si>
  <si>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</si>
  <si>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</si>
  <si>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</si>
  <si>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</si>
  <si>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</si>
  <si>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</si>
  <si>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</si>
  <si>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</si>
  <si>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</si>
  <si>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</si>
  <si>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</si>
  <si>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</si>
  <si>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</si>
  <si>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</si>
  <si>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</si>
  <si>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</si>
  <si>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</si>
  <si>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</si>
  <si>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</si>
  <si>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</si>
  <si>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</si>
  <si>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</si>
  <si>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</si>
  <si>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</si>
  <si>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</si>
  <si>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</si>
  <si>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</si>
  <si>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</si>
  <si>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</si>
  <si>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</si>
  <si>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</si>
  <si>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</si>
  <si>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</si>
  <si>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</si>
  <si>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</si>
  <si>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</si>
  <si>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</si>
  <si>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</si>
  <si>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</si>
  <si>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</si>
  <si>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</si>
  <si>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</si>
  <si>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</si>
  <si>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</si>
  <si>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</si>
  <si>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</si>
  <si>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</si>
  <si>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</si>
  <si>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</si>
  <si>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</si>
  <si>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</si>
  <si>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</si>
  <si>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</si>
  <si>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</si>
  <si>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</si>
  <si>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</si>
  <si>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</si>
  <si>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</si>
  <si>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</si>
  <si>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</si>
  <si>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</si>
  <si>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</si>
  <si>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</si>
  <si>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</si>
  <si>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</si>
  <si>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</si>
  <si>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</si>
  <si>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</si>
  <si>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</si>
  <si>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</si>
  <si>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</si>
  <si>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</si>
  <si>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</si>
  <si>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</si>
  <si>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</si>
  <si>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</si>
  <si>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</si>
  <si>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</si>
  <si>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</si>
  <si>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</si>
  <si>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</si>
  <si>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</si>
  <si>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</si>
  <si>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</si>
  <si>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</si>
  <si>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</si>
  <si>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</si>
  <si>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</si>
  <si>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</si>
  <si>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</si>
  <si>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</si>
  <si>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</si>
  <si>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</si>
  <si>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</si>
  <si>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</si>
  <si>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</si>
  <si>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</si>
  <si>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</si>
  <si>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</si>
  <si>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</si>
  <si>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</si>
  <si>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</si>
  <si>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</si>
  <si>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</si>
  <si>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</si>
  <si>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</si>
  <si>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</si>
  <si>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</si>
  <si>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</si>
  <si>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</si>
  <si>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</si>
  <si>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</si>
  <si>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</si>
  <si>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</si>
  <si>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</si>
  <si>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</si>
  <si>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</si>
  <si>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</si>
  <si>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</si>
  <si>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</si>
  <si>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</si>
  <si>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</si>
  <si>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</si>
  <si>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</si>
  <si>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</si>
  <si>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</si>
  <si>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</si>
  <si>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</si>
  <si>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</si>
  <si>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</si>
  <si>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</si>
  <si>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</si>
  <si>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</si>
  <si>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</si>
  <si>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</si>
  <si>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</si>
  <si>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</si>
  <si>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</si>
  <si>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</si>
  <si>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</si>
  <si>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</si>
  <si>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</si>
  <si>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</si>
  <si>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</si>
  <si>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</si>
  <si>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</si>
  <si>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</si>
  <si>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</si>
  <si>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</si>
  <si>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</si>
  <si>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</si>
  <si>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</si>
  <si>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</si>
  <si>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</si>
  <si>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</si>
  <si>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</si>
  <si>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</si>
  <si>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</si>
  <si>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</si>
  <si>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</si>
  <si>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</si>
  <si>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</si>
  <si>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</si>
  <si>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</si>
  <si>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</si>
  <si>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</si>
  <si>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</si>
  <si>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</si>
  <si>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</si>
  <si>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</si>
  <si>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</si>
  <si>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</si>
  <si>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</si>
  <si>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</si>
  <si>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</si>
  <si>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</si>
  <si>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</si>
  <si>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</si>
  <si>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</si>
  <si>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</si>
  <si>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</si>
  <si>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</si>
  <si>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</si>
  <si>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</si>
  <si>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</si>
  <si>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</si>
  <si>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</si>
  <si>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</si>
  <si>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</si>
  <si>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</si>
  <si>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</si>
  <si>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</si>
  <si>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</si>
  <si>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</si>
  <si>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</si>
  <si>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</si>
  <si>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</si>
  <si>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</si>
  <si>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</si>
  <si>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</si>
  <si>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</si>
  <si>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</si>
  <si>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</si>
  <si>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</si>
  <si>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</si>
  <si>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</si>
  <si>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</si>
  <si>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</si>
  <si>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</si>
  <si>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</si>
  <si>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</si>
  <si>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</si>
  <si>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</si>
  <si>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</si>
  <si>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</si>
  <si>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</si>
  <si>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</si>
  <si>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</si>
  <si>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</si>
  <si>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</si>
  <si>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</si>
  <si>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</si>
  <si>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</si>
  <si>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</si>
  <si>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</si>
  <si>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</si>
  <si>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</si>
  <si>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</si>
  <si>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</si>
  <si>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</si>
  <si>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</si>
  <si>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</si>
  <si>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</si>
  <si>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</si>
  <si>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</si>
  <si>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</si>
  <si>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</si>
  <si>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</si>
  <si>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</si>
  <si>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</si>
  <si>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</si>
  <si>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</si>
  <si>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</si>
  <si>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</si>
  <si>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</si>
  <si>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</si>
  <si>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</si>
  <si>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</si>
  <si>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</si>
  <si>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</si>
  <si>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</si>
  <si>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</si>
  <si>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</si>
  <si>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</si>
  <si>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</si>
  <si>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</si>
  <si>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</si>
  <si>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</si>
  <si>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</si>
  <si>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</si>
  <si>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</si>
  <si>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</si>
  <si>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</si>
  <si>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</si>
  <si>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</si>
  <si>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</si>
  <si>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</si>
  <si>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</si>
  <si>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</si>
  <si>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</si>
  <si>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</si>
  <si>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</si>
  <si>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</si>
  <si>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</si>
  <si>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</si>
  <si>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</si>
  <si>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</si>
  <si>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</si>
  <si>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</si>
  <si>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</si>
  <si>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</si>
  <si>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</si>
  <si>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</si>
  <si>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</si>
  <si>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</si>
  <si>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</si>
  <si>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</si>
  <si>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</si>
  <si>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</si>
  <si>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</si>
  <si>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</si>
  <si>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</si>
  <si>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</si>
  <si>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</si>
  <si>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</si>
  <si>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</si>
  <si>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</si>
  <si>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</si>
  <si>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</si>
  <si>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</si>
  <si>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</si>
  <si>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</si>
  <si>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</si>
  <si>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</si>
  <si>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</si>
  <si>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</si>
  <si>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</si>
  <si>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</si>
  <si>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</si>
  <si>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</si>
  <si>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</si>
  <si>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</si>
  <si>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</si>
  <si>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</si>
  <si>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</si>
  <si>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</si>
  <si>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</si>
  <si>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</si>
  <si>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</si>
  <si>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</si>
  <si>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</si>
  <si>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</si>
  <si>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</si>
  <si>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</si>
  <si>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</si>
  <si>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</si>
  <si>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</si>
  <si>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</si>
  <si>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</si>
  <si>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</si>
  <si>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</si>
  <si>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</si>
  <si>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</si>
  <si>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</si>
  <si>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</si>
  <si>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</si>
  <si>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</si>
  <si>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</si>
  <si>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</si>
  <si>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</si>
  <si>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</si>
  <si>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</si>
  <si>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</si>
  <si>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</si>
  <si>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</si>
  <si>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</si>
  <si>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</si>
  <si>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</si>
  <si>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</si>
  <si>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</si>
  <si>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</si>
  <si>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</si>
  <si>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</si>
  <si>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</si>
  <si>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</si>
  <si>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</si>
  <si>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</si>
  <si>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</si>
  <si>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</si>
  <si>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</si>
  <si>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</si>
  <si>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</si>
  <si>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</si>
  <si>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</si>
  <si>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</si>
  <si>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</si>
  <si>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</si>
  <si>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</si>
  <si>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</si>
  <si>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</si>
  <si>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</si>
  <si>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</si>
  <si>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</si>
  <si>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</si>
  <si>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</si>
  <si>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</si>
  <si>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</si>
  <si>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</si>
  <si>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</si>
  <si>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</si>
  <si>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</si>
  <si>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</si>
  <si>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</si>
  <si>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</si>
  <si>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</si>
  <si>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</si>
  <si>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</si>
  <si>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</si>
  <si>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</si>
  <si>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</si>
  <si>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</si>
  <si>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</si>
  <si>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</si>
  <si>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</si>
  <si>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</si>
  <si>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</si>
  <si>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</si>
  <si>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</si>
  <si>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</si>
  <si>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</si>
  <si>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</si>
  <si>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</si>
  <si>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</si>
  <si>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</si>
  <si>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</si>
  <si>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</si>
  <si>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</si>
  <si>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</si>
  <si>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</si>
  <si>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</si>
  <si>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</si>
  <si>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</si>
  <si>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</si>
  <si>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</si>
  <si>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</si>
  <si>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</si>
  <si>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</si>
  <si>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</si>
  <si>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</si>
  <si>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</si>
  <si>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</si>
  <si>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</si>
  <si>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</si>
  <si>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</si>
  <si>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</si>
  <si>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</si>
  <si>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</si>
  <si>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</si>
  <si>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</si>
  <si>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</si>
  <si>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</si>
  <si>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</si>
  <si>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</si>
  <si>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</si>
  <si>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</si>
  <si>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</si>
  <si>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</si>
  <si>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</si>
  <si>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</si>
  <si>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</si>
  <si>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</si>
  <si>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</si>
  <si>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</si>
  <si>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</si>
  <si>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</si>
  <si>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</si>
  <si>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</si>
  <si>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</si>
  <si>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</si>
  <si>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</si>
  <si>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</si>
  <si>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</si>
  <si>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</si>
  <si>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</si>
  <si>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</si>
  <si>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</si>
  <si>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</si>
  <si>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</si>
  <si>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</si>
  <si>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</si>
  <si>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</si>
  <si>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</si>
  <si>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</si>
  <si>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</si>
  <si>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</si>
  <si>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</si>
  <si>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</si>
  <si>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</si>
  <si>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</si>
  <si>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</si>
  <si>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</si>
  <si>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</si>
  <si>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</si>
  <si>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</si>
  <si>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</si>
  <si>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</si>
  <si>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</si>
  <si>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</si>
  <si>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</si>
  <si>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</si>
  <si>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</si>
  <si>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</si>
  <si>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</si>
  <si>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</si>
  <si>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</si>
  <si>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</si>
  <si>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</si>
  <si>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</si>
  <si>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</si>
  <si>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</si>
  <si>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</si>
  <si>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</si>
  <si>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</si>
  <si>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</si>
  <si>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</si>
  <si>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</si>
  <si>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</si>
  <si>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</si>
  <si>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</si>
  <si>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</si>
  <si>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</si>
  <si>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</si>
  <si>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</si>
  <si>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</si>
  <si>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</si>
  <si>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</si>
  <si>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</si>
  <si>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</si>
  <si>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</si>
  <si>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</si>
  <si>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</si>
  <si>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</si>
  <si>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</si>
  <si>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</si>
  <si>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</si>
  <si>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</si>
  <si>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</si>
  <si>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</si>
  <si>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</si>
  <si>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</si>
  <si>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</si>
  <si>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</si>
  <si>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</si>
  <si>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</si>
  <si>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</si>
  <si>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</si>
  <si>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</si>
  <si>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</si>
  <si>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</si>
  <si>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</si>
  <si>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</si>
  <si>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</si>
  <si>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</si>
  <si>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</si>
  <si>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</si>
  <si>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</si>
  <si>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</si>
  <si>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</si>
  <si>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</si>
  <si>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</si>
  <si>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</si>
  <si>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</si>
  <si>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</si>
  <si>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</si>
  <si>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</si>
  <si>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</si>
  <si>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</si>
  <si>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</si>
  <si>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</si>
  <si>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</si>
  <si>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</si>
  <si>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</si>
  <si>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</si>
  <si>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</si>
  <si>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</si>
  <si>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</si>
  <si>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</si>
  <si>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</si>
  <si>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</si>
  <si>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</si>
  <si>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</si>
  <si>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</si>
  <si>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</si>
  <si>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</si>
  <si>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</si>
  <si>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</si>
  <si>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</si>
  <si>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</si>
  <si>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</si>
  <si>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</si>
  <si>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</si>
  <si>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</si>
  <si>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</si>
  <si>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</si>
  <si>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</si>
  <si>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</si>
  <si>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</si>
  <si>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</si>
  <si>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</si>
  <si>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</si>
  <si>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</si>
  <si>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</si>
  <si>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</si>
  <si>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</si>
  <si>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</si>
  <si>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</si>
  <si>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</si>
  <si>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</si>
  <si>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</si>
  <si>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</si>
  <si>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</si>
  <si>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</si>
  <si>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</si>
  <si>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</si>
  <si>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</si>
  <si>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</si>
  <si>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</si>
  <si>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</si>
  <si>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</si>
  <si>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</si>
  <si>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</si>
  <si>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</si>
  <si>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</si>
  <si>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</si>
  <si>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</si>
  <si>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</si>
  <si>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</si>
  <si>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</si>
  <si>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</si>
  <si>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</si>
  <si>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</si>
  <si>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</si>
  <si>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</si>
  <si>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</si>
  <si>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</si>
  <si>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</si>
  <si>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</si>
  <si>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</si>
  <si>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</si>
  <si>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</si>
  <si>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</si>
  <si>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</si>
  <si>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</si>
  <si>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</si>
  <si>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</si>
  <si>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</si>
  <si>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</si>
  <si>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</si>
  <si>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</si>
  <si>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</si>
  <si>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</si>
  <si>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</si>
  <si>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</si>
  <si>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</si>
  <si>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</si>
  <si>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</si>
  <si>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</si>
  <si>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</si>
  <si>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</si>
  <si>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</si>
  <si>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</si>
  <si>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</si>
  <si>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</si>
  <si>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</si>
  <si>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</si>
  <si>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</si>
  <si>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</si>
  <si>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</si>
  <si>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</si>
  <si>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</si>
  <si>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</si>
  <si>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</si>
  <si>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</si>
  <si>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</si>
  <si>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</si>
  <si>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</si>
  <si>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抵押价格</t>
  </si>
  <si>
    <t>其他：</t>
  </si>
  <si>
    <t>企业</t>
  </si>
  <si>
    <t>商业</t>
  </si>
  <si>
    <t>地上</t>
  </si>
  <si>
    <r>
      <t>99号地块</t>
    </r>
    <r>
      <rPr>
        <sz val="11"/>
        <color theme="1"/>
        <rFont val="宋体"/>
        <family val="3"/>
        <charset val="134"/>
        <scheme val="minor"/>
      </rPr>
      <t/>
    </r>
  </si>
  <si>
    <r>
      <t>100号地块</t>
    </r>
    <r>
      <rPr>
        <sz val="11"/>
        <color theme="1"/>
        <rFont val="宋体"/>
        <family val="3"/>
        <charset val="134"/>
        <scheme val="minor"/>
      </rPr>
      <t/>
    </r>
  </si>
  <si>
    <t>不动产权利人</t>
    <phoneticPr fontId="228" type="noConversion"/>
  </si>
  <si>
    <t>眉山泽隆旅游开发有限公司</t>
    <phoneticPr fontId="228" type="noConversion"/>
  </si>
  <si>
    <t>坐落</t>
    <phoneticPr fontId="228" type="noConversion"/>
  </si>
  <si>
    <t>彭山区锦江镇剑南大道南延线北侧</t>
    <phoneticPr fontId="228" type="noConversion"/>
  </si>
  <si>
    <t>城镇住宅用地</t>
    <phoneticPr fontId="228" type="noConversion"/>
  </si>
  <si>
    <t>用途</t>
    <phoneticPr fontId="228" type="noConversion"/>
  </si>
  <si>
    <t>面积</t>
    <phoneticPr fontId="228" type="noConversion"/>
  </si>
  <si>
    <t>使用期限</t>
    <phoneticPr fontId="228" type="noConversion"/>
  </si>
  <si>
    <t>不动产权证</t>
    <phoneticPr fontId="228" type="noConversion"/>
  </si>
  <si>
    <t>川（2020）彭山区不动产权第0002820号</t>
    <phoneticPr fontId="228" type="noConversion"/>
  </si>
  <si>
    <t>川（2020）彭山区不动产权第0002819号</t>
    <phoneticPr fontId="228" type="noConversion"/>
  </si>
  <si>
    <t>兼容商服用地小于等于30%</t>
    <phoneticPr fontId="228" type="noConversion"/>
  </si>
  <si>
    <t>眉山德泽旅游开发有限公司</t>
    <phoneticPr fontId="228" type="noConversion"/>
  </si>
  <si>
    <t>川（2020）彭山区不动产权第0002432号</t>
    <phoneticPr fontId="228" type="noConversion"/>
  </si>
  <si>
    <t>彭山区锦江镇通江大道北侧、东星航空大道西侧</t>
    <phoneticPr fontId="228" type="noConversion"/>
  </si>
  <si>
    <t>98号地块</t>
    <phoneticPr fontId="228" type="noConversion"/>
  </si>
  <si>
    <t>容积率</t>
    <phoneticPr fontId="228" type="noConversion"/>
  </si>
  <si>
    <t>出让金</t>
    <phoneticPr fontId="228" type="noConversion"/>
  </si>
  <si>
    <t>总建筑面积</t>
    <phoneticPr fontId="228" type="noConversion"/>
  </si>
  <si>
    <t>正常</t>
  </si>
  <si>
    <t>地下</t>
  </si>
  <si>
    <t>车库</t>
  </si>
  <si>
    <t>住宅</t>
    <phoneticPr fontId="7" type="noConversion"/>
  </si>
  <si>
    <t>车库</t>
    <phoneticPr fontId="7" type="noConversion"/>
  </si>
  <si>
    <t>不动产收益法</t>
  </si>
  <si>
    <t>自定义</t>
  </si>
  <si>
    <t>按租金收入计税</t>
  </si>
  <si>
    <t>钢混</t>
  </si>
  <si>
    <t>天府恒大文化旅游城项目2018（P）-98、99、100地块经济技术指标</t>
    <phoneticPr fontId="3" type="noConversion"/>
  </si>
  <si>
    <t>总用地面积</t>
    <phoneticPr fontId="3" type="noConversion"/>
  </si>
  <si>
    <t>规划总建面</t>
    <phoneticPr fontId="3" type="noConversion"/>
  </si>
  <si>
    <t>计容总建筑面积</t>
    <phoneticPr fontId="3" type="noConversion"/>
  </si>
  <si>
    <t>可销售洋房建筑面积(平方米)</t>
    <phoneticPr fontId="3" type="noConversion"/>
  </si>
  <si>
    <t xml:space="preserve">可销售商业建筑面积(平方米) </t>
    <phoneticPr fontId="3" type="noConversion"/>
  </si>
  <si>
    <t xml:space="preserve">可销售高层建筑面积(平方米) </t>
    <phoneticPr fontId="3" type="noConversion"/>
  </si>
  <si>
    <t>地下建筑面积(平方米)</t>
  </si>
  <si>
    <t>地下车位数</t>
    <phoneticPr fontId="3" type="noConversion"/>
  </si>
  <si>
    <t>地块</t>
    <phoneticPr fontId="3" type="noConversion"/>
  </si>
  <si>
    <t>净用地面积</t>
    <phoneticPr fontId="3" type="noConversion"/>
  </si>
  <si>
    <t>总建筑面积</t>
    <phoneticPr fontId="3" type="noConversion"/>
  </si>
  <si>
    <t>容积率</t>
    <phoneticPr fontId="3" type="noConversion"/>
  </si>
  <si>
    <t>洋房</t>
    <phoneticPr fontId="3" type="noConversion"/>
  </si>
  <si>
    <t>别墅</t>
    <phoneticPr fontId="3" type="noConversion"/>
  </si>
  <si>
    <t>高层</t>
    <phoneticPr fontId="3" type="noConversion"/>
  </si>
  <si>
    <t>商业</t>
    <phoneticPr fontId="3" type="noConversion"/>
  </si>
  <si>
    <t>地下建筑面积</t>
    <phoneticPr fontId="3" type="noConversion"/>
  </si>
  <si>
    <t>地下车位数</t>
    <phoneticPr fontId="3" type="noConversion"/>
  </si>
  <si>
    <t>2018（P）-98</t>
    <phoneticPr fontId="3" type="noConversion"/>
  </si>
  <si>
    <t>2018（P）-99</t>
  </si>
  <si>
    <t>2018（P）-100</t>
  </si>
  <si>
    <t>合计</t>
    <phoneticPr fontId="3" type="noConversion"/>
  </si>
  <si>
    <t>天府恒大文化旅游城项目2018（P）-98、99、100地块---投资成本预测</t>
    <phoneticPr fontId="3" type="noConversion"/>
  </si>
  <si>
    <t>（容积率=2.5，净用地面积=169566.51㎡(254亩)，总建筑面积=423916.28㎡）</t>
    <phoneticPr fontId="3" type="noConversion"/>
  </si>
  <si>
    <t>编制部门：眉山泽隆旅游开发有限公司、眉山德泽旅游开发有限公司</t>
    <phoneticPr fontId="3" type="noConversion"/>
  </si>
  <si>
    <t>编制日期：2020年10月25日</t>
    <phoneticPr fontId="3" type="noConversion"/>
  </si>
  <si>
    <t>费用名称</t>
  </si>
  <si>
    <t>收费标准及计算方法</t>
  </si>
  <si>
    <t>概算金额
（万元）</t>
    <phoneticPr fontId="3" type="noConversion"/>
  </si>
  <si>
    <t>单位成本
（元/平方米）</t>
  </si>
  <si>
    <t>一、</t>
  </si>
  <si>
    <t>土地成本</t>
  </si>
  <si>
    <t>土地出让金</t>
    <phoneticPr fontId="3" type="noConversion"/>
  </si>
  <si>
    <t>根据合同填列</t>
    <phoneticPr fontId="3" type="noConversion"/>
  </si>
  <si>
    <t>契税</t>
  </si>
  <si>
    <t>根据所在地的规定契税税率4%</t>
    <phoneticPr fontId="3" type="noConversion"/>
  </si>
  <si>
    <t>印花税</t>
    <phoneticPr fontId="3" type="noConversion"/>
  </si>
  <si>
    <t>合同金额×0.5‰</t>
    <phoneticPr fontId="3" type="noConversion"/>
  </si>
  <si>
    <t>二、</t>
  </si>
  <si>
    <t>前期费用</t>
  </si>
  <si>
    <t>施工用水、用电</t>
    <phoneticPr fontId="3" type="noConversion"/>
  </si>
  <si>
    <t>约17元/㎡×建筑面积</t>
    <phoneticPr fontId="3" type="noConversion"/>
  </si>
  <si>
    <t>城市基础设施配套费</t>
    <phoneticPr fontId="3" type="noConversion"/>
  </si>
  <si>
    <t>约15元/㎡×建筑面积，根据当地政府实际收费标准填列</t>
    <phoneticPr fontId="3" type="noConversion"/>
  </si>
  <si>
    <t>施工图审查费</t>
    <phoneticPr fontId="3" type="noConversion"/>
  </si>
  <si>
    <t>约2元/㎡×建筑面积</t>
    <phoneticPr fontId="3" type="noConversion"/>
  </si>
  <si>
    <t>质量安全监督费</t>
    <phoneticPr fontId="3" type="noConversion"/>
  </si>
  <si>
    <t>约25元/㎡×建筑面积</t>
    <phoneticPr fontId="3" type="noConversion"/>
  </si>
  <si>
    <t>规划及设计费</t>
    <phoneticPr fontId="3" type="noConversion"/>
  </si>
  <si>
    <t>约40元/㎡×建筑面积</t>
    <phoneticPr fontId="3" type="noConversion"/>
  </si>
  <si>
    <t>工程质量监理及各项检测费</t>
    <phoneticPr fontId="3" type="noConversion"/>
  </si>
  <si>
    <t>约35元/㎡×建筑面积</t>
    <phoneticPr fontId="3" type="noConversion"/>
  </si>
  <si>
    <t>场地平衡费用</t>
    <phoneticPr fontId="3" type="noConversion"/>
  </si>
  <si>
    <t>三、</t>
    <phoneticPr fontId="3" type="noConversion"/>
  </si>
  <si>
    <t>土建安装及配套工程费用</t>
    <phoneticPr fontId="3" type="noConversion"/>
  </si>
  <si>
    <t>土建安装费用</t>
    <phoneticPr fontId="3" type="noConversion"/>
  </si>
  <si>
    <t>（1）</t>
    <phoneticPr fontId="3" type="noConversion"/>
  </si>
  <si>
    <t xml:space="preserve">    基础支护与基础土方工程</t>
    <phoneticPr fontId="3" type="noConversion"/>
  </si>
  <si>
    <t>约50元/㎡×建筑面积</t>
    <phoneticPr fontId="3" type="noConversion"/>
  </si>
  <si>
    <t>（2）</t>
  </si>
  <si>
    <t xml:space="preserve">    高层住宅</t>
    <phoneticPr fontId="3" type="noConversion"/>
  </si>
  <si>
    <t>约1300元/㎡×建筑面积</t>
    <phoneticPr fontId="3" type="noConversion"/>
  </si>
  <si>
    <t>（3）</t>
  </si>
  <si>
    <t xml:space="preserve">    铝合金门窗</t>
    <phoneticPr fontId="3" type="noConversion"/>
  </si>
  <si>
    <t>约145元/㎡×建筑面积</t>
    <phoneticPr fontId="3" type="noConversion"/>
  </si>
  <si>
    <t>（4）</t>
  </si>
  <si>
    <t xml:space="preserve">    装修工程</t>
    <phoneticPr fontId="3" type="noConversion"/>
  </si>
  <si>
    <t>约1000元/㎡×建筑面积</t>
    <phoneticPr fontId="3" type="noConversion"/>
  </si>
  <si>
    <t>（5）</t>
  </si>
  <si>
    <t xml:space="preserve">    地下室</t>
    <phoneticPr fontId="3" type="noConversion"/>
  </si>
  <si>
    <t>约1800元/㎡×地下建筑面积</t>
    <phoneticPr fontId="3" type="noConversion"/>
  </si>
  <si>
    <t>（6）</t>
  </si>
  <si>
    <t xml:space="preserve">    电梯及设备安装</t>
    <phoneticPr fontId="3" type="noConversion"/>
  </si>
  <si>
    <t>约70元/㎡×建筑面积</t>
    <phoneticPr fontId="3" type="noConversion"/>
  </si>
  <si>
    <t xml:space="preserve">    消防工程、有线电视等</t>
    <phoneticPr fontId="3" type="noConversion"/>
  </si>
  <si>
    <t>约60元/㎡×建筑面积</t>
    <phoneticPr fontId="3" type="noConversion"/>
  </si>
  <si>
    <t xml:space="preserve">    采暖工程</t>
    <phoneticPr fontId="3" type="noConversion"/>
  </si>
  <si>
    <t>约100元/㎡×建筑面积</t>
    <phoneticPr fontId="3" type="noConversion"/>
  </si>
  <si>
    <t>（9）</t>
  </si>
  <si>
    <t xml:space="preserve">    保温工程</t>
    <phoneticPr fontId="3" type="noConversion"/>
  </si>
  <si>
    <t>约80元/㎡×建筑面积</t>
    <phoneticPr fontId="3" type="noConversion"/>
  </si>
  <si>
    <t>配套工程</t>
    <phoneticPr fontId="3" type="noConversion"/>
  </si>
  <si>
    <t>（1）</t>
    <phoneticPr fontId="3" type="noConversion"/>
  </si>
  <si>
    <t xml:space="preserve">    园林园建工程</t>
    <phoneticPr fontId="3" type="noConversion"/>
  </si>
  <si>
    <t>约165元/㎡×建筑面积</t>
    <phoneticPr fontId="3" type="noConversion"/>
  </si>
  <si>
    <t xml:space="preserve">    智能化工程</t>
    <phoneticPr fontId="3" type="noConversion"/>
  </si>
  <si>
    <t>约20元/㎡×建筑面积</t>
    <phoneticPr fontId="3" type="noConversion"/>
  </si>
  <si>
    <t xml:space="preserve">    永久水电工程</t>
    <phoneticPr fontId="3" type="noConversion"/>
  </si>
  <si>
    <t>约90元/㎡×建筑面积</t>
    <phoneticPr fontId="3" type="noConversion"/>
  </si>
  <si>
    <t xml:space="preserve">    煤气工程</t>
    <phoneticPr fontId="3" type="noConversion"/>
  </si>
  <si>
    <t>约55元/㎡×建筑面积</t>
    <phoneticPr fontId="3" type="noConversion"/>
  </si>
  <si>
    <t xml:space="preserve">    道路管网</t>
    <phoneticPr fontId="3" type="noConversion"/>
  </si>
  <si>
    <t>约50元/㎡×建筑面积</t>
    <phoneticPr fontId="3" type="noConversion"/>
  </si>
  <si>
    <t>3</t>
    <phoneticPr fontId="3" type="noConversion"/>
  </si>
  <si>
    <t>公建配套费（大门、小区围墙等）</t>
    <phoneticPr fontId="3" type="noConversion"/>
  </si>
  <si>
    <t>4</t>
    <phoneticPr fontId="3" type="noConversion"/>
  </si>
  <si>
    <t>不可预见费</t>
    <phoneticPr fontId="3" type="noConversion"/>
  </si>
  <si>
    <t>1.0％×（土建工程+配套工程）</t>
    <phoneticPr fontId="3" type="noConversion"/>
  </si>
  <si>
    <t>四、</t>
    <phoneticPr fontId="3" type="noConversion"/>
  </si>
  <si>
    <t>期间费用</t>
  </si>
  <si>
    <t>金额</t>
    <phoneticPr fontId="3" type="noConversion"/>
  </si>
  <si>
    <t>占比</t>
    <phoneticPr fontId="3" type="noConversion"/>
  </si>
  <si>
    <t>销售费用</t>
  </si>
  <si>
    <t>2.0％×销售额（万元）</t>
    <phoneticPr fontId="3" type="noConversion"/>
  </si>
  <si>
    <t>总投资额</t>
    <phoneticPr fontId="3" type="noConversion"/>
  </si>
  <si>
    <t>管理费用</t>
  </si>
  <si>
    <t>自有资金</t>
    <phoneticPr fontId="3" type="noConversion"/>
  </si>
  <si>
    <t>财务费用</t>
    <phoneticPr fontId="3" type="noConversion"/>
  </si>
  <si>
    <t>融资额×贷款利率×贷款期限</t>
    <phoneticPr fontId="3" type="noConversion"/>
  </si>
  <si>
    <t>贷款资金</t>
    <phoneticPr fontId="3" type="noConversion"/>
  </si>
  <si>
    <t>总                计</t>
  </si>
  <si>
    <t>销转投</t>
    <phoneticPr fontId="3" type="noConversion"/>
  </si>
  <si>
    <t xml:space="preserve">天府恒大文化旅游城项目2018（P）-98、99、100地块------利润预测 </t>
    <phoneticPr fontId="3" type="noConversion"/>
  </si>
  <si>
    <t xml:space="preserve"> 项         目</t>
  </si>
  <si>
    <t>构成分析</t>
  </si>
  <si>
    <t>预测金额
（万元）</t>
  </si>
  <si>
    <t>占总成本
百分比%</t>
  </si>
  <si>
    <r>
      <rPr>
        <b/>
        <sz val="11"/>
        <rFont val="宋体"/>
        <family val="3"/>
        <charset val="134"/>
      </rPr>
      <t>建设用地面积</t>
    </r>
    <r>
      <rPr>
        <sz val="11"/>
        <rFont val="宋体"/>
        <family val="3"/>
        <charset val="134"/>
      </rPr>
      <t>(平方米)</t>
    </r>
  </si>
  <si>
    <r>
      <rPr>
        <b/>
        <sz val="11"/>
        <rFont val="宋体"/>
        <family val="3"/>
        <charset val="134"/>
      </rPr>
      <t>总建筑面积</t>
    </r>
    <r>
      <rPr>
        <sz val="11"/>
        <rFont val="宋体"/>
        <family val="3"/>
        <charset val="134"/>
      </rPr>
      <t>(平方米)</t>
    </r>
  </si>
  <si>
    <r>
      <t>可销售洋房建筑面积</t>
    </r>
    <r>
      <rPr>
        <sz val="11"/>
        <rFont val="宋体"/>
        <family val="3"/>
        <charset val="134"/>
      </rPr>
      <t>(平方米)</t>
    </r>
    <phoneticPr fontId="3" type="noConversion"/>
  </si>
  <si>
    <r>
      <t>可销售高层建筑面积</t>
    </r>
    <r>
      <rPr>
        <sz val="11"/>
        <rFont val="宋体"/>
        <family val="3"/>
        <charset val="134"/>
      </rPr>
      <t>(平方米)</t>
    </r>
    <phoneticPr fontId="3" type="noConversion"/>
  </si>
  <si>
    <r>
      <rPr>
        <b/>
        <sz val="11"/>
        <rFont val="宋体"/>
        <family val="3"/>
        <charset val="134"/>
      </rPr>
      <t>可销售别墅建筑面积</t>
    </r>
    <r>
      <rPr>
        <sz val="11"/>
        <rFont val="宋体"/>
        <family val="3"/>
        <charset val="134"/>
      </rPr>
      <t>(平方米)</t>
    </r>
    <phoneticPr fontId="3" type="noConversion"/>
  </si>
  <si>
    <r>
      <rPr>
        <b/>
        <sz val="11"/>
        <rFont val="宋体"/>
        <family val="3"/>
        <charset val="134"/>
      </rPr>
      <t>可销售商业建筑面积</t>
    </r>
    <r>
      <rPr>
        <sz val="11"/>
        <rFont val="宋体"/>
        <family val="3"/>
        <charset val="134"/>
      </rPr>
      <t xml:space="preserve">(平方米) </t>
    </r>
  </si>
  <si>
    <r>
      <rPr>
        <b/>
        <sz val="11"/>
        <rFont val="宋体"/>
        <family val="3"/>
        <charset val="134"/>
      </rPr>
      <t>可销售车位个数</t>
    </r>
    <r>
      <rPr>
        <sz val="11"/>
        <rFont val="宋体"/>
        <family val="3"/>
        <charset val="134"/>
      </rPr>
      <t>(个)</t>
    </r>
  </si>
  <si>
    <r>
      <rPr>
        <b/>
        <sz val="11"/>
        <rFont val="宋体"/>
        <family val="3"/>
        <charset val="134"/>
      </rPr>
      <t>洋房销售价格</t>
    </r>
    <r>
      <rPr>
        <sz val="11"/>
        <rFont val="宋体"/>
        <family val="3"/>
        <charset val="134"/>
      </rPr>
      <t>(元/平方米)(精装)</t>
    </r>
    <phoneticPr fontId="3" type="noConversion"/>
  </si>
  <si>
    <r>
      <t>高层销售价格</t>
    </r>
    <r>
      <rPr>
        <sz val="11"/>
        <rFont val="宋体"/>
        <family val="3"/>
        <charset val="134"/>
      </rPr>
      <t>(元/平方米)(精装)</t>
    </r>
    <phoneticPr fontId="3" type="noConversion"/>
  </si>
  <si>
    <r>
      <rPr>
        <b/>
        <sz val="11"/>
        <rFont val="宋体"/>
        <family val="3"/>
        <charset val="134"/>
      </rPr>
      <t>别墅销售价格</t>
    </r>
    <r>
      <rPr>
        <sz val="11"/>
        <rFont val="宋体"/>
        <family val="3"/>
        <charset val="134"/>
      </rPr>
      <t>(元/平方米)(精装)</t>
    </r>
    <phoneticPr fontId="3" type="noConversion"/>
  </si>
  <si>
    <r>
      <rPr>
        <b/>
        <sz val="11"/>
        <rFont val="宋体"/>
        <family val="3"/>
        <charset val="134"/>
      </rPr>
      <t>商业销售价格</t>
    </r>
    <r>
      <rPr>
        <sz val="11"/>
        <rFont val="宋体"/>
        <family val="3"/>
        <charset val="134"/>
      </rPr>
      <t>(元/平方米)</t>
    </r>
  </si>
  <si>
    <r>
      <rPr>
        <b/>
        <sz val="11"/>
        <rFont val="宋体"/>
        <family val="3"/>
        <charset val="134"/>
      </rPr>
      <t>车位销售价格</t>
    </r>
    <r>
      <rPr>
        <sz val="11"/>
        <rFont val="宋体"/>
        <family val="3"/>
        <charset val="134"/>
      </rPr>
      <t>(元/个)</t>
    </r>
  </si>
  <si>
    <r>
      <rPr>
        <b/>
        <sz val="11"/>
        <rFont val="宋体"/>
        <family val="3"/>
        <charset val="134"/>
      </rPr>
      <t>销售收入合计</t>
    </r>
    <r>
      <rPr>
        <sz val="11"/>
        <rFont val="宋体"/>
        <family val="3"/>
        <charset val="134"/>
      </rPr>
      <t>（万元）</t>
    </r>
    <phoneticPr fontId="3" type="noConversion"/>
  </si>
  <si>
    <r>
      <t>不含税销售收入合计</t>
    </r>
    <r>
      <rPr>
        <sz val="11"/>
        <rFont val="宋体"/>
        <family val="3"/>
        <charset val="134"/>
        <scheme val="minor"/>
      </rPr>
      <t>（万元）（增值税简易征收税率5%）</t>
    </r>
    <phoneticPr fontId="3" type="noConversion"/>
  </si>
  <si>
    <t>减：开发成本</t>
  </si>
  <si>
    <t>其中：土地成本</t>
  </si>
  <si>
    <t xml:space="preserve">      前期费用</t>
  </si>
  <si>
    <t xml:space="preserve">      土建安装及配套工程费用</t>
    <phoneticPr fontId="3" type="noConversion"/>
  </si>
  <si>
    <t>减：期间费用</t>
  </si>
  <si>
    <t xml:space="preserve">      销售费用    </t>
  </si>
  <si>
    <t xml:space="preserve">      管理费用    </t>
  </si>
  <si>
    <r>
      <rPr>
        <sz val="11"/>
        <rFont val="宋体"/>
        <family val="3"/>
        <charset val="134"/>
      </rPr>
      <t xml:space="preserve">      财务费用    </t>
    </r>
  </si>
  <si>
    <t>减：相关税费</t>
  </si>
  <si>
    <t xml:space="preserve">      城市建设维护税、教育费附加（不含税销售收入合计*5%*10%）</t>
    <phoneticPr fontId="3" type="noConversion"/>
  </si>
  <si>
    <t xml:space="preserve">      印花税（销售收入*0.5‰）</t>
    <phoneticPr fontId="3" type="noConversion"/>
  </si>
  <si>
    <t xml:space="preserve">      土地增值税（不含税销售收入合计*3%）</t>
    <phoneticPr fontId="3" type="noConversion"/>
  </si>
  <si>
    <t xml:space="preserve">利润总额  </t>
  </si>
  <si>
    <r>
      <rPr>
        <b/>
        <sz val="11"/>
        <rFont val="宋体"/>
        <family val="3"/>
        <charset val="134"/>
      </rPr>
      <t xml:space="preserve">利润率     </t>
    </r>
    <r>
      <rPr>
        <sz val="11"/>
        <rFont val="宋体"/>
        <family val="3"/>
        <charset val="134"/>
      </rPr>
      <t xml:space="preserve"> %</t>
    </r>
  </si>
  <si>
    <t>减：企业所得税(25%）</t>
  </si>
  <si>
    <r>
      <rPr>
        <sz val="11"/>
        <rFont val="宋体"/>
        <family val="3"/>
        <charset val="134"/>
      </rPr>
      <t>(税后)</t>
    </r>
    <r>
      <rPr>
        <b/>
        <sz val="11"/>
        <rFont val="宋体"/>
        <family val="3"/>
        <charset val="134"/>
      </rPr>
      <t xml:space="preserve">净利润  </t>
    </r>
  </si>
  <si>
    <r>
      <rPr>
        <sz val="11"/>
        <rFont val="宋体"/>
        <family val="3"/>
        <charset val="134"/>
      </rPr>
      <t>(税后)</t>
    </r>
    <r>
      <rPr>
        <b/>
        <sz val="11"/>
        <rFont val="宋体"/>
        <family val="3"/>
        <charset val="134"/>
      </rPr>
      <t xml:space="preserve">净利润率   </t>
    </r>
    <r>
      <rPr>
        <sz val="11"/>
        <rFont val="宋体"/>
        <family val="3"/>
        <charset val="134"/>
      </rPr>
      <t>%</t>
    </r>
  </si>
  <si>
    <t>总投资（开发成本+期间费用）</t>
  </si>
  <si>
    <t>98号地</t>
    <phoneticPr fontId="6"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</si>
  <si>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</si>
  <si>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</si>
  <si>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</si>
  <si>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</si>
  <si>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</si>
  <si>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</si>
  <si>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</si>
  <si>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</si>
  <si>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</si>
  <si>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</si>
  <si>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</si>
  <si>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</si>
  <si>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</si>
  <si>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</si>
  <si>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</si>
  <si>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锦江镇通江大道北侧</t>
  </si>
  <si>
    <t>眉山市</t>
  </si>
  <si>
    <t>住宅用地</t>
  </si>
  <si>
    <t>大于1并且小于2.5</t>
  </si>
  <si>
    <t>拍卖</t>
  </si>
  <si>
    <t>城镇住宅-普通商品住房用地</t>
  </si>
  <si>
    <t>2020-10-20</t>
  </si>
  <si>
    <t>眉山恒煦旅游开发有限公司</t>
  </si>
  <si>
    <t>0星</t>
  </si>
  <si>
    <t>眉山德泽旅游开发有限公司</t>
  </si>
  <si>
    <t>眉山恒思旅游开发有限公司</t>
  </si>
  <si>
    <t>眉山恒嘉旅游开发有限公司</t>
  </si>
  <si>
    <t>江口街道</t>
  </si>
  <si>
    <t>大于1并且小于或等于2.5</t>
  </si>
  <si>
    <t>城镇住宅用地</t>
  </si>
  <si>
    <t>2020-09-22</t>
  </si>
  <si>
    <t>四川圆中嘉华健康产业有限公司</t>
  </si>
  <si>
    <t>大于1并且小于或等于2</t>
  </si>
  <si>
    <t>锦江镇</t>
  </si>
  <si>
    <t>大于2并且小于3</t>
  </si>
  <si>
    <t>2020-09-19</t>
  </si>
  <si>
    <t>眉山环天发展有限公司</t>
  </si>
  <si>
    <t>大于2并且小于2.2</t>
  </si>
  <si>
    <t>公义镇</t>
  </si>
  <si>
    <t>大于1并且小于2</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</si>
  <si>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</si>
  <si>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</si>
  <si>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</si>
  <si>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</si>
  <si>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</si>
  <si>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</si>
  <si>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</si>
  <si>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</si>
  <si>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3星</t>
  </si>
  <si>
    <t>迎宾大道以北,锦绣大道以西,成乐高速以东</t>
  </si>
  <si>
    <t>2020-06-09</t>
  </si>
  <si>
    <t>四川盛天房地产开发有限公司</t>
  </si>
  <si>
    <t>4星</t>
  </si>
  <si>
    <t>成都融基投资有限公司</t>
  </si>
  <si>
    <t>1星</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</si>
  <si>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</si>
  <si>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</si>
  <si>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</si>
  <si>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</si>
  <si>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</si>
  <si>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</si>
  <si>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</si>
  <si>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</si>
  <si>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</si>
  <si>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</si>
  <si>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</si>
  <si>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</si>
  <si>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</si>
  <si>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</si>
  <si>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</si>
  <si>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</si>
  <si>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大于1并且小于2.98</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</si>
  <si>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</si>
  <si>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</si>
  <si>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</si>
  <si>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</si>
  <si>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</si>
  <si>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</si>
  <si>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</si>
  <si>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</si>
  <si>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</si>
  <si>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</si>
  <si>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</si>
  <si>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</si>
  <si>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</si>
  <si>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</si>
  <si>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</si>
  <si>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</si>
  <si>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</si>
  <si>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</si>
  <si>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</si>
  <si>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</si>
  <si>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</si>
  <si>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</si>
  <si>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</si>
  <si>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</si>
  <si>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</si>
  <si>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</si>
  <si>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</si>
  <si>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</si>
  <si>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</si>
  <si>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</si>
  <si>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</si>
  <si>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</si>
  <si>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</si>
  <si>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</si>
  <si>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</si>
  <si>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</si>
  <si>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</si>
  <si>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</si>
  <si>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大于或等于1并且小于或等于2.2</t>
  </si>
  <si>
    <t>2017-12-28</t>
  </si>
  <si>
    <t>四川彭祖文化旅游开发有限公司</t>
  </si>
  <si>
    <t>2星</t>
  </si>
  <si>
    <t>牧马镇</t>
  </si>
  <si>
    <t>其他普通商品住房用地</t>
  </si>
  <si>
    <t>2017-10-20</t>
  </si>
  <si>
    <t>眉山市彭山区铂琅房地产开发有限公司</t>
  </si>
  <si>
    <t>东星航空大道西侧</t>
    <phoneticPr fontId="228" type="noConversion"/>
  </si>
  <si>
    <t>住宅</t>
    <phoneticPr fontId="26" type="noConversion"/>
  </si>
  <si>
    <t>一般</t>
  </si>
  <si>
    <t>较好</t>
  </si>
  <si>
    <t>六通</t>
  </si>
  <si>
    <t>规则</t>
    <phoneticPr fontId="26" type="noConversion"/>
  </si>
  <si>
    <t>较规则</t>
  </si>
  <si>
    <t>较规则</t>
    <phoneticPr fontId="26" type="noConversion"/>
  </si>
  <si>
    <t>较不规则</t>
    <phoneticPr fontId="26" type="noConversion"/>
  </si>
  <si>
    <t>不规则</t>
    <phoneticPr fontId="26" type="noConversion"/>
  </si>
  <si>
    <t>较好</t>
    <phoneticPr fontId="26" type="noConversion"/>
  </si>
  <si>
    <t>楼面地价</t>
  </si>
  <si>
    <t>剩余法-待开发</t>
  </si>
  <si>
    <t>土地</t>
  </si>
  <si>
    <t>比较法-住宅、综合</t>
  </si>
  <si>
    <t>临街状况</t>
    <phoneticPr fontId="3" type="noConversion"/>
  </si>
  <si>
    <t>宗地形状</t>
    <phoneticPr fontId="3" type="noConversion"/>
  </si>
  <si>
    <r>
      <t>98</t>
    </r>
    <r>
      <rPr>
        <b/>
        <sz val="10"/>
        <color indexed="10"/>
        <rFont val="宋体"/>
        <family val="3"/>
        <charset val="134"/>
      </rPr>
      <t>号</t>
    </r>
    <phoneticPr fontId="21" type="noConversion"/>
  </si>
  <si>
    <t>地面价</t>
    <phoneticPr fontId="228" type="noConversion"/>
  </si>
  <si>
    <t>99号</t>
    <phoneticPr fontId="228" type="noConversion"/>
  </si>
  <si>
    <t>情况3</t>
  </si>
  <si>
    <t>仅含出让金</t>
  </si>
  <si>
    <t>自行开发建设</t>
  </si>
  <si>
    <t>住宅</t>
    <phoneticPr fontId="21" type="noConversion"/>
  </si>
  <si>
    <t>复地天府湾</t>
    <phoneticPr fontId="3" type="noConversion"/>
  </si>
  <si>
    <t>精装</t>
    <phoneticPr fontId="21" type="noConversion"/>
  </si>
  <si>
    <t>普装</t>
    <phoneticPr fontId="21" type="noConversion"/>
  </si>
  <si>
    <t>简装</t>
    <phoneticPr fontId="21" type="noConversion"/>
  </si>
  <si>
    <t>毛坯</t>
    <phoneticPr fontId="21" type="noConversion"/>
  </si>
  <si>
    <t>一般</t>
    <phoneticPr fontId="3" type="noConversion"/>
  </si>
  <si>
    <t>一般</t>
    <phoneticPr fontId="3" type="noConversion"/>
  </si>
  <si>
    <t>六通</t>
    <phoneticPr fontId="3" type="noConversion"/>
  </si>
  <si>
    <t>四川圆中康养城置业发展有限公司</t>
    <phoneticPr fontId="228" type="noConversion"/>
  </si>
  <si>
    <t>眉山中法侨贝文化旅游开发有限公司</t>
    <phoneticPr fontId="228" type="noConversion"/>
  </si>
  <si>
    <t>眉山中法华欧文化旅游开发有限公司</t>
    <phoneticPr fontId="228" type="noConversion"/>
  </si>
  <si>
    <t>锦江乡永泉村、天库村</t>
    <phoneticPr fontId="228" type="noConversion"/>
  </si>
  <si>
    <t>眉山中法农业科技园开发有限公司</t>
    <phoneticPr fontId="228"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</si>
  <si>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</si>
  <si>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</si>
  <si>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</si>
  <si>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</si>
  <si>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</si>
  <si>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单面临街</t>
  </si>
  <si>
    <t>三通</t>
  </si>
  <si>
    <t>三通</t>
    <phoneticPr fontId="26" type="noConversion"/>
  </si>
  <si>
    <t>不临街</t>
  </si>
  <si>
    <t>洋房</t>
    <phoneticPr fontId="21" type="noConversion"/>
  </si>
  <si>
    <t>高层住宅</t>
  </si>
  <si>
    <t>高层住宅</t>
    <phoneticPr fontId="21" type="noConversion"/>
  </si>
  <si>
    <t>小高层住宅</t>
    <phoneticPr fontId="21" type="noConversion"/>
  </si>
  <si>
    <t>钢混</t>
    <phoneticPr fontId="21" type="noConversion"/>
  </si>
  <si>
    <t>精装</t>
  </si>
  <si>
    <t>精装</t>
    <phoneticPr fontId="21" type="noConversion"/>
  </si>
  <si>
    <t>毛坯</t>
  </si>
  <si>
    <t>售价</t>
  </si>
  <si>
    <t>滨江郦城</t>
    <phoneticPr fontId="3" type="noConversion"/>
  </si>
  <si>
    <t>赠送面积</t>
    <phoneticPr fontId="21" type="noConversion"/>
  </si>
  <si>
    <t>无</t>
    <phoneticPr fontId="21" type="noConversion"/>
  </si>
  <si>
    <t>有</t>
    <phoneticPr fontId="21" type="noConversion"/>
  </si>
  <si>
    <t>恒大金碧天下</t>
    <phoneticPr fontId="3" type="noConversion"/>
  </si>
  <si>
    <t>尾盘</t>
    <phoneticPr fontId="21" type="noConversion"/>
  </si>
  <si>
    <t>否</t>
    <phoneticPr fontId="21" type="noConversion"/>
  </si>
  <si>
    <t>是</t>
    <phoneticPr fontId="21" type="noConversion"/>
  </si>
  <si>
    <t>100号</t>
    <phoneticPr fontId="228" type="noConversion"/>
  </si>
  <si>
    <t>23号地</t>
    <phoneticPr fontId="228" type="noConversion"/>
  </si>
  <si>
    <t>土地（套用方法）</t>
  </si>
  <si>
    <t>98号</t>
    <phoneticPr fontId="228" type="noConversion"/>
  </si>
  <si>
    <t>是</t>
    <phoneticPr fontId="21" type="noConversion"/>
  </si>
  <si>
    <t>60-70（含）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</si>
</sst>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_ * #,##0.00000_ ;_ * \-#,##0.00000_ ;_ * &quot;-&quot;??_ ;_ @_ "/>
    <numFmt numFmtId="197" formatCode="#,##0.00_ "/>
    <numFmt numFmtId="198" formatCode="_ * #,##0.000000_ ;_ * \-#,##0.000000_ ;_ * &quot;-&quot;??_ ;_ @_ "/>
    <numFmt numFmtId="199" formatCode="#,##0.00_);[Red]\(#,##0.00\)"/>
    <numFmt numFmtId="200" formatCode="#,##0.00_ ;[Red]\-#,##0.00\ "/>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8"/>
      <name val="宋体"/>
      <family val="3"/>
      <charset val="134"/>
    </font>
    <font>
      <sz val="12"/>
      <name val="宋体"/>
      <family val="3"/>
      <charset val="134"/>
      <scheme val="minor"/>
    </font>
    <font>
      <b/>
      <sz val="11"/>
      <name val="宋体"/>
      <family val="3"/>
      <charset val="134"/>
      <scheme val="minor"/>
    </font>
    <font>
      <sz val="11"/>
      <name val="宋体"/>
      <family val="3"/>
      <charset val="134"/>
      <scheme val="minor"/>
    </font>
    <font>
      <b/>
      <sz val="18"/>
      <name val="宋体"/>
      <family val="3"/>
      <charset val="134"/>
      <scheme val="minor"/>
    </font>
    <font>
      <sz val="12"/>
      <name val="Times New Roman"/>
      <family val="1"/>
    </font>
    <font>
      <b/>
      <sz val="12"/>
      <name val="华文细黑"/>
      <family val="3"/>
      <charset val="134"/>
    </font>
    <font>
      <sz val="12"/>
      <name val="华文细黑"/>
      <family val="3"/>
      <charset val="134"/>
    </font>
    <font>
      <sz val="11"/>
      <color theme="1"/>
      <name val="华文细黑"/>
      <family val="3"/>
      <charset val="134"/>
    </font>
    <font>
      <b/>
      <sz val="10"/>
      <color indexed="1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8" tint="0.79995117038483843"/>
        <bgColor indexed="64"/>
      </patternFill>
    </fill>
    <fill>
      <patternFill patternType="solid">
        <fgColor theme="8" tint="0.79995117038483843"/>
        <bgColor indexed="9"/>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176" fontId="32" fillId="0" borderId="0" applyFont="0" applyFill="0" applyBorder="0" applyAlignment="0" applyProtection="0"/>
    <xf numFmtId="0" fontId="32" fillId="0" borderId="0">
      <alignment vertical="center"/>
    </xf>
    <xf numFmtId="0" fontId="86" fillId="0" borderId="0"/>
  </cellStyleXfs>
  <cellXfs count="37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81" fillId="0" borderId="0" xfId="16" applyFont="1" applyAlignment="1">
      <alignment vertical="center"/>
    </xf>
    <xf numFmtId="0" fontId="282" fillId="0" borderId="0" xfId="16" applyFont="1" applyBorder="1" applyAlignment="1">
      <alignment horizontal="left" vertical="center"/>
    </xf>
    <xf numFmtId="0" fontId="283" fillId="0" borderId="0" xfId="16" applyFont="1" applyBorder="1" applyAlignment="1">
      <alignment vertical="center"/>
    </xf>
    <xf numFmtId="0" fontId="283" fillId="0" borderId="0" xfId="16" applyFont="1" applyAlignment="1">
      <alignment vertical="center"/>
    </xf>
    <xf numFmtId="0" fontId="282" fillId="0" borderId="157" xfId="16" applyFont="1" applyBorder="1" applyAlignment="1">
      <alignment horizontal="center" vertical="center" wrapText="1"/>
    </xf>
    <xf numFmtId="0" fontId="282" fillId="0" borderId="158" xfId="16" applyFont="1" applyBorder="1" applyAlignment="1">
      <alignment horizontal="center" vertical="center" wrapText="1"/>
    </xf>
    <xf numFmtId="0" fontId="282" fillId="0" borderId="158" xfId="16" applyFont="1" applyFill="1" applyBorder="1" applyAlignment="1">
      <alignment horizontal="center" vertical="center" wrapText="1"/>
    </xf>
    <xf numFmtId="0" fontId="282" fillId="0" borderId="159" xfId="16" applyFont="1" applyBorder="1" applyAlignment="1">
      <alignment horizontal="center" vertical="center" wrapText="1"/>
    </xf>
    <xf numFmtId="0" fontId="282" fillId="0" borderId="0" xfId="16" applyFont="1" applyAlignment="1">
      <alignment horizontal="center" vertical="center" wrapText="1"/>
    </xf>
    <xf numFmtId="1" fontId="283" fillId="0" borderId="0" xfId="16" applyNumberFormat="1" applyFont="1" applyAlignment="1">
      <alignment vertical="center"/>
    </xf>
    <xf numFmtId="0" fontId="282" fillId="20" borderId="160" xfId="16" applyFont="1" applyFill="1" applyBorder="1" applyAlignment="1">
      <alignment horizontal="center" vertical="center"/>
    </xf>
    <xf numFmtId="0" fontId="282" fillId="20" borderId="161" xfId="16" applyFont="1" applyFill="1" applyBorder="1" applyAlignment="1">
      <alignment vertical="center"/>
    </xf>
    <xf numFmtId="177" fontId="282" fillId="20" borderId="161" xfId="17" applyNumberFormat="1" applyFont="1" applyFill="1" applyBorder="1" applyAlignment="1">
      <alignment vertical="center"/>
    </xf>
    <xf numFmtId="177" fontId="282" fillId="20" borderId="162" xfId="17" applyNumberFormat="1" applyFont="1" applyFill="1" applyBorder="1" applyAlignment="1">
      <alignment horizontal="center" vertical="center"/>
    </xf>
    <xf numFmtId="0" fontId="283" fillId="20" borderId="0" xfId="16" applyFont="1" applyFill="1" applyAlignment="1">
      <alignment vertical="center"/>
    </xf>
    <xf numFmtId="0" fontId="283" fillId="0" borderId="160" xfId="16" applyFont="1" applyBorder="1" applyAlignment="1">
      <alignment horizontal="center" vertical="center"/>
    </xf>
    <xf numFmtId="0" fontId="283" fillId="0" borderId="161" xfId="16" applyFont="1" applyBorder="1" applyAlignment="1">
      <alignment vertical="center"/>
    </xf>
    <xf numFmtId="0" fontId="283" fillId="0" borderId="161" xfId="16" applyFont="1" applyFill="1" applyBorder="1" applyAlignment="1">
      <alignment vertical="center" wrapText="1"/>
    </xf>
    <xf numFmtId="177" fontId="283" fillId="0" borderId="161" xfId="17" applyNumberFormat="1" applyFont="1" applyFill="1" applyBorder="1" applyAlignment="1">
      <alignment vertical="center"/>
    </xf>
    <xf numFmtId="177" fontId="283" fillId="0" borderId="163" xfId="16" applyNumberFormat="1" applyFont="1" applyBorder="1" applyAlignment="1">
      <alignment horizontal="center" vertical="center"/>
    </xf>
    <xf numFmtId="0" fontId="283" fillId="0" borderId="161" xfId="16" applyFont="1" applyFill="1" applyBorder="1" applyAlignment="1">
      <alignment vertical="center"/>
    </xf>
    <xf numFmtId="0" fontId="283" fillId="0" borderId="0" xfId="16" applyFont="1" applyAlignment="1">
      <alignment vertical="center" shrinkToFit="1"/>
    </xf>
    <xf numFmtId="177" fontId="282" fillId="20" borderId="163" xfId="17" applyNumberFormat="1" applyFont="1" applyFill="1" applyBorder="1" applyAlignment="1">
      <alignment horizontal="center" vertical="center"/>
    </xf>
    <xf numFmtId="180" fontId="283" fillId="20" borderId="0" xfId="16" applyNumberFormat="1" applyFont="1" applyFill="1" applyAlignment="1">
      <alignment vertical="center"/>
    </xf>
    <xf numFmtId="176" fontId="283" fillId="20" borderId="0" xfId="16" applyNumberFormat="1" applyFont="1" applyFill="1" applyAlignment="1">
      <alignment vertical="center"/>
    </xf>
    <xf numFmtId="180" fontId="283" fillId="0" borderId="0" xfId="16" applyNumberFormat="1" applyFont="1" applyAlignment="1">
      <alignment vertical="center"/>
    </xf>
    <xf numFmtId="195" fontId="283" fillId="0" borderId="0" xfId="16" applyNumberFormat="1" applyFont="1" applyAlignment="1">
      <alignment vertical="center"/>
    </xf>
    <xf numFmtId="0" fontId="147" fillId="0" borderId="0" xfId="16" applyFont="1" applyAlignment="1">
      <alignment vertical="center"/>
    </xf>
    <xf numFmtId="180" fontId="147" fillId="0" borderId="0" xfId="16" applyNumberFormat="1" applyFont="1" applyAlignment="1">
      <alignment vertical="center"/>
    </xf>
    <xf numFmtId="0" fontId="283" fillId="8" borderId="160" xfId="16" applyFont="1" applyFill="1" applyBorder="1" applyAlignment="1">
      <alignment horizontal="center" vertical="center"/>
    </xf>
    <xf numFmtId="0" fontId="283" fillId="8" borderId="161" xfId="16" applyFont="1" applyFill="1" applyBorder="1" applyAlignment="1">
      <alignment vertical="center"/>
    </xf>
    <xf numFmtId="0" fontId="283" fillId="8" borderId="0" xfId="16" applyFont="1" applyFill="1" applyAlignment="1">
      <alignment vertical="center"/>
    </xf>
    <xf numFmtId="49" fontId="283" fillId="8" borderId="160" xfId="16" applyNumberFormat="1" applyFont="1" applyFill="1" applyBorder="1" applyAlignment="1">
      <alignment horizontal="center" vertical="center"/>
    </xf>
    <xf numFmtId="176" fontId="283" fillId="0" borderId="0" xfId="16" applyNumberFormat="1" applyFont="1" applyAlignment="1">
      <alignment vertical="center"/>
    </xf>
    <xf numFmtId="176" fontId="147" fillId="0" borderId="0" xfId="16" applyNumberFormat="1" applyFont="1" applyAlignment="1">
      <alignment vertical="center"/>
    </xf>
    <xf numFmtId="196" fontId="283" fillId="20" borderId="0" xfId="16" applyNumberFormat="1" applyFont="1" applyFill="1" applyAlignment="1">
      <alignment vertical="center"/>
    </xf>
    <xf numFmtId="177" fontId="283" fillId="0" borderId="161" xfId="17" applyNumberFormat="1" applyFont="1" applyBorder="1" applyAlignment="1">
      <alignment vertical="center"/>
    </xf>
    <xf numFmtId="197" fontId="283" fillId="0" borderId="0" xfId="16" applyNumberFormat="1" applyFont="1" applyAlignment="1">
      <alignment horizontal="center" vertical="center"/>
    </xf>
    <xf numFmtId="198" fontId="283" fillId="0" borderId="0" xfId="16" applyNumberFormat="1" applyFont="1" applyAlignment="1">
      <alignment vertical="center"/>
    </xf>
    <xf numFmtId="180" fontId="283" fillId="0" borderId="0" xfId="16" applyNumberFormat="1" applyFont="1" applyAlignment="1">
      <alignment horizontal="center" vertical="center"/>
    </xf>
    <xf numFmtId="10" fontId="283" fillId="0" borderId="0" xfId="16" applyNumberFormat="1" applyFont="1" applyAlignment="1">
      <alignment vertical="center"/>
    </xf>
    <xf numFmtId="0" fontId="283" fillId="0" borderId="0" xfId="16" applyFont="1" applyAlignment="1">
      <alignment horizontal="center" vertical="center"/>
    </xf>
    <xf numFmtId="0" fontId="283" fillId="0" borderId="0" xfId="16" applyFont="1"/>
    <xf numFmtId="0" fontId="282" fillId="20" borderId="164" xfId="16" applyFont="1" applyFill="1" applyBorder="1" applyAlignment="1">
      <alignment horizontal="center" vertical="center"/>
    </xf>
    <xf numFmtId="0" fontId="282" fillId="20" borderId="165" xfId="16" applyFont="1" applyFill="1" applyBorder="1" applyAlignment="1">
      <alignment horizontal="center" vertical="center"/>
    </xf>
    <xf numFmtId="197" fontId="282" fillId="20" borderId="165" xfId="17" applyNumberFormat="1" applyFont="1" applyFill="1" applyBorder="1" applyAlignment="1">
      <alignment vertical="center"/>
    </xf>
    <xf numFmtId="180" fontId="282" fillId="20" borderId="166" xfId="17" applyNumberFormat="1" applyFont="1" applyFill="1" applyBorder="1" applyAlignment="1">
      <alignment horizontal="center" vertical="center"/>
    </xf>
    <xf numFmtId="176" fontId="283" fillId="20" borderId="0" xfId="16" applyNumberFormat="1" applyFont="1" applyFill="1" applyAlignment="1">
      <alignment horizontal="center" vertical="center"/>
    </xf>
    <xf numFmtId="176" fontId="283" fillId="20" borderId="0" xfId="17" applyFont="1" applyFill="1" applyAlignment="1">
      <alignment vertical="center"/>
    </xf>
    <xf numFmtId="0" fontId="32" fillId="0" borderId="0" xfId="16" applyFont="1" applyFill="1" applyAlignment="1">
      <alignment horizontal="center" vertical="center"/>
    </xf>
    <xf numFmtId="180" fontId="32" fillId="0" borderId="0" xfId="16" applyNumberFormat="1" applyFont="1" applyAlignment="1">
      <alignment vertical="center"/>
    </xf>
    <xf numFmtId="0" fontId="32" fillId="0" borderId="0" xfId="16" applyFont="1" applyAlignment="1">
      <alignment horizontal="left" vertical="center"/>
    </xf>
    <xf numFmtId="0" fontId="32" fillId="0" borderId="0" xfId="16" applyFont="1" applyAlignment="1">
      <alignment vertical="center"/>
    </xf>
    <xf numFmtId="0" fontId="32" fillId="0" borderId="0" xfId="16" applyAlignment="1">
      <alignment horizontal="center" vertical="center"/>
    </xf>
    <xf numFmtId="0" fontId="32" fillId="0" borderId="0" xfId="16" applyAlignment="1">
      <alignment vertical="center"/>
    </xf>
    <xf numFmtId="0" fontId="32" fillId="0" borderId="0" xfId="16" applyFill="1" applyAlignment="1">
      <alignment vertical="center"/>
    </xf>
    <xf numFmtId="180" fontId="32" fillId="0" borderId="0" xfId="16" applyNumberFormat="1" applyAlignment="1">
      <alignment vertical="center"/>
    </xf>
    <xf numFmtId="176" fontId="32" fillId="0" borderId="0" xfId="16" applyNumberFormat="1" applyAlignment="1">
      <alignment vertical="center"/>
    </xf>
    <xf numFmtId="176" fontId="32" fillId="0" borderId="0" xfId="16" applyNumberFormat="1" applyAlignment="1">
      <alignment horizontal="center" vertical="center"/>
    </xf>
    <xf numFmtId="176" fontId="32" fillId="0" borderId="0" xfId="16" applyNumberFormat="1" applyFill="1" applyAlignment="1">
      <alignment vertical="center"/>
    </xf>
    <xf numFmtId="0" fontId="281" fillId="0" borderId="0" xfId="16" applyFont="1"/>
    <xf numFmtId="37" fontId="283" fillId="0" borderId="161" xfId="16" applyNumberFormat="1" applyFont="1" applyFill="1" applyBorder="1" applyAlignment="1" applyProtection="1">
      <alignment horizontal="center"/>
    </xf>
    <xf numFmtId="0" fontId="283" fillId="0" borderId="161" xfId="16" applyFont="1" applyBorder="1" applyAlignment="1">
      <alignment horizontal="center"/>
    </xf>
    <xf numFmtId="0" fontId="283" fillId="0" borderId="163" xfId="16" applyFont="1" applyBorder="1" applyAlignment="1">
      <alignment horizontal="center"/>
    </xf>
    <xf numFmtId="0" fontId="283" fillId="0" borderId="160" xfId="16" applyNumberFormat="1" applyFont="1" applyBorder="1" applyAlignment="1" applyProtection="1">
      <alignment horizontal="center" vertical="center"/>
    </xf>
    <xf numFmtId="0" fontId="282" fillId="0" borderId="161" xfId="16" applyFont="1" applyBorder="1" applyAlignment="1">
      <alignment horizontal="left" vertical="center"/>
    </xf>
    <xf numFmtId="195" fontId="282" fillId="0" borderId="161" xfId="17" applyNumberFormat="1" applyFont="1" applyFill="1" applyBorder="1" applyAlignment="1" applyProtection="1">
      <alignment horizontal="right" vertical="center"/>
    </xf>
    <xf numFmtId="0" fontId="282" fillId="0" borderId="161" xfId="16" applyFont="1" applyBorder="1" applyAlignment="1">
      <alignment horizontal="center"/>
    </xf>
    <xf numFmtId="0" fontId="282" fillId="0" borderId="163" xfId="16" applyFont="1" applyBorder="1" applyAlignment="1">
      <alignment horizontal="center"/>
    </xf>
    <xf numFmtId="0" fontId="282" fillId="0" borderId="161" xfId="16" applyFont="1" applyBorder="1" applyAlignment="1" applyProtection="1">
      <alignment horizontal="left" vertical="center" wrapText="1"/>
    </xf>
    <xf numFmtId="0" fontId="247" fillId="0" borderId="161" xfId="16" applyFont="1" applyBorder="1" applyAlignment="1" applyProtection="1">
      <alignment horizontal="left" vertical="center" wrapText="1"/>
    </xf>
    <xf numFmtId="176" fontId="283" fillId="0" borderId="0" xfId="16" applyNumberFormat="1" applyFont="1"/>
    <xf numFmtId="176" fontId="283" fillId="0" borderId="0" xfId="17" applyFont="1"/>
    <xf numFmtId="176" fontId="282" fillId="0" borderId="161" xfId="17" applyFont="1" applyFill="1" applyBorder="1" applyAlignment="1" applyProtection="1">
      <alignment horizontal="right" vertical="center"/>
    </xf>
    <xf numFmtId="0" fontId="247" fillId="0" borderId="161" xfId="16" applyFont="1" applyBorder="1" applyAlignment="1" applyProtection="1">
      <alignment vertical="center" wrapText="1"/>
    </xf>
    <xf numFmtId="0" fontId="282" fillId="8" borderId="161" xfId="16" applyFont="1" applyFill="1" applyBorder="1" applyAlignment="1" applyProtection="1">
      <alignment vertical="center" wrapText="1"/>
    </xf>
    <xf numFmtId="0" fontId="282" fillId="20" borderId="161" xfId="16" applyFont="1" applyFill="1" applyBorder="1" applyAlignment="1" applyProtection="1">
      <alignment horizontal="left" vertical="center"/>
    </xf>
    <xf numFmtId="195" fontId="282" fillId="21" borderId="161" xfId="17" applyNumberFormat="1" applyFont="1" applyFill="1" applyBorder="1" applyAlignment="1" applyProtection="1">
      <alignment horizontal="right" vertical="center"/>
    </xf>
    <xf numFmtId="10" fontId="282" fillId="21" borderId="161" xfId="17" applyNumberFormat="1" applyFont="1" applyFill="1" applyBorder="1" applyAlignment="1" applyProtection="1">
      <alignment horizontal="right" vertical="center"/>
    </xf>
    <xf numFmtId="195" fontId="282" fillId="21" borderId="163" xfId="17" applyNumberFormat="1" applyFont="1" applyFill="1" applyBorder="1" applyAlignment="1" applyProtection="1">
      <alignment horizontal="right" vertical="center"/>
    </xf>
    <xf numFmtId="0" fontId="283" fillId="20" borderId="0" xfId="16" applyFont="1" applyFill="1"/>
    <xf numFmtId="0" fontId="283" fillId="0" borderId="161" xfId="16" applyFont="1" applyBorder="1" applyAlignment="1" applyProtection="1">
      <alignment horizontal="left" vertical="center"/>
    </xf>
    <xf numFmtId="10" fontId="282" fillId="0" borderId="161" xfId="16" applyNumberFormat="1" applyFont="1" applyBorder="1" applyAlignment="1" applyProtection="1">
      <alignment horizontal="right" vertical="center"/>
    </xf>
    <xf numFmtId="199" fontId="282" fillId="0" borderId="163" xfId="16" applyNumberFormat="1" applyFont="1" applyFill="1" applyBorder="1" applyAlignment="1" applyProtection="1">
      <alignment horizontal="right" vertical="center"/>
    </xf>
    <xf numFmtId="0" fontId="283" fillId="0" borderId="161" xfId="16" applyFont="1" applyBorder="1" applyAlignment="1" applyProtection="1">
      <alignment horizontal="left" vertical="center" wrapText="1"/>
    </xf>
    <xf numFmtId="195" fontId="282" fillId="20" borderId="161" xfId="17" applyNumberFormat="1" applyFont="1" applyFill="1" applyBorder="1" applyAlignment="1" applyProtection="1">
      <alignment horizontal="right" vertical="center"/>
    </xf>
    <xf numFmtId="195" fontId="282" fillId="20" borderId="161" xfId="11" applyNumberFormat="1" applyFont="1" applyFill="1" applyBorder="1" applyAlignment="1" applyProtection="1">
      <alignment horizontal="right" vertical="center"/>
    </xf>
    <xf numFmtId="195" fontId="282" fillId="20" borderId="163" xfId="17" applyNumberFormat="1" applyFont="1" applyFill="1" applyBorder="1" applyAlignment="1" applyProtection="1">
      <alignment horizontal="right" vertical="center"/>
    </xf>
    <xf numFmtId="195" fontId="282" fillId="0" borderId="161" xfId="16" applyNumberFormat="1" applyFont="1" applyBorder="1" applyAlignment="1" applyProtection="1">
      <alignment horizontal="right" vertical="center"/>
    </xf>
    <xf numFmtId="195" fontId="282" fillId="0" borderId="163" xfId="16" applyNumberFormat="1" applyFont="1" applyFill="1" applyBorder="1" applyAlignment="1" applyProtection="1">
      <alignment horizontal="right" vertical="center"/>
    </xf>
    <xf numFmtId="0" fontId="282" fillId="20" borderId="161" xfId="16" applyFont="1" applyFill="1" applyBorder="1" applyAlignment="1" applyProtection="1">
      <alignment horizontal="right" vertical="center"/>
    </xf>
    <xf numFmtId="199" fontId="282" fillId="20" borderId="163" xfId="16" applyNumberFormat="1" applyFont="1" applyFill="1" applyBorder="1" applyAlignment="1" applyProtection="1">
      <alignment horizontal="right" vertical="center"/>
    </xf>
    <xf numFmtId="0" fontId="283" fillId="8" borderId="161" xfId="16" applyFont="1" applyFill="1" applyBorder="1" applyAlignment="1" applyProtection="1">
      <alignment horizontal="left" vertical="center" wrapText="1"/>
    </xf>
    <xf numFmtId="176" fontId="282" fillId="0" borderId="161" xfId="17" applyNumberFormat="1" applyFont="1" applyBorder="1" applyAlignment="1" applyProtection="1">
      <alignment horizontal="right" vertical="center"/>
    </xf>
    <xf numFmtId="0" fontId="282" fillId="0" borderId="161" xfId="16" applyFont="1" applyBorder="1" applyAlignment="1" applyProtection="1">
      <alignment horizontal="right" vertical="center"/>
    </xf>
    <xf numFmtId="0" fontId="283" fillId="8" borderId="161" xfId="16" applyFont="1" applyFill="1" applyBorder="1" applyAlignment="1" applyProtection="1">
      <alignment horizontal="left" vertical="center"/>
    </xf>
    <xf numFmtId="195" fontId="282" fillId="0" borderId="161" xfId="17" applyNumberFormat="1" applyFont="1" applyBorder="1" applyAlignment="1" applyProtection="1">
      <alignment horizontal="right" vertical="center"/>
    </xf>
    <xf numFmtId="0" fontId="282" fillId="20" borderId="161" xfId="16" applyFont="1" applyFill="1" applyBorder="1" applyAlignment="1" applyProtection="1">
      <alignment horizontal="left" vertical="center" wrapText="1"/>
    </xf>
    <xf numFmtId="176" fontId="282" fillId="20" borderId="161" xfId="17" applyFont="1" applyFill="1" applyBorder="1" applyAlignment="1" applyProtection="1">
      <alignment horizontal="right" vertical="center"/>
    </xf>
    <xf numFmtId="200" fontId="282" fillId="20" borderId="161" xfId="16" applyNumberFormat="1" applyFont="1" applyFill="1" applyBorder="1" applyAlignment="1" applyProtection="1">
      <alignment horizontal="right" vertical="center"/>
    </xf>
    <xf numFmtId="200" fontId="282" fillId="20" borderId="163" xfId="16" applyNumberFormat="1" applyFont="1" applyFill="1" applyBorder="1" applyAlignment="1" applyProtection="1">
      <alignment horizontal="right" vertical="center"/>
    </xf>
    <xf numFmtId="0" fontId="282" fillId="0" borderId="161" xfId="16" applyFont="1" applyFill="1" applyBorder="1" applyAlignment="1" applyProtection="1">
      <alignment horizontal="left" vertical="center" wrapText="1"/>
    </xf>
    <xf numFmtId="10" fontId="282" fillId="0" borderId="161" xfId="11" applyNumberFormat="1" applyFont="1" applyFill="1" applyBorder="1" applyAlignment="1" applyProtection="1">
      <alignment horizontal="right" vertical="center"/>
    </xf>
    <xf numFmtId="200" fontId="282" fillId="0" borderId="161" xfId="16" applyNumberFormat="1" applyFont="1" applyFill="1" applyBorder="1" applyAlignment="1" applyProtection="1">
      <alignment horizontal="right" vertical="center"/>
    </xf>
    <xf numFmtId="200" fontId="282" fillId="0" borderId="163" xfId="16" applyNumberFormat="1" applyFont="1" applyFill="1" applyBorder="1" applyAlignment="1" applyProtection="1">
      <alignment horizontal="right" vertical="center"/>
    </xf>
    <xf numFmtId="0" fontId="283" fillId="0" borderId="161" xfId="16" applyFont="1" applyFill="1" applyBorder="1" applyAlignment="1" applyProtection="1">
      <alignment horizontal="left" vertical="center"/>
    </xf>
    <xf numFmtId="0" fontId="283" fillId="20" borderId="161" xfId="16" applyFont="1" applyFill="1" applyBorder="1" applyAlignment="1" applyProtection="1">
      <alignment horizontal="left" vertical="center" wrapText="1"/>
    </xf>
    <xf numFmtId="10" fontId="282" fillId="0" borderId="161" xfId="11" applyNumberFormat="1" applyFont="1" applyBorder="1" applyAlignment="1" applyProtection="1">
      <alignment horizontal="right" vertical="center"/>
    </xf>
    <xf numFmtId="200" fontId="282" fillId="0" borderId="161" xfId="16" applyNumberFormat="1" applyFont="1" applyBorder="1" applyAlignment="1" applyProtection="1">
      <alignment horizontal="right" vertical="center"/>
    </xf>
    <xf numFmtId="200" fontId="282" fillId="0" borderId="163" xfId="16" applyNumberFormat="1" applyFont="1" applyBorder="1" applyAlignment="1" applyProtection="1">
      <alignment horizontal="right" vertical="center"/>
    </xf>
    <xf numFmtId="0" fontId="282" fillId="20" borderId="165" xfId="16" applyFont="1" applyFill="1" applyBorder="1" applyAlignment="1" applyProtection="1">
      <alignment horizontal="left" vertical="center" wrapText="1"/>
    </xf>
    <xf numFmtId="197" fontId="282" fillId="20" borderId="165" xfId="17" applyNumberFormat="1" applyFont="1" applyFill="1" applyBorder="1" applyAlignment="1" applyProtection="1">
      <alignment horizontal="right" vertical="center"/>
    </xf>
    <xf numFmtId="195" fontId="282" fillId="20" borderId="165" xfId="17" applyNumberFormat="1" applyFont="1" applyFill="1" applyBorder="1" applyAlignment="1" applyProtection="1">
      <alignment horizontal="right" vertical="center"/>
    </xf>
    <xf numFmtId="195" fontId="282" fillId="20" borderId="166" xfId="17" applyNumberFormat="1" applyFont="1" applyFill="1" applyBorder="1" applyAlignment="1" applyProtection="1">
      <alignment horizontal="right" vertical="center"/>
    </xf>
    <xf numFmtId="176" fontId="283" fillId="20" borderId="0" xfId="16" applyNumberFormat="1" applyFont="1" applyFill="1"/>
    <xf numFmtId="0" fontId="285" fillId="0" borderId="0" xfId="16" applyFont="1" applyAlignment="1">
      <alignment vertical="center"/>
    </xf>
    <xf numFmtId="0" fontId="285" fillId="0" borderId="0" xfId="16" applyFont="1"/>
    <xf numFmtId="3" fontId="285" fillId="0" borderId="0" xfId="16" applyNumberFormat="1" applyFont="1"/>
    <xf numFmtId="4" fontId="285" fillId="0" borderId="0" xfId="16" applyNumberFormat="1" applyFont="1"/>
    <xf numFmtId="0" fontId="287" fillId="0" borderId="0" xfId="16" applyFont="1" applyFill="1" applyAlignment="1">
      <alignment horizontal="left"/>
    </xf>
    <xf numFmtId="0" fontId="287" fillId="0" borderId="0" xfId="16" applyFont="1" applyAlignment="1">
      <alignment horizontal="left"/>
    </xf>
    <xf numFmtId="0" fontId="286" fillId="0" borderId="2" xfId="16" applyFont="1" applyBorder="1" applyAlignment="1">
      <alignment horizontal="left"/>
    </xf>
    <xf numFmtId="0" fontId="286" fillId="0" borderId="2" xfId="16" applyFont="1" applyFill="1" applyBorder="1" applyAlignment="1">
      <alignment horizontal="left"/>
    </xf>
    <xf numFmtId="0" fontId="286" fillId="0" borderId="0" xfId="16" applyFont="1" applyFill="1" applyAlignment="1">
      <alignment horizontal="left"/>
    </xf>
    <xf numFmtId="1" fontId="287" fillId="0" borderId="0" xfId="16" applyNumberFormat="1" applyFont="1" applyAlignment="1">
      <alignment horizontal="left"/>
    </xf>
    <xf numFmtId="10" fontId="287" fillId="0" borderId="0" xfId="16" applyNumberFormat="1" applyFont="1" applyAlignment="1">
      <alignment horizontal="left"/>
    </xf>
    <xf numFmtId="1" fontId="286" fillId="0" borderId="2" xfId="16" applyNumberFormat="1" applyFont="1" applyFill="1" applyBorder="1" applyAlignment="1">
      <alignment horizontal="left"/>
    </xf>
    <xf numFmtId="1" fontId="286" fillId="0" borderId="0" xfId="16" applyNumberFormat="1" applyFont="1" applyFill="1" applyAlignment="1">
      <alignment horizontal="left"/>
    </xf>
    <xf numFmtId="0" fontId="287" fillId="0" borderId="2" xfId="16" applyFont="1" applyBorder="1" applyAlignment="1">
      <alignment horizontal="left"/>
    </xf>
    <xf numFmtId="1" fontId="287" fillId="0" borderId="2" xfId="16" applyNumberFormat="1" applyFont="1" applyFill="1" applyBorder="1" applyAlignment="1">
      <alignment horizontal="left"/>
    </xf>
    <xf numFmtId="1" fontId="287" fillId="0" borderId="0" xfId="16" applyNumberFormat="1" applyFont="1" applyFill="1" applyAlignment="1">
      <alignment horizontal="left"/>
    </xf>
    <xf numFmtId="1" fontId="286" fillId="0" borderId="0" xfId="16" applyNumberFormat="1" applyFont="1" applyAlignment="1">
      <alignment horizontal="left"/>
    </xf>
    <xf numFmtId="0" fontId="286" fillId="0" borderId="0" xfId="16" applyFont="1" applyAlignment="1">
      <alignment horizontal="left"/>
    </xf>
    <xf numFmtId="178" fontId="287" fillId="0" borderId="2" xfId="16" applyNumberFormat="1" applyFont="1" applyFill="1" applyBorder="1" applyAlignment="1">
      <alignment horizontal="left"/>
    </xf>
    <xf numFmtId="0" fontId="287" fillId="0" borderId="2" xfId="16" applyFont="1" applyBorder="1" applyAlignment="1">
      <alignment horizontal="left" wrapText="1"/>
    </xf>
    <xf numFmtId="0" fontId="287" fillId="0" borderId="2" xfId="16" applyFont="1" applyFill="1" applyBorder="1" applyAlignment="1">
      <alignment horizontal="left" wrapText="1"/>
    </xf>
    <xf numFmtId="0" fontId="287" fillId="0" borderId="0" xfId="16" applyFont="1" applyAlignment="1">
      <alignment horizontal="left" wrapText="1"/>
    </xf>
    <xf numFmtId="0" fontId="287" fillId="0" borderId="2" xfId="16" applyFont="1" applyFill="1" applyBorder="1" applyAlignment="1">
      <alignment horizontal="left"/>
    </xf>
    <xf numFmtId="180" fontId="287" fillId="0" borderId="2" xfId="16" applyNumberFormat="1" applyFont="1" applyFill="1" applyBorder="1" applyAlignment="1">
      <alignment horizontal="left"/>
    </xf>
    <xf numFmtId="180" fontId="287" fillId="0" borderId="2" xfId="16" applyNumberFormat="1" applyFont="1" applyBorder="1" applyAlignment="1">
      <alignment horizontal="left"/>
    </xf>
    <xf numFmtId="178" fontId="287" fillId="0" borderId="2" xfId="16" applyNumberFormat="1" applyFont="1" applyBorder="1" applyAlignment="1">
      <alignment horizontal="left"/>
    </xf>
    <xf numFmtId="0" fontId="287" fillId="0" borderId="2" xfId="16" applyNumberFormat="1" applyFont="1" applyBorder="1" applyAlignment="1">
      <alignment horizontal="left"/>
    </xf>
    <xf numFmtId="180" fontId="286" fillId="0" borderId="2" xfId="16" applyNumberFormat="1" applyFont="1" applyBorder="1" applyAlignment="1">
      <alignment horizontal="left"/>
    </xf>
    <xf numFmtId="178" fontId="286" fillId="0" borderId="2" xfId="16" applyNumberFormat="1" applyFont="1" applyBorder="1" applyAlignment="1">
      <alignment horizontal="left"/>
    </xf>
    <xf numFmtId="0" fontId="287" fillId="0" borderId="0" xfId="16" applyFont="1" applyBorder="1" applyAlignment="1">
      <alignment horizontal="left"/>
    </xf>
    <xf numFmtId="0" fontId="287" fillId="0" borderId="0" xfId="16" applyFont="1" applyFill="1" applyBorder="1" applyAlignment="1">
      <alignment horizontal="left"/>
    </xf>
    <xf numFmtId="0" fontId="288" fillId="0" borderId="0" xfId="0" applyFont="1" applyAlignment="1">
      <alignment horizontal="left" vertical="center"/>
    </xf>
    <xf numFmtId="14" fontId="288" fillId="0" borderId="0" xfId="0" applyNumberFormat="1" applyFont="1" applyAlignment="1">
      <alignment horizontal="left" vertical="center"/>
    </xf>
    <xf numFmtId="0" fontId="288" fillId="0" borderId="0" xfId="0" applyNumberFormat="1" applyFont="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287" fillId="0" borderId="0" xfId="16" applyNumberFormat="1" applyFont="1" applyAlignment="1">
      <alignment horizontal="left"/>
    </xf>
    <xf numFmtId="0" fontId="264" fillId="0" borderId="105"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86" fillId="0" borderId="0" xfId="19" applyAlignment="1">
      <alignment horizontal="left"/>
    </xf>
    <xf numFmtId="0" fontId="127" fillId="0" borderId="0" xfId="19" applyFont="1" applyAlignment="1">
      <alignment horizontal="left"/>
    </xf>
    <xf numFmtId="0" fontId="86" fillId="6" borderId="0" xfId="19" applyFill="1" applyAlignment="1">
      <alignment horizontal="left"/>
    </xf>
    <xf numFmtId="0" fontId="86" fillId="9" borderId="0" xfId="19" applyFill="1" applyAlignment="1">
      <alignment horizontal="left"/>
    </xf>
    <xf numFmtId="0" fontId="86" fillId="7" borderId="0" xfId="19" applyFill="1" applyAlignment="1">
      <alignment horizontal="left"/>
    </xf>
    <xf numFmtId="0" fontId="127" fillId="6" borderId="0" xfId="19" applyFont="1" applyFill="1" applyAlignment="1">
      <alignment horizontal="left"/>
    </xf>
    <xf numFmtId="0" fontId="127" fillId="9" borderId="0" xfId="19" applyFont="1" applyFill="1" applyAlignment="1">
      <alignment horizontal="left"/>
    </xf>
    <xf numFmtId="0" fontId="86" fillId="10" borderId="0" xfId="19" applyFill="1" applyAlignment="1">
      <alignment horizontal="left"/>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0" fontId="71" fillId="9" borderId="2"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6" fillId="0" borderId="19" xfId="16"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0" xfId="16" applyFont="1" applyAlignment="1">
      <alignment horizontal="center" vertical="center"/>
    </xf>
    <xf numFmtId="0" fontId="144" fillId="0" borderId="0" xfId="16" applyFont="1" applyAlignment="1">
      <alignment horizontal="center" vertical="center"/>
    </xf>
    <xf numFmtId="0" fontId="282" fillId="0" borderId="91" xfId="16" applyFont="1" applyBorder="1" applyAlignment="1">
      <alignment horizontal="center" vertical="center"/>
    </xf>
    <xf numFmtId="0" fontId="32" fillId="0" borderId="78" xfId="16" applyFont="1" applyBorder="1" applyAlignment="1">
      <alignment horizontal="left"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32" fillId="0" borderId="0" xfId="16" applyFont="1" applyBorder="1" applyAlignment="1">
      <alignment horizontal="left" vertical="center"/>
    </xf>
    <xf numFmtId="0" fontId="285" fillId="0" borderId="0" xfId="16" applyFont="1" applyBorder="1" applyAlignment="1">
      <alignment horizontal="left" vertical="center"/>
    </xf>
    <xf numFmtId="0" fontId="280" fillId="0" borderId="0" xfId="16" applyFont="1" applyAlignment="1" applyProtection="1">
      <alignment horizontal="center" vertical="center"/>
    </xf>
    <xf numFmtId="0" fontId="284" fillId="0" borderId="0" xfId="16" applyFont="1" applyAlignment="1" applyProtection="1">
      <alignment horizontal="center" vertical="center"/>
    </xf>
    <xf numFmtId="0" fontId="282" fillId="0" borderId="91" xfId="16" applyFont="1" applyBorder="1" applyAlignment="1" applyProtection="1">
      <alignment horizontal="left" vertical="center"/>
    </xf>
    <xf numFmtId="0" fontId="282" fillId="0" borderId="91" xfId="16" applyFont="1" applyBorder="1" applyAlignment="1">
      <alignment horizontal="right" vertical="center"/>
    </xf>
    <xf numFmtId="0" fontId="282" fillId="0" borderId="157" xfId="16" applyFont="1" applyBorder="1" applyAlignment="1" applyProtection="1">
      <alignment horizontal="center" vertical="center"/>
    </xf>
    <xf numFmtId="0" fontId="282" fillId="0" borderId="160" xfId="16" applyFont="1" applyBorder="1" applyAlignment="1" applyProtection="1">
      <alignment horizontal="center" vertical="center"/>
    </xf>
    <xf numFmtId="0" fontId="282" fillId="0" borderId="158" xfId="16" applyFont="1" applyBorder="1" applyAlignment="1" applyProtection="1">
      <alignment horizontal="center" vertical="center" wrapText="1"/>
    </xf>
    <xf numFmtId="0" fontId="283" fillId="0" borderId="161" xfId="16" applyFont="1" applyBorder="1" applyAlignment="1">
      <alignment horizontal="center" vertical="center" wrapText="1"/>
    </xf>
    <xf numFmtId="0" fontId="283" fillId="0" borderId="161" xfId="16" applyFont="1" applyBorder="1" applyAlignment="1">
      <alignment horizontal="center" vertical="center"/>
    </xf>
    <xf numFmtId="0" fontId="282" fillId="0" borderId="158" xfId="16" applyFont="1" applyBorder="1" applyAlignment="1">
      <alignment horizontal="center" vertical="center"/>
    </xf>
    <xf numFmtId="0" fontId="282" fillId="0" borderId="159" xfId="16" applyFont="1" applyBorder="1" applyAlignment="1">
      <alignment horizontal="center" vertical="center"/>
    </xf>
    <xf numFmtId="0" fontId="282" fillId="0" borderId="161" xfId="16" applyFont="1" applyBorder="1" applyAlignment="1" applyProtection="1">
      <alignment horizontal="center" vertical="center" wrapText="1"/>
    </xf>
    <xf numFmtId="0" fontId="282" fillId="0" borderId="163" xfId="16" applyFont="1" applyBorder="1" applyAlignment="1" applyProtection="1">
      <alignment horizontal="center" vertical="center" wrapText="1"/>
    </xf>
    <xf numFmtId="0" fontId="283" fillId="0" borderId="163" xfId="16" applyFont="1" applyBorder="1" applyAlignment="1">
      <alignment horizontal="center"/>
    </xf>
  </cellXfs>
  <cellStyles count="20">
    <cellStyle name="百分比 2" xfId="11"/>
    <cellStyle name="常规" xfId="0" builtinId="0"/>
    <cellStyle name="常规 10" xfId="19"/>
    <cellStyle name="常规 16" xfId="1"/>
    <cellStyle name="常规 18" xfId="18"/>
    <cellStyle name="常规 2" xfId="2"/>
    <cellStyle name="常规 2 2" xfId="3"/>
    <cellStyle name="常规 2 2 2 2 3" xfId="12"/>
    <cellStyle name="常规 3" xfId="4"/>
    <cellStyle name="常规 3 2" xfId="5"/>
    <cellStyle name="常规 3 3" xfId="16"/>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171450</xdr:colOff>
      <xdr:row>27</xdr:row>
      <xdr:rowOff>57150</xdr:rowOff>
    </xdr:from>
    <xdr:to>
      <xdr:col>12</xdr:col>
      <xdr:colOff>180300</xdr:colOff>
      <xdr:row>49</xdr:row>
      <xdr:rowOff>94617</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7086600" y="6696075"/>
          <a:ext cx="5400000" cy="5066667"/>
        </a:xfrm>
        <a:prstGeom prst="rect">
          <a:avLst/>
        </a:prstGeom>
      </xdr:spPr>
    </xdr:pic>
    <xdr:clientData/>
  </xdr:twoCellAnchor>
  <xdr:twoCellAnchor editAs="oneCell">
    <xdr:from>
      <xdr:col>0</xdr:col>
      <xdr:colOff>85725</xdr:colOff>
      <xdr:row>28</xdr:row>
      <xdr:rowOff>85725</xdr:rowOff>
    </xdr:from>
    <xdr:to>
      <xdr:col>5</xdr:col>
      <xdr:colOff>780217</xdr:colOff>
      <xdr:row>47</xdr:row>
      <xdr:rowOff>189944</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85725" y="6953250"/>
          <a:ext cx="6666667" cy="4447619"/>
        </a:xfrm>
        <a:prstGeom prst="rect">
          <a:avLst/>
        </a:prstGeom>
      </xdr:spPr>
    </xdr:pic>
    <xdr:clientData/>
  </xdr:twoCellAnchor>
  <xdr:twoCellAnchor editAs="oneCell">
    <xdr:from>
      <xdr:col>12</xdr:col>
      <xdr:colOff>628650</xdr:colOff>
      <xdr:row>28</xdr:row>
      <xdr:rowOff>152400</xdr:rowOff>
    </xdr:from>
    <xdr:to>
      <xdr:col>22</xdr:col>
      <xdr:colOff>561061</xdr:colOff>
      <xdr:row>46</xdr:row>
      <xdr:rowOff>170934</xdr:rowOff>
    </xdr:to>
    <xdr:pic>
      <xdr:nvPicPr>
        <xdr:cNvPr id="4" name="图片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stretch>
          <a:fillRect/>
        </a:stretch>
      </xdr:blipFill>
      <xdr:spPr>
        <a:xfrm>
          <a:off x="12715875" y="7019925"/>
          <a:ext cx="7314286" cy="41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581025</xdr:colOff>
      <xdr:row>83</xdr:row>
      <xdr:rowOff>19050</xdr:rowOff>
    </xdr:from>
    <xdr:to>
      <xdr:col>11</xdr:col>
      <xdr:colOff>685153</xdr:colOff>
      <xdr:row>103</xdr:row>
      <xdr:rowOff>161503</xdr:rowOff>
    </xdr:to>
    <xdr:pic>
      <xdr:nvPicPr>
        <xdr:cNvPr id="2" name="图片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7381875" y="13458825"/>
          <a:ext cx="5180953" cy="3380953"/>
        </a:xfrm>
        <a:prstGeom prst="rect">
          <a:avLst/>
        </a:prstGeom>
      </xdr:spPr>
    </xdr:pic>
    <xdr:clientData/>
  </xdr:twoCellAnchor>
  <xdr:twoCellAnchor editAs="oneCell">
    <xdr:from>
      <xdr:col>0</xdr:col>
      <xdr:colOff>200025</xdr:colOff>
      <xdr:row>81</xdr:row>
      <xdr:rowOff>152400</xdr:rowOff>
    </xdr:from>
    <xdr:to>
      <xdr:col>7</xdr:col>
      <xdr:colOff>637312</xdr:colOff>
      <xdr:row>105</xdr:row>
      <xdr:rowOff>161438</xdr:rowOff>
    </xdr:to>
    <xdr:pic>
      <xdr:nvPicPr>
        <xdr:cNvPr id="4" name="图片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2"/>
        <a:stretch>
          <a:fillRect/>
        </a:stretch>
      </xdr:blipFill>
      <xdr:spPr>
        <a:xfrm>
          <a:off x="200025" y="13268325"/>
          <a:ext cx="6904762" cy="3895238"/>
        </a:xfrm>
        <a:prstGeom prst="rect">
          <a:avLst/>
        </a:prstGeom>
      </xdr:spPr>
    </xdr:pic>
    <xdr:clientData/>
  </xdr:twoCellAnchor>
  <xdr:twoCellAnchor editAs="oneCell">
    <xdr:from>
      <xdr:col>0</xdr:col>
      <xdr:colOff>200025</xdr:colOff>
      <xdr:row>107</xdr:row>
      <xdr:rowOff>9525</xdr:rowOff>
    </xdr:from>
    <xdr:to>
      <xdr:col>11</xdr:col>
      <xdr:colOff>513126</xdr:colOff>
      <xdr:row>149</xdr:row>
      <xdr:rowOff>65818</xdr:rowOff>
    </xdr:to>
    <xdr:pic>
      <xdr:nvPicPr>
        <xdr:cNvPr id="5" name="图片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3"/>
        <a:stretch>
          <a:fillRect/>
        </a:stretch>
      </xdr:blipFill>
      <xdr:spPr>
        <a:xfrm>
          <a:off x="200025" y="17335500"/>
          <a:ext cx="9800001" cy="6857143"/>
        </a:xfrm>
        <a:prstGeom prst="rect">
          <a:avLst/>
        </a:prstGeom>
      </xdr:spPr>
    </xdr:pic>
    <xdr:clientData/>
  </xdr:twoCellAnchor>
  <xdr:twoCellAnchor editAs="oneCell">
    <xdr:from>
      <xdr:col>12</xdr:col>
      <xdr:colOff>0</xdr:colOff>
      <xdr:row>108</xdr:row>
      <xdr:rowOff>0</xdr:rowOff>
    </xdr:from>
    <xdr:to>
      <xdr:col>23</xdr:col>
      <xdr:colOff>370242</xdr:colOff>
      <xdr:row>125</xdr:row>
      <xdr:rowOff>37751</xdr:rowOff>
    </xdr:to>
    <xdr:pic>
      <xdr:nvPicPr>
        <xdr:cNvPr id="6" name="图片 5">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4"/>
        <a:stretch>
          <a:fillRect/>
        </a:stretch>
      </xdr:blipFill>
      <xdr:spPr>
        <a:xfrm>
          <a:off x="10296525" y="17487900"/>
          <a:ext cx="9866667" cy="2790476"/>
        </a:xfrm>
        <a:prstGeom prst="rect">
          <a:avLst/>
        </a:prstGeom>
      </xdr:spPr>
    </xdr:pic>
    <xdr:clientData/>
  </xdr:twoCellAnchor>
  <xdr:twoCellAnchor editAs="oneCell">
    <xdr:from>
      <xdr:col>12</xdr:col>
      <xdr:colOff>57150</xdr:colOff>
      <xdr:row>127</xdr:row>
      <xdr:rowOff>85725</xdr:rowOff>
    </xdr:from>
    <xdr:to>
      <xdr:col>16</xdr:col>
      <xdr:colOff>466077</xdr:colOff>
      <xdr:row>148</xdr:row>
      <xdr:rowOff>28157</xdr:rowOff>
    </xdr:to>
    <xdr:pic>
      <xdr:nvPicPr>
        <xdr:cNvPr id="7" name="图片 6">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5"/>
        <a:stretch>
          <a:fillRect/>
        </a:stretch>
      </xdr:blipFill>
      <xdr:spPr>
        <a:xfrm>
          <a:off x="10353675" y="20650200"/>
          <a:ext cx="5190477" cy="3342857"/>
        </a:xfrm>
        <a:prstGeom prst="rect">
          <a:avLst/>
        </a:prstGeom>
      </xdr:spPr>
    </xdr:pic>
    <xdr:clientData/>
  </xdr:twoCellAnchor>
  <xdr:twoCellAnchor editAs="oneCell">
    <xdr:from>
      <xdr:col>0</xdr:col>
      <xdr:colOff>323850</xdr:colOff>
      <xdr:row>150</xdr:row>
      <xdr:rowOff>142875</xdr:rowOff>
    </xdr:from>
    <xdr:to>
      <xdr:col>10</xdr:col>
      <xdr:colOff>532290</xdr:colOff>
      <xdr:row>189</xdr:row>
      <xdr:rowOff>8753</xdr:rowOff>
    </xdr:to>
    <xdr:pic>
      <xdr:nvPicPr>
        <xdr:cNvPr id="8" name="图片 7">
          <a:extLst>
            <a:ext uri="{FF2B5EF4-FFF2-40B4-BE49-F238E27FC236}">
              <a16:creationId xmlns:a16="http://schemas.microsoft.com/office/drawing/2014/main" xmlns="" id="{00000000-0008-0000-1400-000008000000}"/>
            </a:ext>
          </a:extLst>
        </xdr:cNvPr>
        <xdr:cNvPicPr>
          <a:picLocks noChangeAspect="1"/>
        </xdr:cNvPicPr>
      </xdr:nvPicPr>
      <xdr:blipFill>
        <a:blip xmlns:r="http://schemas.openxmlformats.org/officeDocument/2006/relationships" r:embed="rId6"/>
        <a:stretch>
          <a:fillRect/>
        </a:stretch>
      </xdr:blipFill>
      <xdr:spPr>
        <a:xfrm>
          <a:off x="323850" y="24431625"/>
          <a:ext cx="8885715" cy="6180953"/>
        </a:xfrm>
        <a:prstGeom prst="rect">
          <a:avLst/>
        </a:prstGeom>
      </xdr:spPr>
    </xdr:pic>
    <xdr:clientData/>
  </xdr:twoCellAnchor>
  <xdr:twoCellAnchor editAs="oneCell">
    <xdr:from>
      <xdr:col>11</xdr:col>
      <xdr:colOff>0</xdr:colOff>
      <xdr:row>157</xdr:row>
      <xdr:rowOff>0</xdr:rowOff>
    </xdr:from>
    <xdr:to>
      <xdr:col>15</xdr:col>
      <xdr:colOff>2028137</xdr:colOff>
      <xdr:row>177</xdr:row>
      <xdr:rowOff>66262</xdr:rowOff>
    </xdr:to>
    <xdr:pic>
      <xdr:nvPicPr>
        <xdr:cNvPr id="9" name="图片 8">
          <a:extLst>
            <a:ext uri="{FF2B5EF4-FFF2-40B4-BE49-F238E27FC236}">
              <a16:creationId xmlns:a16="http://schemas.microsoft.com/office/drawing/2014/main" xmlns="" id="{00000000-0008-0000-1400-000009000000}"/>
            </a:ext>
          </a:extLst>
        </xdr:cNvPr>
        <xdr:cNvPicPr>
          <a:picLocks noChangeAspect="1"/>
        </xdr:cNvPicPr>
      </xdr:nvPicPr>
      <xdr:blipFill>
        <a:blip xmlns:r="http://schemas.openxmlformats.org/officeDocument/2006/relationships" r:embed="rId7"/>
        <a:stretch>
          <a:fillRect/>
        </a:stretch>
      </xdr:blipFill>
      <xdr:spPr>
        <a:xfrm>
          <a:off x="9486900" y="25422225"/>
          <a:ext cx="5504762" cy="3304762"/>
        </a:xfrm>
        <a:prstGeom prst="rect">
          <a:avLst/>
        </a:prstGeom>
      </xdr:spPr>
    </xdr:pic>
    <xdr:clientData/>
  </xdr:twoCellAnchor>
  <xdr:twoCellAnchor editAs="oneCell">
    <xdr:from>
      <xdr:col>0</xdr:col>
      <xdr:colOff>209550</xdr:colOff>
      <xdr:row>189</xdr:row>
      <xdr:rowOff>152400</xdr:rowOff>
    </xdr:from>
    <xdr:to>
      <xdr:col>11</xdr:col>
      <xdr:colOff>475032</xdr:colOff>
      <xdr:row>227</xdr:row>
      <xdr:rowOff>151631</xdr:rowOff>
    </xdr:to>
    <xdr:pic>
      <xdr:nvPicPr>
        <xdr:cNvPr id="10" name="图片 9">
          <a:extLst>
            <a:ext uri="{FF2B5EF4-FFF2-40B4-BE49-F238E27FC236}">
              <a16:creationId xmlns:a16="http://schemas.microsoft.com/office/drawing/2014/main" xmlns="" id="{00000000-0008-0000-1400-00000A000000}"/>
            </a:ext>
          </a:extLst>
        </xdr:cNvPr>
        <xdr:cNvPicPr>
          <a:picLocks noChangeAspect="1"/>
        </xdr:cNvPicPr>
      </xdr:nvPicPr>
      <xdr:blipFill>
        <a:blip xmlns:r="http://schemas.openxmlformats.org/officeDocument/2006/relationships" r:embed="rId8"/>
        <a:stretch>
          <a:fillRect/>
        </a:stretch>
      </xdr:blipFill>
      <xdr:spPr>
        <a:xfrm>
          <a:off x="209550" y="30756225"/>
          <a:ext cx="9752382" cy="6152381"/>
        </a:xfrm>
        <a:prstGeom prst="rect">
          <a:avLst/>
        </a:prstGeom>
      </xdr:spPr>
    </xdr:pic>
    <xdr:clientData/>
  </xdr:twoCellAnchor>
  <xdr:twoCellAnchor editAs="oneCell">
    <xdr:from>
      <xdr:col>12</xdr:col>
      <xdr:colOff>0</xdr:colOff>
      <xdr:row>194</xdr:row>
      <xdr:rowOff>0</xdr:rowOff>
    </xdr:from>
    <xdr:to>
      <xdr:col>16</xdr:col>
      <xdr:colOff>494641</xdr:colOff>
      <xdr:row>214</xdr:row>
      <xdr:rowOff>161500</xdr:rowOff>
    </xdr:to>
    <xdr:pic>
      <xdr:nvPicPr>
        <xdr:cNvPr id="11" name="图片 10">
          <a:extLst>
            <a:ext uri="{FF2B5EF4-FFF2-40B4-BE49-F238E27FC236}">
              <a16:creationId xmlns:a16="http://schemas.microsoft.com/office/drawing/2014/main" xmlns="" id="{00000000-0008-0000-1400-00000B000000}"/>
            </a:ext>
          </a:extLst>
        </xdr:cNvPr>
        <xdr:cNvPicPr>
          <a:picLocks noChangeAspect="1"/>
        </xdr:cNvPicPr>
      </xdr:nvPicPr>
      <xdr:blipFill>
        <a:blip xmlns:r="http://schemas.openxmlformats.org/officeDocument/2006/relationships" r:embed="rId9"/>
        <a:stretch>
          <a:fillRect/>
        </a:stretch>
      </xdr:blipFill>
      <xdr:spPr>
        <a:xfrm>
          <a:off x="10296525" y="31413450"/>
          <a:ext cx="5276191" cy="3400000"/>
        </a:xfrm>
        <a:prstGeom prst="rect">
          <a:avLst/>
        </a:prstGeom>
      </xdr:spPr>
    </xdr:pic>
    <xdr:clientData/>
  </xdr:twoCellAnchor>
  <xdr:twoCellAnchor editAs="oneCell">
    <xdr:from>
      <xdr:col>0</xdr:col>
      <xdr:colOff>171450</xdr:colOff>
      <xdr:row>229</xdr:row>
      <xdr:rowOff>57150</xdr:rowOff>
    </xdr:from>
    <xdr:to>
      <xdr:col>11</xdr:col>
      <xdr:colOff>560741</xdr:colOff>
      <xdr:row>266</xdr:row>
      <xdr:rowOff>142116</xdr:rowOff>
    </xdr:to>
    <xdr:pic>
      <xdr:nvPicPr>
        <xdr:cNvPr id="12" name="图片 11">
          <a:extLst>
            <a:ext uri="{FF2B5EF4-FFF2-40B4-BE49-F238E27FC236}">
              <a16:creationId xmlns:a16="http://schemas.microsoft.com/office/drawing/2014/main" xmlns="" id="{00000000-0008-0000-1400-00000C000000}"/>
            </a:ext>
          </a:extLst>
        </xdr:cNvPr>
        <xdr:cNvPicPr>
          <a:picLocks noChangeAspect="1"/>
        </xdr:cNvPicPr>
      </xdr:nvPicPr>
      <xdr:blipFill>
        <a:blip xmlns:r="http://schemas.openxmlformats.org/officeDocument/2006/relationships" r:embed="rId10"/>
        <a:stretch>
          <a:fillRect/>
        </a:stretch>
      </xdr:blipFill>
      <xdr:spPr>
        <a:xfrm>
          <a:off x="171450" y="37137975"/>
          <a:ext cx="9876191" cy="6076191"/>
        </a:xfrm>
        <a:prstGeom prst="rect">
          <a:avLst/>
        </a:prstGeom>
      </xdr:spPr>
    </xdr:pic>
    <xdr:clientData/>
  </xdr:twoCellAnchor>
  <xdr:twoCellAnchor editAs="oneCell">
    <xdr:from>
      <xdr:col>12</xdr:col>
      <xdr:colOff>0</xdr:colOff>
      <xdr:row>232</xdr:row>
      <xdr:rowOff>0</xdr:rowOff>
    </xdr:from>
    <xdr:to>
      <xdr:col>17</xdr:col>
      <xdr:colOff>389804</xdr:colOff>
      <xdr:row>252</xdr:row>
      <xdr:rowOff>132929</xdr:rowOff>
    </xdr:to>
    <xdr:pic>
      <xdr:nvPicPr>
        <xdr:cNvPr id="13" name="图片 12">
          <a:extLst>
            <a:ext uri="{FF2B5EF4-FFF2-40B4-BE49-F238E27FC236}">
              <a16:creationId xmlns:a16="http://schemas.microsoft.com/office/drawing/2014/main" xmlns="" id="{00000000-0008-0000-1400-00000D000000}"/>
            </a:ext>
          </a:extLst>
        </xdr:cNvPr>
        <xdr:cNvPicPr>
          <a:picLocks noChangeAspect="1"/>
        </xdr:cNvPicPr>
      </xdr:nvPicPr>
      <xdr:blipFill>
        <a:blip xmlns:r="http://schemas.openxmlformats.org/officeDocument/2006/relationships" r:embed="rId11"/>
        <a:stretch>
          <a:fillRect/>
        </a:stretch>
      </xdr:blipFill>
      <xdr:spPr>
        <a:xfrm>
          <a:off x="10296525" y="37566600"/>
          <a:ext cx="5771429" cy="3371429"/>
        </a:xfrm>
        <a:prstGeom prst="rect">
          <a:avLst/>
        </a:prstGeom>
      </xdr:spPr>
    </xdr:pic>
    <xdr:clientData/>
  </xdr:twoCellAnchor>
  <xdr:twoCellAnchor editAs="oneCell">
    <xdr:from>
      <xdr:col>17</xdr:col>
      <xdr:colOff>552450</xdr:colOff>
      <xdr:row>1</xdr:row>
      <xdr:rowOff>57150</xdr:rowOff>
    </xdr:from>
    <xdr:to>
      <xdr:col>32</xdr:col>
      <xdr:colOff>113070</xdr:colOff>
      <xdr:row>39</xdr:row>
      <xdr:rowOff>8717</xdr:rowOff>
    </xdr:to>
    <xdr:pic>
      <xdr:nvPicPr>
        <xdr:cNvPr id="14" name="图片 13">
          <a:extLst>
            <a:ext uri="{FF2B5EF4-FFF2-40B4-BE49-F238E27FC236}">
              <a16:creationId xmlns:a16="http://schemas.microsoft.com/office/drawing/2014/main" xmlns="" id="{00000000-0008-0000-1400-00000E000000}"/>
            </a:ext>
          </a:extLst>
        </xdr:cNvPr>
        <xdr:cNvPicPr>
          <a:picLocks noChangeAspect="1"/>
        </xdr:cNvPicPr>
      </xdr:nvPicPr>
      <xdr:blipFill>
        <a:blip xmlns:r="http://schemas.openxmlformats.org/officeDocument/2006/relationships" r:embed="rId12"/>
        <a:stretch>
          <a:fillRect/>
        </a:stretch>
      </xdr:blipFill>
      <xdr:spPr>
        <a:xfrm>
          <a:off x="16306800" y="228600"/>
          <a:ext cx="9847620" cy="6466667"/>
        </a:xfrm>
        <a:prstGeom prst="rect">
          <a:avLst/>
        </a:prstGeom>
      </xdr:spPr>
    </xdr:pic>
    <xdr:clientData/>
  </xdr:twoCellAnchor>
  <xdr:twoCellAnchor editAs="oneCell">
    <xdr:from>
      <xdr:col>17</xdr:col>
      <xdr:colOff>628650</xdr:colOff>
      <xdr:row>41</xdr:row>
      <xdr:rowOff>114300</xdr:rowOff>
    </xdr:from>
    <xdr:to>
      <xdr:col>32</xdr:col>
      <xdr:colOff>74984</xdr:colOff>
      <xdr:row>79</xdr:row>
      <xdr:rowOff>103961</xdr:rowOff>
    </xdr:to>
    <xdr:pic>
      <xdr:nvPicPr>
        <xdr:cNvPr id="15" name="图片 14">
          <a:extLst>
            <a:ext uri="{FF2B5EF4-FFF2-40B4-BE49-F238E27FC236}">
              <a16:creationId xmlns:a16="http://schemas.microsoft.com/office/drawing/2014/main" xmlns="" id="{00000000-0008-0000-1400-00000F000000}"/>
            </a:ext>
          </a:extLst>
        </xdr:cNvPr>
        <xdr:cNvPicPr>
          <a:picLocks noChangeAspect="1"/>
        </xdr:cNvPicPr>
      </xdr:nvPicPr>
      <xdr:blipFill>
        <a:blip xmlns:r="http://schemas.openxmlformats.org/officeDocument/2006/relationships" r:embed="rId13"/>
        <a:stretch>
          <a:fillRect/>
        </a:stretch>
      </xdr:blipFill>
      <xdr:spPr>
        <a:xfrm>
          <a:off x="16383000" y="7143750"/>
          <a:ext cx="9733334" cy="65047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104775</xdr:rowOff>
    </xdr:from>
    <xdr:to>
      <xdr:col>12</xdr:col>
      <xdr:colOff>218046</xdr:colOff>
      <xdr:row>29</xdr:row>
      <xdr:rowOff>47032</xdr:rowOff>
    </xdr:to>
    <xdr:pic>
      <xdr:nvPicPr>
        <xdr:cNvPr id="3" name="图片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1"/>
        <a:stretch>
          <a:fillRect/>
        </a:stretch>
      </xdr:blipFill>
      <xdr:spPr>
        <a:xfrm>
          <a:off x="209550" y="276225"/>
          <a:ext cx="8238096" cy="4742857"/>
        </a:xfrm>
        <a:prstGeom prst="rect">
          <a:avLst/>
        </a:prstGeom>
      </xdr:spPr>
    </xdr:pic>
    <xdr:clientData/>
  </xdr:twoCellAnchor>
  <xdr:twoCellAnchor editAs="oneCell">
    <xdr:from>
      <xdr:col>1</xdr:col>
      <xdr:colOff>0</xdr:colOff>
      <xdr:row>32</xdr:row>
      <xdr:rowOff>0</xdr:rowOff>
    </xdr:from>
    <xdr:to>
      <xdr:col>12</xdr:col>
      <xdr:colOff>494296</xdr:colOff>
      <xdr:row>47</xdr:row>
      <xdr:rowOff>94917</xdr:rowOff>
    </xdr:to>
    <xdr:pic>
      <xdr:nvPicPr>
        <xdr:cNvPr id="4" name="图片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2"/>
        <a:stretch>
          <a:fillRect/>
        </a:stretch>
      </xdr:blipFill>
      <xdr:spPr>
        <a:xfrm>
          <a:off x="685800" y="5486400"/>
          <a:ext cx="8038096" cy="2666667"/>
        </a:xfrm>
        <a:prstGeom prst="rect">
          <a:avLst/>
        </a:prstGeom>
      </xdr:spPr>
    </xdr:pic>
    <xdr:clientData/>
  </xdr:twoCellAnchor>
  <xdr:twoCellAnchor editAs="oneCell">
    <xdr:from>
      <xdr:col>13</xdr:col>
      <xdr:colOff>266700</xdr:colOff>
      <xdr:row>0</xdr:row>
      <xdr:rowOff>133350</xdr:rowOff>
    </xdr:from>
    <xdr:to>
      <xdr:col>23</xdr:col>
      <xdr:colOff>608700</xdr:colOff>
      <xdr:row>28</xdr:row>
      <xdr:rowOff>47036</xdr:rowOff>
    </xdr:to>
    <xdr:pic>
      <xdr:nvPicPr>
        <xdr:cNvPr id="5" name="图片 4">
          <a:extLst>
            <a:ext uri="{FF2B5EF4-FFF2-40B4-BE49-F238E27FC236}">
              <a16:creationId xmlns:a16="http://schemas.microsoft.com/office/drawing/2014/main" xmlns="" id="{00000000-0008-0000-2100-000005000000}"/>
            </a:ext>
          </a:extLst>
        </xdr:cNvPr>
        <xdr:cNvPicPr>
          <a:picLocks noChangeAspect="1"/>
        </xdr:cNvPicPr>
      </xdr:nvPicPr>
      <xdr:blipFill>
        <a:blip xmlns:r="http://schemas.openxmlformats.org/officeDocument/2006/relationships" r:embed="rId3"/>
        <a:stretch>
          <a:fillRect/>
        </a:stretch>
      </xdr:blipFill>
      <xdr:spPr>
        <a:xfrm>
          <a:off x="9182100" y="133350"/>
          <a:ext cx="7200000" cy="4714286"/>
        </a:xfrm>
        <a:prstGeom prst="rect">
          <a:avLst/>
        </a:prstGeom>
      </xdr:spPr>
    </xdr:pic>
    <xdr:clientData/>
  </xdr:twoCellAnchor>
  <xdr:twoCellAnchor editAs="oneCell">
    <xdr:from>
      <xdr:col>13</xdr:col>
      <xdr:colOff>447675</xdr:colOff>
      <xdr:row>29</xdr:row>
      <xdr:rowOff>123825</xdr:rowOff>
    </xdr:from>
    <xdr:to>
      <xdr:col>23</xdr:col>
      <xdr:colOff>446818</xdr:colOff>
      <xdr:row>61</xdr:row>
      <xdr:rowOff>56473</xdr:rowOff>
    </xdr:to>
    <xdr:pic>
      <xdr:nvPicPr>
        <xdr:cNvPr id="6" name="图片 5">
          <a:extLst>
            <a:ext uri="{FF2B5EF4-FFF2-40B4-BE49-F238E27FC236}">
              <a16:creationId xmlns:a16="http://schemas.microsoft.com/office/drawing/2014/main" xmlns="" id="{00000000-0008-0000-2100-000006000000}"/>
            </a:ext>
          </a:extLst>
        </xdr:cNvPr>
        <xdr:cNvPicPr>
          <a:picLocks noChangeAspect="1"/>
        </xdr:cNvPicPr>
      </xdr:nvPicPr>
      <xdr:blipFill>
        <a:blip xmlns:r="http://schemas.openxmlformats.org/officeDocument/2006/relationships" r:embed="rId4"/>
        <a:stretch>
          <a:fillRect/>
        </a:stretch>
      </xdr:blipFill>
      <xdr:spPr>
        <a:xfrm>
          <a:off x="9363075" y="5095875"/>
          <a:ext cx="6857143" cy="5419048"/>
        </a:xfrm>
        <a:prstGeom prst="rect">
          <a:avLst/>
        </a:prstGeom>
      </xdr:spPr>
    </xdr:pic>
    <xdr:clientData/>
  </xdr:twoCellAnchor>
  <xdr:twoCellAnchor editAs="oneCell">
    <xdr:from>
      <xdr:col>0</xdr:col>
      <xdr:colOff>476250</xdr:colOff>
      <xdr:row>105</xdr:row>
      <xdr:rowOff>57150</xdr:rowOff>
    </xdr:from>
    <xdr:to>
      <xdr:col>10</xdr:col>
      <xdr:colOff>627774</xdr:colOff>
      <xdr:row>133</xdr:row>
      <xdr:rowOff>47027</xdr:rowOff>
    </xdr:to>
    <xdr:pic>
      <xdr:nvPicPr>
        <xdr:cNvPr id="2" name="图片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5"/>
        <a:stretch>
          <a:fillRect/>
        </a:stretch>
      </xdr:blipFill>
      <xdr:spPr>
        <a:xfrm>
          <a:off x="476250" y="18059400"/>
          <a:ext cx="7009524" cy="4790477"/>
        </a:xfrm>
        <a:prstGeom prst="rect">
          <a:avLst/>
        </a:prstGeom>
      </xdr:spPr>
    </xdr:pic>
    <xdr:clientData/>
  </xdr:twoCellAnchor>
  <xdr:twoCellAnchor editAs="oneCell">
    <xdr:from>
      <xdr:col>0</xdr:col>
      <xdr:colOff>561975</xdr:colOff>
      <xdr:row>135</xdr:row>
      <xdr:rowOff>85725</xdr:rowOff>
    </xdr:from>
    <xdr:to>
      <xdr:col>11</xdr:col>
      <xdr:colOff>132461</xdr:colOff>
      <xdr:row>153</xdr:row>
      <xdr:rowOff>66292</xdr:rowOff>
    </xdr:to>
    <xdr:pic>
      <xdr:nvPicPr>
        <xdr:cNvPr id="7" name="图片 6">
          <a:extLst>
            <a:ext uri="{FF2B5EF4-FFF2-40B4-BE49-F238E27FC236}">
              <a16:creationId xmlns:a16="http://schemas.microsoft.com/office/drawing/2014/main" xmlns="" id="{00000000-0008-0000-2100-000007000000}"/>
            </a:ext>
          </a:extLst>
        </xdr:cNvPr>
        <xdr:cNvPicPr>
          <a:picLocks noChangeAspect="1"/>
        </xdr:cNvPicPr>
      </xdr:nvPicPr>
      <xdr:blipFill>
        <a:blip xmlns:r="http://schemas.openxmlformats.org/officeDocument/2006/relationships" r:embed="rId6"/>
        <a:stretch>
          <a:fillRect/>
        </a:stretch>
      </xdr:blipFill>
      <xdr:spPr>
        <a:xfrm>
          <a:off x="561975" y="23231475"/>
          <a:ext cx="7114286" cy="3066667"/>
        </a:xfrm>
        <a:prstGeom prst="rect">
          <a:avLst/>
        </a:prstGeom>
      </xdr:spPr>
    </xdr:pic>
    <xdr:clientData/>
  </xdr:twoCellAnchor>
  <xdr:twoCellAnchor editAs="oneCell">
    <xdr:from>
      <xdr:col>1</xdr:col>
      <xdr:colOff>0</xdr:colOff>
      <xdr:row>48</xdr:row>
      <xdr:rowOff>0</xdr:rowOff>
    </xdr:from>
    <xdr:to>
      <xdr:col>11</xdr:col>
      <xdr:colOff>237239</xdr:colOff>
      <xdr:row>64</xdr:row>
      <xdr:rowOff>37753</xdr:rowOff>
    </xdr:to>
    <xdr:pic>
      <xdr:nvPicPr>
        <xdr:cNvPr id="8" name="图片 7">
          <a:extLst>
            <a:ext uri="{FF2B5EF4-FFF2-40B4-BE49-F238E27FC236}">
              <a16:creationId xmlns:a16="http://schemas.microsoft.com/office/drawing/2014/main" xmlns="" id="{00000000-0008-0000-2100-000008000000}"/>
            </a:ext>
          </a:extLst>
        </xdr:cNvPr>
        <xdr:cNvPicPr>
          <a:picLocks noChangeAspect="1"/>
        </xdr:cNvPicPr>
      </xdr:nvPicPr>
      <xdr:blipFill>
        <a:blip xmlns:r="http://schemas.openxmlformats.org/officeDocument/2006/relationships" r:embed="rId7"/>
        <a:stretch>
          <a:fillRect/>
        </a:stretch>
      </xdr:blipFill>
      <xdr:spPr>
        <a:xfrm>
          <a:off x="685800" y="8229600"/>
          <a:ext cx="7095239" cy="2780953"/>
        </a:xfrm>
        <a:prstGeom prst="rect">
          <a:avLst/>
        </a:prstGeom>
      </xdr:spPr>
    </xdr:pic>
    <xdr:clientData/>
  </xdr:twoCellAnchor>
  <xdr:twoCellAnchor editAs="oneCell">
    <xdr:from>
      <xdr:col>0</xdr:col>
      <xdr:colOff>390525</xdr:colOff>
      <xdr:row>67</xdr:row>
      <xdr:rowOff>85725</xdr:rowOff>
    </xdr:from>
    <xdr:to>
      <xdr:col>11</xdr:col>
      <xdr:colOff>265773</xdr:colOff>
      <xdr:row>98</xdr:row>
      <xdr:rowOff>66013</xdr:rowOff>
    </xdr:to>
    <xdr:pic>
      <xdr:nvPicPr>
        <xdr:cNvPr id="9" name="图片 8">
          <a:extLst>
            <a:ext uri="{FF2B5EF4-FFF2-40B4-BE49-F238E27FC236}">
              <a16:creationId xmlns:a16="http://schemas.microsoft.com/office/drawing/2014/main" xmlns="" id="{00000000-0008-0000-2100-000009000000}"/>
            </a:ext>
          </a:extLst>
        </xdr:cNvPr>
        <xdr:cNvPicPr>
          <a:picLocks noChangeAspect="1"/>
        </xdr:cNvPicPr>
      </xdr:nvPicPr>
      <xdr:blipFill>
        <a:blip xmlns:r="http://schemas.openxmlformats.org/officeDocument/2006/relationships" r:embed="rId8"/>
        <a:stretch>
          <a:fillRect/>
        </a:stretch>
      </xdr:blipFill>
      <xdr:spPr>
        <a:xfrm>
          <a:off x="390525" y="11572875"/>
          <a:ext cx="7419048" cy="5295238"/>
        </a:xfrm>
        <a:prstGeom prst="rect">
          <a:avLst/>
        </a:prstGeom>
      </xdr:spPr>
    </xdr:pic>
    <xdr:clientData/>
  </xdr:twoCellAnchor>
  <xdr:twoCellAnchor editAs="oneCell">
    <xdr:from>
      <xdr:col>11</xdr:col>
      <xdr:colOff>581025</xdr:colOff>
      <xdr:row>70</xdr:row>
      <xdr:rowOff>19050</xdr:rowOff>
    </xdr:from>
    <xdr:to>
      <xdr:col>22</xdr:col>
      <xdr:colOff>18178</xdr:colOff>
      <xdr:row>86</xdr:row>
      <xdr:rowOff>9184</xdr:rowOff>
    </xdr:to>
    <xdr:pic>
      <xdr:nvPicPr>
        <xdr:cNvPr id="10" name="图片 9">
          <a:extLst>
            <a:ext uri="{FF2B5EF4-FFF2-40B4-BE49-F238E27FC236}">
              <a16:creationId xmlns:a16="http://schemas.microsoft.com/office/drawing/2014/main" xmlns="" id="{00000000-0008-0000-2100-00000A000000}"/>
            </a:ext>
          </a:extLst>
        </xdr:cNvPr>
        <xdr:cNvPicPr>
          <a:picLocks noChangeAspect="1"/>
        </xdr:cNvPicPr>
      </xdr:nvPicPr>
      <xdr:blipFill>
        <a:blip xmlns:r="http://schemas.openxmlformats.org/officeDocument/2006/relationships" r:embed="rId9"/>
        <a:stretch>
          <a:fillRect/>
        </a:stretch>
      </xdr:blipFill>
      <xdr:spPr>
        <a:xfrm>
          <a:off x="8124825" y="12020550"/>
          <a:ext cx="6980953" cy="2733334"/>
        </a:xfrm>
        <a:prstGeom prst="rect">
          <a:avLst/>
        </a:prstGeom>
      </xdr:spPr>
    </xdr:pic>
    <xdr:clientData/>
  </xdr:twoCellAnchor>
  <xdr:twoCellAnchor editAs="oneCell">
    <xdr:from>
      <xdr:col>8</xdr:col>
      <xdr:colOff>542925</xdr:colOff>
      <xdr:row>2</xdr:row>
      <xdr:rowOff>0</xdr:rowOff>
    </xdr:from>
    <xdr:to>
      <xdr:col>14</xdr:col>
      <xdr:colOff>190030</xdr:colOff>
      <xdr:row>49</xdr:row>
      <xdr:rowOff>170422</xdr:rowOff>
    </xdr:to>
    <xdr:pic>
      <xdr:nvPicPr>
        <xdr:cNvPr id="11" name="图片 10">
          <a:extLst>
            <a:ext uri="{FF2B5EF4-FFF2-40B4-BE49-F238E27FC236}">
              <a16:creationId xmlns:a16="http://schemas.microsoft.com/office/drawing/2014/main" xmlns="" id="{00000000-0008-0000-2100-00000B000000}"/>
            </a:ext>
          </a:extLst>
        </xdr:cNvPr>
        <xdr:cNvPicPr>
          <a:picLocks noChangeAspect="1"/>
        </xdr:cNvPicPr>
      </xdr:nvPicPr>
      <xdr:blipFill>
        <a:blip xmlns:r="http://schemas.openxmlformats.org/officeDocument/2006/relationships" r:embed="rId10"/>
        <a:stretch>
          <a:fillRect/>
        </a:stretch>
      </xdr:blipFill>
      <xdr:spPr>
        <a:xfrm>
          <a:off x="6029325" y="342900"/>
          <a:ext cx="3761905" cy="8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21495;&#20303;&#23429;&#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0&#21495;&#20303;&#23429;&#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21495;&#21830;&#19994;&#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
      <sheetName val="数据-汇总表"/>
      <sheetName val="数据-取费表"/>
      <sheetName val="投资成本预测"/>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利润预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230208.25</v>
          </cell>
          <cell r="C14">
            <v>68209.850000000006</v>
          </cell>
          <cell r="D14">
            <v>41592</v>
          </cell>
          <cell r="G14">
            <v>41592</v>
          </cell>
          <cell r="I14">
            <v>35437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
      <sheetName val="数据-汇总表"/>
      <sheetName val="数据-取费表"/>
      <sheetName val="投资成本预测"/>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2)"/>
      <sheetName val="利润预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98860.54</v>
          </cell>
          <cell r="C14">
            <v>36644.14</v>
          </cell>
          <cell r="D14">
            <v>19246</v>
          </cell>
          <cell r="G14">
            <v>19246</v>
          </cell>
          <cell r="I14">
            <v>16999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客房数量"/>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119119.12999999999</v>
          </cell>
          <cell r="C14">
            <v>80746.37</v>
          </cell>
          <cell r="D14">
            <v>7832</v>
          </cell>
          <cell r="G14">
            <v>7832</v>
          </cell>
          <cell r="I14">
            <v>7299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98号地出让国有建设用地使用权抵押价格预评估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受贵公司委托，我公司对98号地出让国有建设用地使用权抵押价格进行了预评估。</v>
      </c>
      <c r="AM6" s="2619"/>
    </row>
    <row r="7" spans="1:55" s="2593" customFormat="1">
      <c r="A7" s="2594" t="s">
        <v>2637</v>
      </c>
      <c r="B7" s="2595" t="str">
        <f>'预评函-1'!A6</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2020年11月4日（评估专业人员勘察现场之日）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根据《国有土地使用证》[]，估价对象（分摊）出让国有建设用地使用权面积为64712.52平方米。根据《建设工程规划许可证》[]、《出让合同》[]，估价对象规划建筑面积为218404.76平方米。</v>
      </c>
    </row>
    <row r="16" spans="1:55" s="2593" customFormat="1">
      <c r="A16" s="2594" t="s">
        <v>2649</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估价期日：2020年11月4日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64712.52</v>
      </c>
    </row>
    <row r="44" spans="1:2">
      <c r="A44" s="2594" t="s">
        <v>2720</v>
      </c>
      <c r="B44" s="2595" t="str">
        <f>'预评函-2'!O3</f>
        <v>规划建筑面积/㎡</v>
      </c>
    </row>
    <row r="45" spans="1:2">
      <c r="A45" s="2594" t="s">
        <v>2702</v>
      </c>
      <c r="B45" s="2595">
        <f>'预评函-2'!O5</f>
        <v>218404.75999999998</v>
      </c>
    </row>
    <row r="46" spans="1:2">
      <c r="A46" s="2594" t="s">
        <v>2703</v>
      </c>
      <c r="B46" s="2595">
        <f ca="1">'预评函-2'!P5</f>
        <v>6137</v>
      </c>
    </row>
    <row r="47" spans="1:2">
      <c r="A47" s="2594" t="s">
        <v>2704</v>
      </c>
      <c r="B47" s="2595">
        <f ca="1">'预评函-2'!Q5</f>
        <v>1818</v>
      </c>
    </row>
    <row r="48" spans="1:2">
      <c r="A48" s="2594" t="s">
        <v>2705</v>
      </c>
      <c r="B48" s="2595">
        <f ca="1">'预评函-2'!R5</f>
        <v>39712</v>
      </c>
    </row>
    <row r="49" spans="1:2">
      <c r="A49" s="2594" t="s">
        <v>2721</v>
      </c>
      <c r="B49" s="2595" t="str">
        <f>'预评函-2'!A6</f>
        <v>抵押价格</v>
      </c>
    </row>
    <row r="50" spans="1:2">
      <c r="A50" s="2594" t="s">
        <v>2706</v>
      </c>
      <c r="B50" s="2595">
        <f ca="1">'预评函-2'!R6</f>
        <v>39712</v>
      </c>
    </row>
    <row r="51" spans="1:2">
      <c r="A51" s="2594" t="s">
        <v>2722</v>
      </c>
      <c r="B51" s="2595" t="str">
        <f>'预评函-2'!A7</f>
        <v>——</v>
      </c>
    </row>
    <row r="52" spans="1:2">
      <c r="A52" s="2594" t="s">
        <v>2707</v>
      </c>
      <c r="B52" s="2595" t="str">
        <f>'预评函-2'!R7</f>
        <v>——</v>
      </c>
    </row>
    <row r="53" spans="1:2">
      <c r="A53" s="2594" t="s">
        <v>2723</v>
      </c>
      <c r="B53" s="2595" t="str">
        <f>'预评函-2'!A8</f>
        <v>抵押净值</v>
      </c>
    </row>
    <row r="54" spans="1:2" s="2609" customFormat="1" ht="15" thickBot="1">
      <c r="A54" s="2616" t="s">
        <v>2708</v>
      </c>
      <c r="B54" s="2617">
        <f ca="1">'预评函-2'!R8</f>
        <v>33770</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25" sqref="I25"/>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1925</v>
      </c>
      <c r="B1" s="3495" t="str">
        <f>IF(B10="北京市","北京市",C10)&amp;F10&amp;B16&amp;"国有建设用地使用权"&amp;B9&amp;"预评估"</f>
        <v>98号地出让国有建设用地使用权抵押价格预评估</v>
      </c>
      <c r="C1" s="3496"/>
      <c r="D1" s="3496"/>
      <c r="E1" s="3496"/>
      <c r="F1" s="3496"/>
      <c r="G1" s="3496"/>
      <c r="H1" s="3496"/>
      <c r="I1" s="3497"/>
      <c r="J1" s="3072"/>
      <c r="K1" s="2309" t="str">
        <f>IF(B10="北京市","北京市",C10)&amp;F10&amp;B16&amp;"国有建设用地使用权"&amp;B9</f>
        <v>98号地出让国有建设用地使用权抵押价格</v>
      </c>
      <c r="L1" s="3051"/>
      <c r="M1" s="3051"/>
      <c r="N1" s="3052"/>
      <c r="O1" s="3053"/>
      <c r="P1" s="3052"/>
      <c r="Q1" s="3052"/>
      <c r="R1" s="3052"/>
      <c r="S1" s="3052"/>
      <c r="T1" s="3052"/>
      <c r="U1" s="3052"/>
    </row>
    <row r="2" spans="1:21">
      <c r="A2" s="1586" t="s">
        <v>1926</v>
      </c>
      <c r="B2" s="1754"/>
      <c r="D2" s="3072"/>
      <c r="E2" s="3072"/>
      <c r="F2" s="3072"/>
      <c r="G2" s="3072"/>
      <c r="H2" s="3073"/>
      <c r="I2" s="3074"/>
      <c r="J2" s="3072"/>
      <c r="K2" s="2309" t="str">
        <f>IF(B10="北京市","北京市",C10)&amp;F10&amp;B16&amp;"国有建设用地使用权"</f>
        <v>98号地出让国有建设用地使用权</v>
      </c>
      <c r="L2" s="3051"/>
      <c r="M2" s="3051"/>
      <c r="N2" s="3052"/>
      <c r="O2" s="3053"/>
      <c r="P2" s="3052"/>
      <c r="Q2" s="3052"/>
      <c r="R2" s="3052"/>
      <c r="S2" s="3052"/>
      <c r="T2" s="3052"/>
      <c r="U2" s="3052"/>
    </row>
    <row r="3" spans="1:21">
      <c r="A3" s="1587" t="s">
        <v>1927</v>
      </c>
      <c r="B3" s="1588">
        <v>44139</v>
      </c>
      <c r="C3" s="2995" t="s">
        <v>1983</v>
      </c>
      <c r="D3" s="1588">
        <f>B3</f>
        <v>44139</v>
      </c>
      <c r="E3" s="3072"/>
      <c r="F3" s="3072"/>
      <c r="G3" s="3072"/>
      <c r="H3" s="3073"/>
      <c r="I3" s="3074"/>
      <c r="J3" s="3072"/>
      <c r="K3" s="3055"/>
      <c r="L3" s="3051"/>
      <c r="M3" s="3051"/>
      <c r="N3" s="3052"/>
      <c r="O3" s="3053"/>
      <c r="P3" s="3052"/>
      <c r="Q3" s="3052"/>
      <c r="R3" s="3052"/>
      <c r="S3" s="3052"/>
      <c r="T3" s="3052"/>
      <c r="U3" s="3052"/>
    </row>
    <row r="4" spans="1:21" ht="29.25" thickBot="1">
      <c r="A4" s="1590" t="s">
        <v>1928</v>
      </c>
      <c r="B4" s="1755" t="s">
        <v>2863</v>
      </c>
      <c r="C4" s="1758">
        <f>SUMIF(土地估价师,B4,估价师及机构信息!E3:E16)</f>
        <v>0</v>
      </c>
      <c r="D4" s="1755" t="s">
        <v>2863</v>
      </c>
      <c r="E4" s="1758">
        <f>SUMIF(土地估价师,D4,估价师及机构信息!E3:E16)</f>
        <v>0</v>
      </c>
      <c r="F4" s="1755" t="s">
        <v>942</v>
      </c>
      <c r="G4" s="1758">
        <f>SUMIF(土地估价师,F4,估价师及机构信息!E3:E16)</f>
        <v>0</v>
      </c>
      <c r="H4" s="1755" t="s">
        <v>942</v>
      </c>
      <c r="I4" s="1758">
        <f>SUMIF(土地估价师,H4,估价师及机构信息!E3:E16)</f>
        <v>0</v>
      </c>
      <c r="J4" s="3072"/>
      <c r="K4" s="2309"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1929</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1930</v>
      </c>
      <c r="B8" s="1596" t="s">
        <v>2948</v>
      </c>
      <c r="C8" s="1597"/>
      <c r="D8" s="3501" t="s">
        <v>1932</v>
      </c>
      <c r="E8" s="1756" t="s">
        <v>2995</v>
      </c>
      <c r="F8" s="1598"/>
      <c r="G8" s="3073"/>
      <c r="H8" s="3073"/>
      <c r="I8" s="3076"/>
      <c r="J8" s="3072"/>
      <c r="K8" s="3055"/>
      <c r="L8" s="3051"/>
      <c r="M8" s="3051"/>
      <c r="N8" s="3052"/>
      <c r="O8" s="3053"/>
      <c r="P8" s="3052"/>
      <c r="Q8" s="3052"/>
      <c r="R8" s="3052"/>
      <c r="S8" s="3052"/>
      <c r="T8" s="3052"/>
      <c r="U8" s="3052"/>
    </row>
    <row r="9" spans="1:21" ht="15" thickBot="1">
      <c r="A9" s="2997" t="s">
        <v>1931</v>
      </c>
      <c r="B9" s="1599" t="s">
        <v>2995</v>
      </c>
      <c r="C9" s="1600"/>
      <c r="D9" s="3502"/>
      <c r="E9" s="1599" t="s">
        <v>2833</v>
      </c>
      <c r="F9" s="1663"/>
      <c r="G9" s="3077"/>
      <c r="H9" s="3077"/>
      <c r="I9" s="3078"/>
      <c r="J9" s="3072"/>
      <c r="K9" s="3055"/>
      <c r="L9" s="3051"/>
      <c r="M9" s="3051"/>
      <c r="N9" s="3052"/>
      <c r="O9" s="3053"/>
      <c r="P9" s="3052"/>
      <c r="Q9" s="3052"/>
      <c r="R9" s="3052"/>
      <c r="S9" s="3052"/>
      <c r="T9" s="3052"/>
      <c r="U9" s="3052"/>
    </row>
    <row r="10" spans="1:21" ht="15" thickTop="1">
      <c r="A10" s="2998" t="s">
        <v>1987</v>
      </c>
      <c r="B10" s="1639" t="s">
        <v>2996</v>
      </c>
      <c r="C10" s="1601"/>
      <c r="D10" s="1593"/>
      <c r="E10" s="1602" t="s">
        <v>1934</v>
      </c>
      <c r="F10" s="1603" t="s">
        <v>3180</v>
      </c>
      <c r="G10" s="1661"/>
      <c r="H10" s="1662"/>
      <c r="I10" s="1593"/>
      <c r="J10" s="3072"/>
      <c r="K10" s="3055"/>
      <c r="L10" s="3051"/>
      <c r="M10" s="3051"/>
      <c r="N10" s="3052"/>
      <c r="O10" s="3053"/>
      <c r="P10" s="3052"/>
      <c r="Q10" s="3052"/>
      <c r="R10" s="3052"/>
      <c r="S10" s="3052"/>
      <c r="T10" s="3052"/>
      <c r="U10" s="3052"/>
    </row>
    <row r="11" spans="1:21">
      <c r="A11" s="2999" t="s">
        <v>1988</v>
      </c>
      <c r="B11" s="1618" t="s">
        <v>2997</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2046</v>
      </c>
      <c r="B12" s="3498"/>
      <c r="C12" s="3499"/>
      <c r="D12" s="3500"/>
      <c r="E12" s="1619" t="s">
        <v>2049</v>
      </c>
      <c r="F12" s="3516" t="s">
        <v>2864</v>
      </c>
      <c r="G12" s="3517"/>
      <c r="H12" s="3517"/>
      <c r="I12" s="3518"/>
      <c r="J12" s="3072"/>
      <c r="K12" s="3055"/>
      <c r="L12" s="3051"/>
      <c r="M12" s="3051"/>
      <c r="N12" s="3052"/>
      <c r="O12" s="3053"/>
      <c r="P12" s="3052"/>
      <c r="Q12" s="3052"/>
      <c r="R12" s="3052"/>
      <c r="S12" s="3052"/>
      <c r="T12" s="3052"/>
      <c r="U12" s="3052"/>
    </row>
    <row r="13" spans="1:21">
      <c r="A13" s="1610" t="s">
        <v>2047</v>
      </c>
      <c r="B13" s="3498"/>
      <c r="C13" s="3499"/>
      <c r="D13" s="3500"/>
      <c r="E13" s="1619" t="s">
        <v>2049</v>
      </c>
      <c r="F13" s="3516" t="s">
        <v>2865</v>
      </c>
      <c r="G13" s="3517"/>
      <c r="H13" s="3517"/>
      <c r="I13" s="3518"/>
      <c r="J13" s="3072"/>
      <c r="K13" s="3055"/>
      <c r="L13" s="3051"/>
      <c r="M13" s="3051"/>
      <c r="N13" s="3052"/>
      <c r="O13" s="3053"/>
      <c r="P13" s="3052"/>
      <c r="Q13" s="3052"/>
      <c r="R13" s="3052"/>
      <c r="S13" s="3052"/>
      <c r="T13" s="3052"/>
      <c r="U13" s="3052"/>
    </row>
    <row r="14" spans="1:21">
      <c r="A14" s="1587" t="s">
        <v>2050</v>
      </c>
      <c r="B14" s="1619"/>
      <c r="C14" s="1757"/>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1937</v>
      </c>
      <c r="E15" s="1682" t="s">
        <v>1938</v>
      </c>
      <c r="F15" s="1682" t="s">
        <v>1939</v>
      </c>
      <c r="G15" s="1609" t="s">
        <v>1940</v>
      </c>
      <c r="H15" s="1609" t="s">
        <v>1941</v>
      </c>
      <c r="I15" s="1609" t="s">
        <v>1942</v>
      </c>
      <c r="J15" s="3072"/>
      <c r="K15" s="3055"/>
      <c r="L15" s="3051"/>
      <c r="M15" s="3051"/>
      <c r="N15" s="3052"/>
      <c r="O15" s="3053"/>
      <c r="P15" s="3052"/>
      <c r="Q15" s="3052"/>
      <c r="R15" s="3052"/>
      <c r="S15" s="3052"/>
      <c r="T15" s="3052"/>
      <c r="U15" s="3052"/>
    </row>
    <row r="16" spans="1:21" ht="42.75">
      <c r="A16" s="3000" t="s">
        <v>1935</v>
      </c>
      <c r="B16" s="1605" t="s">
        <v>2943</v>
      </c>
      <c r="C16" s="1619" t="s">
        <v>1936</v>
      </c>
      <c r="D16" s="2487" t="s">
        <v>1937</v>
      </c>
      <c r="E16" s="1642" t="s">
        <v>2998</v>
      </c>
      <c r="F16" s="1642"/>
      <c r="G16" s="1642" t="s">
        <v>35</v>
      </c>
      <c r="H16" s="1642"/>
      <c r="I16" s="1609" t="s">
        <v>1942</v>
      </c>
      <c r="J16" s="3072"/>
      <c r="K16" s="2310" t="str">
        <f>IF(D17="","",D16&amp;TEXT(D17,"yyyy年m月d日;;"))</f>
        <v>住宅2090年4月27日</v>
      </c>
      <c r="L16" s="1619" t="str">
        <f>IF(OR(K16="",M16=""),"","、")</f>
        <v>、</v>
      </c>
      <c r="M16" s="2310" t="str">
        <f>IF(E17="","",E16&amp;TEXT(E17,"yyyy年m月d日;;"))</f>
        <v>商业2060年4月27日</v>
      </c>
      <c r="N16" s="1619" t="str">
        <f>IF(OR(M16="",O16=""),"","、")</f>
        <v/>
      </c>
      <c r="O16" s="2310" t="str">
        <f>IF(F17="","",F16&amp;TEXT(F17,"yyyy年m月d日;;"))</f>
        <v/>
      </c>
      <c r="P16" s="1619" t="str">
        <f>IF(OR(O16="",Q16=""),"","、")</f>
        <v/>
      </c>
      <c r="Q16" s="2310" t="str">
        <f>IF(G17="","",G16&amp;TEXT(G17,"yyyy年m月d日;;"))</f>
        <v>地下车库2060年4月27日</v>
      </c>
      <c r="R16" s="1619" t="str">
        <f>IF(OR(Q16="",S16=""),"","、")</f>
        <v/>
      </c>
      <c r="S16" s="2310" t="str">
        <f>IF(H17="","",H16&amp;TEXT(H17,"yyyy年m月d日;;"))</f>
        <v/>
      </c>
      <c r="T16" s="1619" t="str">
        <f>IF(OR(S16="",U16=""),"","、")</f>
        <v/>
      </c>
      <c r="U16" s="2310" t="str">
        <f>IF(I17="","",I16&amp;TEXT(I17,"yyyy年m月d日;;"))</f>
        <v/>
      </c>
    </row>
    <row r="17" spans="1:21">
      <c r="A17" s="1679"/>
      <c r="B17" s="1606"/>
      <c r="C17" s="3001" t="s">
        <v>1943</v>
      </c>
      <c r="D17" s="1620">
        <v>69515</v>
      </c>
      <c r="E17" s="1620">
        <v>58558</v>
      </c>
      <c r="F17" s="1620"/>
      <c r="G17" s="1620">
        <v>58558</v>
      </c>
      <c r="H17" s="1620"/>
      <c r="I17" s="1620"/>
      <c r="J17" s="3072"/>
      <c r="K17" s="3050" t="str">
        <f>CONCATENATE(K16,L16,M16,N16,O16,P16,Q16,R16,S16,T16,,U16)</f>
        <v>住宅2090年4月27日、商业2060年4月27日地下车库2060年4月27日</v>
      </c>
      <c r="L17" s="3051"/>
      <c r="M17" s="3051"/>
      <c r="N17" s="3052"/>
      <c r="O17" s="3053"/>
      <c r="P17" s="3052"/>
      <c r="Q17" s="3052"/>
      <c r="R17" s="3052"/>
      <c r="S17" s="3052"/>
      <c r="T17" s="3052"/>
      <c r="U17" s="3052"/>
    </row>
    <row r="18" spans="1:21">
      <c r="A18" s="1679"/>
      <c r="B18" s="1606"/>
      <c r="C18" s="3001" t="s">
        <v>1944</v>
      </c>
      <c r="D18" s="1607">
        <v>70</v>
      </c>
      <c r="E18" s="1607">
        <v>40</v>
      </c>
      <c r="F18" s="1607"/>
      <c r="G18" s="1607">
        <v>40</v>
      </c>
      <c r="H18" s="1607"/>
      <c r="I18" s="1607"/>
      <c r="J18" s="3072"/>
      <c r="K18" s="3055"/>
      <c r="L18" s="3051"/>
      <c r="M18" s="3051"/>
      <c r="N18" s="3052"/>
      <c r="O18" s="3053"/>
      <c r="P18" s="3052"/>
      <c r="Q18" s="3052"/>
      <c r="R18" s="3052"/>
      <c r="S18" s="3052"/>
      <c r="T18" s="3052"/>
      <c r="U18" s="3052"/>
    </row>
    <row r="19" spans="1:21">
      <c r="A19" s="1679"/>
      <c r="B19" s="1606"/>
      <c r="C19" s="1586" t="s">
        <v>1945</v>
      </c>
      <c r="D19" s="1674">
        <f>IF(B16="出让",IF(D17="","",ROUNDDOWN(MIN((D17-$D$3)/365,D18),2)),D18)</f>
        <v>69.52</v>
      </c>
      <c r="E19" s="1608">
        <f>IF(B16="出让",IF(E17="","",ROUNDDOWN(MIN((E17-$D$3)/365,E18),2)),E18)</f>
        <v>39.5</v>
      </c>
      <c r="F19" s="1608" t="str">
        <f>IF(B16="出让",IF(F17="","",ROUNDDOWN(MIN((F17-$D$3)/365,F18),2)),F18)</f>
        <v/>
      </c>
      <c r="G19" s="1608">
        <f>IF(B16="出让",IF(G17="","",ROUNDDOWN(MIN((G17-$D$3)/365,G18),2)),G18)</f>
        <v>39.5</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2048</v>
      </c>
      <c r="D20" s="3513"/>
      <c r="E20" s="3514"/>
      <c r="F20" s="3514"/>
      <c r="G20" s="3514"/>
      <c r="H20" s="3514"/>
      <c r="I20" s="3515"/>
      <c r="J20" s="3072"/>
      <c r="K20" s="3055"/>
      <c r="L20" s="3051"/>
      <c r="M20" s="3051"/>
      <c r="N20" s="3052"/>
      <c r="O20" s="3053"/>
      <c r="P20" s="3052"/>
      <c r="Q20" s="3052"/>
      <c r="R20" s="3052"/>
      <c r="S20" s="3052"/>
      <c r="T20" s="3052"/>
      <c r="U20" s="3052"/>
    </row>
    <row r="21" spans="1:21">
      <c r="A21" s="1679" t="s">
        <v>1946</v>
      </c>
      <c r="B21" s="1680" t="s">
        <v>1947</v>
      </c>
      <c r="C21" s="1675">
        <f>'数据-汇总表'!E3</f>
        <v>218404.75999999998</v>
      </c>
      <c r="D21" s="1676" t="s">
        <v>1948</v>
      </c>
      <c r="E21" s="3503" t="s">
        <v>1986</v>
      </c>
      <c r="F21" s="3504"/>
      <c r="G21" s="3504"/>
      <c r="H21" s="3504"/>
      <c r="I21" s="3505"/>
      <c r="J21" s="3072"/>
      <c r="K21" s="3055"/>
      <c r="L21" s="3051"/>
      <c r="M21" s="3051"/>
      <c r="N21" s="3052"/>
      <c r="O21" s="3053"/>
      <c r="P21" s="3052"/>
      <c r="Q21" s="3052"/>
      <c r="R21" s="3052"/>
      <c r="S21" s="3052"/>
      <c r="T21" s="3052"/>
      <c r="U21" s="3052"/>
    </row>
    <row r="22" spans="1:21">
      <c r="A22" s="2800" t="s">
        <v>942</v>
      </c>
      <c r="B22" s="1587" t="s">
        <v>1949</v>
      </c>
      <c r="C22" s="1609">
        <f>'数据-汇总表'!D3</f>
        <v>64712.52</v>
      </c>
      <c r="D22" s="1610" t="s">
        <v>1948</v>
      </c>
      <c r="E22" s="3503" t="s">
        <v>2866</v>
      </c>
      <c r="F22" s="3504"/>
      <c r="G22" s="3504"/>
      <c r="H22" s="3504"/>
      <c r="I22" s="3505"/>
      <c r="J22" s="3072"/>
      <c r="K22" s="3055"/>
      <c r="L22" s="3051"/>
      <c r="M22" s="3051"/>
      <c r="N22" s="3052"/>
      <c r="O22" s="3053"/>
      <c r="P22" s="3052"/>
      <c r="Q22" s="3052"/>
      <c r="R22" s="3052"/>
      <c r="S22" s="3052"/>
      <c r="T22" s="3052"/>
      <c r="U22" s="3052"/>
    </row>
    <row r="23" spans="1:21" ht="43.5" thickBot="1">
      <c r="A23" s="1681" t="s">
        <v>1950</v>
      </c>
      <c r="B23" s="1621" t="s">
        <v>1951</v>
      </c>
      <c r="C23" s="1622"/>
      <c r="D23" s="1623" t="s">
        <v>1952</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1953</v>
      </c>
      <c r="B24" s="3506" t="s">
        <v>1954</v>
      </c>
      <c r="C24" s="3507"/>
      <c r="D24" s="3508" t="s">
        <v>1955</v>
      </c>
      <c r="E24" s="3509"/>
      <c r="F24" s="1628" t="s">
        <v>1956</v>
      </c>
      <c r="G24" s="3072"/>
      <c r="H24" s="3072"/>
      <c r="I24" s="3076"/>
      <c r="J24" s="3072"/>
      <c r="K24" s="3494"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2312</v>
      </c>
      <c r="C25" s="1629" t="s">
        <v>1958</v>
      </c>
      <c r="D25" s="1630"/>
      <c r="E25" s="1631" t="s">
        <v>942</v>
      </c>
      <c r="F25" s="1632"/>
      <c r="G25" s="3072"/>
      <c r="H25" s="3072"/>
      <c r="I25" s="3076"/>
      <c r="J25" s="3072"/>
      <c r="K25" s="3494"/>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1959</v>
      </c>
      <c r="C26" s="1629" t="s">
        <v>2313</v>
      </c>
      <c r="D26" s="3073"/>
      <c r="E26" s="3073"/>
      <c r="F26" s="3079"/>
      <c r="G26" s="3072"/>
      <c r="H26" s="3072"/>
      <c r="I26" s="3076"/>
      <c r="J26" s="3072"/>
      <c r="K26" s="3494"/>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1960</v>
      </c>
      <c r="B27" s="1669" t="s">
        <v>1961</v>
      </c>
      <c r="C27" s="1633"/>
      <c r="D27" s="2492" t="s">
        <v>1961</v>
      </c>
      <c r="E27" s="1634"/>
      <c r="F27" s="3079"/>
      <c r="G27" s="3072"/>
      <c r="H27" s="3072"/>
      <c r="I27" s="3076"/>
      <c r="J27" s="3072"/>
      <c r="K27" s="3055"/>
      <c r="L27" s="3051"/>
      <c r="M27" s="3051"/>
      <c r="N27" s="3052"/>
      <c r="O27" s="3053"/>
      <c r="P27" s="3052"/>
      <c r="Q27" s="3052"/>
      <c r="R27" s="3052"/>
      <c r="S27" s="3052"/>
      <c r="T27" s="3052"/>
      <c r="U27" s="3052"/>
    </row>
    <row r="28" spans="1:21">
      <c r="A28" s="1672"/>
      <c r="B28" s="1669" t="s">
        <v>1962</v>
      </c>
      <c r="C28" s="1635"/>
      <c r="D28" s="2493" t="s">
        <v>1962</v>
      </c>
      <c r="E28" s="1636"/>
      <c r="F28" s="3079"/>
      <c r="G28" s="3072"/>
      <c r="H28" s="3072"/>
      <c r="I28" s="3076"/>
      <c r="J28" s="3072"/>
      <c r="K28" s="3055"/>
      <c r="L28" s="3051"/>
      <c r="M28" s="3051"/>
      <c r="N28" s="3052"/>
      <c r="O28" s="3053"/>
      <c r="P28" s="3052"/>
      <c r="Q28" s="3052"/>
      <c r="R28" s="3052"/>
      <c r="S28" s="3052"/>
      <c r="T28" s="3052"/>
      <c r="U28" s="3052"/>
    </row>
    <row r="29" spans="1:21">
      <c r="A29" s="1672"/>
      <c r="B29" s="1669" t="s">
        <v>1963</v>
      </c>
      <c r="C29" s="1635"/>
      <c r="D29" s="2493" t="s">
        <v>1963</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1964</v>
      </c>
      <c r="C30" s="1637"/>
      <c r="D30" s="2494" t="s">
        <v>1964</v>
      </c>
      <c r="E30" s="1638"/>
      <c r="F30" s="3080"/>
      <c r="G30" s="3077"/>
      <c r="H30" s="3077"/>
      <c r="I30" s="3078"/>
      <c r="J30" s="3072"/>
      <c r="K30" s="3055"/>
      <c r="L30" s="3051"/>
      <c r="M30" s="3051"/>
      <c r="N30" s="3052"/>
      <c r="O30" s="3053"/>
      <c r="P30" s="3052"/>
      <c r="Q30" s="3052"/>
      <c r="R30" s="3052"/>
      <c r="S30" s="3052"/>
      <c r="T30" s="3052"/>
      <c r="U30" s="3052"/>
    </row>
    <row r="31" spans="1:21" ht="15" thickTop="1">
      <c r="A31" s="3480" t="s">
        <v>1989</v>
      </c>
      <c r="B31" s="1680" t="s">
        <v>1990</v>
      </c>
      <c r="C31" s="3519"/>
      <c r="D31" s="3520"/>
      <c r="E31" s="3072"/>
      <c r="F31" s="3072"/>
      <c r="G31" s="3072"/>
      <c r="H31" s="3072"/>
      <c r="I31" s="3076"/>
      <c r="J31" s="3072"/>
      <c r="K31" s="3058"/>
      <c r="L31" s="3052"/>
      <c r="M31" s="3052"/>
      <c r="N31" s="3052"/>
      <c r="O31" s="3052"/>
      <c r="P31" s="3052"/>
      <c r="Q31" s="3052"/>
      <c r="R31" s="3052"/>
      <c r="S31" s="3052"/>
      <c r="T31" s="3052"/>
      <c r="U31" s="3052"/>
    </row>
    <row r="32" spans="1:21">
      <c r="A32" s="3480"/>
      <c r="B32" s="1587" t="s">
        <v>1991</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480"/>
      <c r="B33" s="1587" t="s">
        <v>1992</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481"/>
      <c r="B34" s="1587" t="s">
        <v>1993</v>
      </c>
      <c r="C34" s="3482"/>
      <c r="D34" s="3483"/>
      <c r="E34" s="3072"/>
      <c r="F34" s="3072"/>
      <c r="G34" s="3072"/>
      <c r="H34" s="3072"/>
      <c r="I34" s="3076"/>
      <c r="J34" s="3072"/>
      <c r="K34" s="3058"/>
      <c r="L34" s="3052"/>
      <c r="M34" s="3052"/>
      <c r="N34" s="3052"/>
      <c r="O34" s="3052"/>
      <c r="P34" s="3052"/>
      <c r="Q34" s="3052"/>
      <c r="R34" s="3052"/>
      <c r="S34" s="3052"/>
      <c r="T34" s="3052"/>
      <c r="U34" s="3052"/>
    </row>
    <row r="35" spans="1:28">
      <c r="A35" s="3484" t="s">
        <v>838</v>
      </c>
      <c r="B35" s="1642"/>
      <c r="C35" s="1689" t="str">
        <f>IF(B35="场地平整","——","具体情况：")</f>
        <v>具体情况：</v>
      </c>
      <c r="D35" s="3486"/>
      <c r="E35" s="3487"/>
      <c r="F35" s="3487"/>
      <c r="G35" s="3487"/>
      <c r="H35" s="3487"/>
      <c r="I35" s="3488"/>
      <c r="J35" s="3072"/>
      <c r="K35" s="3059"/>
      <c r="L35" s="3051"/>
      <c r="M35" s="3051"/>
      <c r="N35" s="3052"/>
      <c r="O35" s="3053"/>
      <c r="P35" s="3052"/>
      <c r="Q35" s="3052"/>
      <c r="R35" s="3052"/>
      <c r="S35" s="3052"/>
      <c r="T35" s="3052"/>
      <c r="U35" s="3052"/>
    </row>
    <row r="36" spans="1:28">
      <c r="A36" s="3480"/>
      <c r="B36" s="3489" t="s">
        <v>2042</v>
      </c>
      <c r="C36" s="3490"/>
      <c r="D36" s="1705"/>
      <c r="E36" s="3491"/>
      <c r="F36" s="3491"/>
      <c r="G36" s="1610" t="str">
        <f>IF(B35="场地未平整","估价结果处理","")</f>
        <v/>
      </c>
      <c r="H36" s="3492"/>
      <c r="I36" s="3492"/>
      <c r="J36" s="3072"/>
      <c r="K36" s="3059"/>
      <c r="L36" s="3051"/>
      <c r="M36" s="3051"/>
      <c r="N36" s="3052"/>
      <c r="O36" s="3053"/>
      <c r="P36" s="3052"/>
      <c r="Q36" s="3052"/>
      <c r="R36" s="3052"/>
      <c r="S36" s="3052"/>
      <c r="T36" s="3052"/>
      <c r="U36" s="3052"/>
    </row>
    <row r="37" spans="1:28" ht="28.5">
      <c r="A37" s="3480"/>
      <c r="B37" s="3510" t="s">
        <v>839</v>
      </c>
      <c r="C37" s="1644" t="s">
        <v>840</v>
      </c>
      <c r="D37" s="1645"/>
      <c r="E37" s="1646"/>
      <c r="F37" s="3072"/>
      <c r="G37" s="3072"/>
      <c r="H37" s="3072"/>
      <c r="I37" s="3076"/>
      <c r="J37" s="3072"/>
      <c r="K37" s="3059"/>
      <c r="L37" s="3052"/>
      <c r="M37" s="3052"/>
      <c r="N37" s="3052"/>
      <c r="O37" s="3052"/>
      <c r="P37" s="3052"/>
      <c r="Q37" s="3052"/>
      <c r="R37" s="3052"/>
      <c r="S37" s="3052"/>
      <c r="T37" s="3052"/>
      <c r="U37" s="3052"/>
    </row>
    <row r="38" spans="1:28">
      <c r="A38" s="3480"/>
      <c r="B38" s="3511"/>
      <c r="C38" s="1595" t="s">
        <v>841</v>
      </c>
      <c r="D38" s="1704">
        <f>ROUNDDOWN(MIN(('数据-取费表'!$B$2-D37)/365,D34),1)</f>
        <v>120.9</v>
      </c>
      <c r="E38" s="1647" t="s">
        <v>842</v>
      </c>
      <c r="F38" s="3072"/>
      <c r="G38" s="3072"/>
      <c r="H38" s="3072"/>
      <c r="I38" s="3076"/>
      <c r="J38" s="3072"/>
      <c r="K38" s="3059"/>
      <c r="L38" s="3052"/>
      <c r="M38" s="3052"/>
      <c r="N38" s="3052"/>
      <c r="O38" s="3052"/>
      <c r="P38" s="3052"/>
      <c r="Q38" s="3052"/>
      <c r="R38" s="3052"/>
      <c r="S38" s="3052"/>
      <c r="T38" s="3052"/>
      <c r="U38" s="3052"/>
    </row>
    <row r="39" spans="1:28">
      <c r="A39" s="3481"/>
      <c r="B39" s="3512"/>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1965</v>
      </c>
      <c r="B40" s="1611"/>
      <c r="C40" s="1611"/>
      <c r="D40" s="1611"/>
      <c r="E40" s="1611"/>
      <c r="F40" s="1611"/>
      <c r="G40" s="1611"/>
      <c r="H40" s="1611"/>
      <c r="I40" s="3076"/>
      <c r="J40" s="3072"/>
      <c r="K40" s="3020">
        <f>COUNTIF(B40:H40,"——")</f>
        <v>0</v>
      </c>
      <c r="L40" s="1619" t="s">
        <v>1966</v>
      </c>
      <c r="M40" s="1616" t="s">
        <v>1967</v>
      </c>
      <c r="N40" s="1616" t="s">
        <v>1968</v>
      </c>
      <c r="O40" s="1616" t="s">
        <v>1969</v>
      </c>
      <c r="P40" s="1616" t="s">
        <v>1970</v>
      </c>
      <c r="Q40" s="1616" t="s">
        <v>1971</v>
      </c>
      <c r="R40" s="1616" t="s">
        <v>1972</v>
      </c>
      <c r="S40" s="3493" t="s">
        <v>1973</v>
      </c>
      <c r="T40" s="1651" t="str">
        <f>NUMBERSTRING(7-K40,1)&amp;"通"</f>
        <v>七通</v>
      </c>
      <c r="U40" s="3052"/>
    </row>
    <row r="41" spans="1:28">
      <c r="A41" s="1589"/>
      <c r="B41" s="3485" t="s">
        <v>1711</v>
      </c>
      <c r="C41" s="3485"/>
      <c r="D41" s="3485"/>
      <c r="E41" s="3485"/>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93"/>
      <c r="T41" s="1653" t="str">
        <f>IF(T40="一通",L41,IF(T40="二通",M41,IF(T40="三通",N41,IF(T40="四通",O41,IF(T40="五通",P41,IF(T40="六通",Q41,R41))))))</f>
        <v>、、、、、、</v>
      </c>
      <c r="U41" s="3052"/>
    </row>
    <row r="42" spans="1:28">
      <c r="A42" s="1655"/>
      <c r="B42" s="1682" t="s">
        <v>1887</v>
      </c>
      <c r="C42" s="1682" t="s">
        <v>1888</v>
      </c>
      <c r="D42" s="1682" t="s">
        <v>1889</v>
      </c>
      <c r="E42" s="1619" t="s">
        <v>1890</v>
      </c>
      <c r="F42" s="1656"/>
      <c r="G42" s="3072"/>
      <c r="H42" s="3072"/>
      <c r="I42" s="3076"/>
      <c r="J42" s="3072"/>
      <c r="K42" s="3055"/>
      <c r="L42" s="3051"/>
      <c r="M42" s="3051"/>
      <c r="N42" s="3052"/>
      <c r="O42" s="3053"/>
      <c r="P42" s="3052"/>
      <c r="Q42" s="3052"/>
      <c r="R42" s="3052"/>
      <c r="S42" s="3052"/>
      <c r="T42" s="3052"/>
      <c r="U42" s="3052"/>
    </row>
    <row r="43" spans="1:28">
      <c r="A43" s="3023" t="s">
        <v>1696</v>
      </c>
      <c r="B43" s="1657"/>
      <c r="C43" s="1657"/>
      <c r="D43" s="1657"/>
      <c r="E43" s="1657"/>
      <c r="F43" s="1658"/>
      <c r="G43" s="3072"/>
      <c r="H43" s="3072"/>
      <c r="I43" s="3076"/>
      <c r="J43" s="3072"/>
      <c r="K43" s="3055"/>
      <c r="L43" s="3051"/>
      <c r="M43" s="3051"/>
      <c r="N43" s="3052"/>
      <c r="O43" s="3053"/>
      <c r="P43" s="3052"/>
      <c r="Q43" s="3052"/>
      <c r="R43" s="3052"/>
      <c r="S43" s="3052"/>
      <c r="T43" s="3052"/>
      <c r="U43" s="3052"/>
    </row>
    <row r="44" spans="1:28">
      <c r="A44" s="3023" t="s">
        <v>1697</v>
      </c>
      <c r="B44" s="1657"/>
      <c r="C44" s="1657"/>
      <c r="D44" s="1657"/>
      <c r="E44" s="1705"/>
      <c r="F44" s="1658"/>
      <c r="G44" s="3072"/>
      <c r="H44" s="3072"/>
      <c r="I44" s="3076"/>
      <c r="J44" s="3072"/>
      <c r="K44" s="3055"/>
      <c r="L44" s="3051"/>
      <c r="M44" s="3051"/>
      <c r="N44" s="3052"/>
      <c r="O44" s="3053"/>
      <c r="P44" s="3052"/>
      <c r="Q44" s="3052"/>
      <c r="R44" s="3052"/>
      <c r="S44" s="3052"/>
      <c r="T44" s="3052"/>
      <c r="U44" s="3052"/>
    </row>
    <row r="45" spans="1:28" s="2772" customFormat="1" ht="21" thickBot="1">
      <c r="A45" s="2773" t="s">
        <v>2867</v>
      </c>
      <c r="B45" s="2771"/>
      <c r="C45" s="2771"/>
      <c r="D45" s="2771"/>
      <c r="E45" s="2771"/>
      <c r="F45" s="2771"/>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1994</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'规划数据 '!C13</f>
        <v>64712.52</v>
      </c>
      <c r="B3" s="22">
        <f>IF(C3="否",G5-AT5,G5)</f>
        <v>218404.75999999998</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218404.75999999998</v>
      </c>
      <c r="H5" s="27">
        <f t="shared" ref="H5:AT5" si="0">SUM(H13:H641)</f>
        <v>218404.75999999998</v>
      </c>
      <c r="I5" s="27">
        <f t="shared" si="0"/>
        <v>161781.29999999999</v>
      </c>
      <c r="J5" s="27">
        <f t="shared" si="0"/>
        <v>0</v>
      </c>
      <c r="K5" s="27">
        <f t="shared" si="0"/>
        <v>56623.46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218404.75999999998</v>
      </c>
      <c r="BA5" s="29">
        <f t="shared" si="1"/>
        <v>218404.75999999998</v>
      </c>
      <c r="BB5" s="29">
        <f t="shared" si="1"/>
        <v>161781.29999999999</v>
      </c>
      <c r="BC5" s="29">
        <f t="shared" si="1"/>
        <v>56623.46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64712.52</v>
      </c>
      <c r="F6" s="27" t="s">
        <v>1</v>
      </c>
      <c r="G6" s="27" t="s">
        <v>2</v>
      </c>
      <c r="H6" s="33">
        <f>SUMIF(I$12:AB$12,"总值",I6:AB6)</f>
        <v>64712.52</v>
      </c>
      <c r="I6" s="27">
        <f t="shared" ref="I6:AB6" si="2">ROUND($A$3*I5/$B$3,2)</f>
        <v>47935.199999999997</v>
      </c>
      <c r="J6" s="27">
        <f t="shared" si="2"/>
        <v>0</v>
      </c>
      <c r="K6" s="27">
        <f t="shared" si="2"/>
        <v>16777.32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64712.52</v>
      </c>
      <c r="AZ6" s="27" t="s">
        <v>3</v>
      </c>
      <c r="BA6" s="27">
        <f>ROUND($AY$6*BA5/$AZ$5,2)</f>
        <v>64712.52</v>
      </c>
      <c r="BB6" s="27">
        <f>ROUND($AY$6*BB5/$AZ$5,2)</f>
        <v>47935.199999999997</v>
      </c>
      <c r="BC6" s="27">
        <f t="shared" ref="BC6:BH6" si="4">ROUND($AY$6*BC5/$AZ$5,2)</f>
        <v>16777.32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2999</v>
      </c>
      <c r="J9" s="51"/>
      <c r="K9" s="2731" t="s">
        <v>3022</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t="s">
        <v>3023</v>
      </c>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64712.52</v>
      </c>
      <c r="F13" s="81"/>
      <c r="G13" s="82">
        <f t="shared" ref="G13:G20" si="7">H13+AC13+AT13</f>
        <v>218404.75999999998</v>
      </c>
      <c r="H13" s="33">
        <f t="shared" ref="H13:H20" si="8">SUMIF(I$12:AB$12,"总值",I13:AB13)</f>
        <v>218404.75999999998</v>
      </c>
      <c r="I13" s="2730">
        <f>ROUND('规划数据 '!I13,2)</f>
        <v>161781.29999999999</v>
      </c>
      <c r="J13" s="2730"/>
      <c r="K13" s="2730">
        <f>ROUND('规划数据 '!K13,2)</f>
        <v>56623.46</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64712.52</v>
      </c>
      <c r="AZ13" s="27">
        <f t="shared" ref="AZ13:AZ20" si="12">BA13+BL13</f>
        <v>218404.75999999998</v>
      </c>
      <c r="BA13" s="27">
        <f t="shared" ref="BA13:BA20" si="13">SUM(BB13:BK13)</f>
        <v>218404.75999999998</v>
      </c>
      <c r="BB13" s="27">
        <f t="shared" ref="BB13:BB20" si="14">IF($D13="是",I13-J13,0)</f>
        <v>161781.29999999999</v>
      </c>
      <c r="BC13" s="27">
        <f t="shared" ref="BC13:BC20" si="15">IF($D13="是",K13-L13,0)</f>
        <v>56623.46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1" t="s">
        <v>0</v>
      </c>
      <c r="B1" s="3521" t="s">
        <v>4</v>
      </c>
      <c r="C1" s="3521" t="s">
        <v>5</v>
      </c>
      <c r="D1" s="3522" t="s">
        <v>40</v>
      </c>
      <c r="E1" s="3522" t="s">
        <v>41</v>
      </c>
      <c r="F1" s="3522"/>
      <c r="G1" s="3522"/>
      <c r="H1" s="3522"/>
      <c r="I1" s="3522"/>
      <c r="J1" s="3522"/>
      <c r="K1" s="3522"/>
      <c r="L1" s="3522"/>
      <c r="M1" s="3522"/>
    </row>
    <row r="2" spans="1:13" ht="27" customHeight="1">
      <c r="A2" s="3521"/>
      <c r="B2" s="3521"/>
      <c r="C2" s="3521"/>
      <c r="D2" s="3522"/>
      <c r="E2" s="3522" t="s">
        <v>24</v>
      </c>
      <c r="F2" s="3522" t="s">
        <v>25</v>
      </c>
      <c r="G2" s="3522"/>
      <c r="H2" s="3522"/>
      <c r="I2" s="3522"/>
      <c r="J2" s="3522" t="s">
        <v>26</v>
      </c>
      <c r="K2" s="3522"/>
      <c r="L2" s="3522"/>
      <c r="M2" s="3522"/>
    </row>
    <row r="3" spans="1:13" ht="28.5">
      <c r="A3" s="3521"/>
      <c r="B3" s="3521"/>
      <c r="C3" s="3521"/>
      <c r="D3" s="3522"/>
      <c r="E3" s="35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2" t="s">
        <v>42</v>
      </c>
      <c r="B9" s="3522"/>
      <c r="C9" s="35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topLeftCell="C1" workbookViewId="0">
      <selection activeCell="K14" sqref="K14"/>
    </sheetView>
  </sheetViews>
  <sheetFormatPr defaultColWidth="9" defaultRowHeight="18"/>
  <cols>
    <col min="1" max="1" width="9" style="3396"/>
    <col min="2" max="2" width="26.875" style="3396" customWidth="1"/>
    <col min="3" max="3" width="17.25" style="3395" customWidth="1"/>
    <col min="4" max="4" width="11.875" style="3395" customWidth="1"/>
    <col min="5" max="5" width="13.375" style="3396" bestFit="1" customWidth="1"/>
    <col min="6" max="6" width="12.375" style="3396" customWidth="1"/>
    <col min="7" max="7" width="10.625" style="3396" customWidth="1"/>
    <col min="8" max="8" width="10.125" style="3396" bestFit="1" customWidth="1"/>
    <col min="9" max="9" width="11.875" style="3396" bestFit="1" customWidth="1"/>
    <col min="10" max="10" width="13.75" style="3396" customWidth="1"/>
    <col min="11" max="11" width="13.375" style="3396" bestFit="1" customWidth="1"/>
    <col min="12" max="12" width="11" style="3396" customWidth="1"/>
    <col min="13" max="13" width="15.875" style="3396" customWidth="1"/>
    <col min="14" max="16384" width="9" style="3396"/>
  </cols>
  <sheetData>
    <row r="1" spans="2:13" ht="29.25" customHeight="1">
      <c r="B1" s="3523" t="s">
        <v>3030</v>
      </c>
      <c r="C1" s="3523"/>
    </row>
    <row r="2" spans="2:13">
      <c r="B2" s="3397" t="s">
        <v>3031</v>
      </c>
      <c r="C2" s="3398">
        <f>C16</f>
        <v>169566.51</v>
      </c>
      <c r="D2" s="3399"/>
      <c r="E2" s="3400">
        <f>C2/666.67</f>
        <v>254.34849325753373</v>
      </c>
      <c r="F2" s="3400"/>
      <c r="H2" s="3401"/>
      <c r="I2" s="3401"/>
    </row>
    <row r="3" spans="2:13">
      <c r="B3" s="3397" t="s">
        <v>3032</v>
      </c>
      <c r="C3" s="3402">
        <f>D16</f>
        <v>572286.97124999994</v>
      </c>
      <c r="D3" s="3403"/>
    </row>
    <row r="4" spans="2:13">
      <c r="B4" s="3397" t="s">
        <v>3033</v>
      </c>
      <c r="C4" s="3402">
        <f>E16</f>
        <v>423916.27500000002</v>
      </c>
      <c r="D4" s="3403"/>
    </row>
    <row r="5" spans="2:13">
      <c r="B5" s="3404" t="s">
        <v>3034</v>
      </c>
      <c r="C5" s="3405">
        <f>G16</f>
        <v>0</v>
      </c>
      <c r="D5" s="3406"/>
    </row>
    <row r="6" spans="2:13">
      <c r="B6" s="3404" t="s">
        <v>3035</v>
      </c>
      <c r="C6" s="3405">
        <f>J16</f>
        <v>0</v>
      </c>
      <c r="D6" s="3406"/>
    </row>
    <row r="7" spans="2:13">
      <c r="B7" s="3404" t="s">
        <v>3036</v>
      </c>
      <c r="C7" s="3405">
        <f>I16</f>
        <v>423916.27500000002</v>
      </c>
      <c r="D7" s="3406"/>
    </row>
    <row r="8" spans="2:13" s="3408" customFormat="1">
      <c r="B8" s="3397" t="s">
        <v>3037</v>
      </c>
      <c r="C8" s="3402">
        <f>K16</f>
        <v>148370.69624999998</v>
      </c>
      <c r="D8" s="3403"/>
      <c r="E8" s="3407">
        <f>C9</f>
        <v>4239.1627499999995</v>
      </c>
      <c r="F8" s="3407"/>
    </row>
    <row r="9" spans="2:13">
      <c r="B9" s="3404" t="s">
        <v>3038</v>
      </c>
      <c r="C9" s="3409">
        <f>L16</f>
        <v>4239.1627499999995</v>
      </c>
    </row>
    <row r="12" spans="2:13" s="3412" customFormat="1" ht="43.5" customHeight="1">
      <c r="B12" s="3410" t="s">
        <v>3039</v>
      </c>
      <c r="C12" s="3411" t="s">
        <v>3040</v>
      </c>
      <c r="D12" s="3411" t="s">
        <v>3041</v>
      </c>
      <c r="E12" s="3410" t="s">
        <v>3033</v>
      </c>
      <c r="F12" s="3410" t="s">
        <v>3042</v>
      </c>
      <c r="G12" s="3410" t="s">
        <v>3043</v>
      </c>
      <c r="H12" s="3410" t="s">
        <v>3044</v>
      </c>
      <c r="I12" s="3410" t="s">
        <v>3045</v>
      </c>
      <c r="J12" s="3410" t="s">
        <v>3046</v>
      </c>
      <c r="K12" s="3411" t="s">
        <v>3047</v>
      </c>
      <c r="L12" s="3410" t="s">
        <v>3048</v>
      </c>
    </row>
    <row r="13" spans="2:13">
      <c r="B13" s="3404" t="s">
        <v>3049</v>
      </c>
      <c r="C13" s="3413">
        <v>64712.52</v>
      </c>
      <c r="D13" s="3414">
        <f>E13+K13</f>
        <v>218404.75499999998</v>
      </c>
      <c r="E13" s="3415">
        <f>C13*F13</f>
        <v>161781.29999999999</v>
      </c>
      <c r="F13" s="3404">
        <v>2.5</v>
      </c>
      <c r="G13" s="3404"/>
      <c r="H13" s="3404"/>
      <c r="I13" s="3415">
        <f>E13</f>
        <v>161781.29999999999</v>
      </c>
      <c r="J13" s="3404"/>
      <c r="K13" s="3415">
        <f>L13*35</f>
        <v>56623.454999999994</v>
      </c>
      <c r="L13" s="3416">
        <f>E13/100*1</f>
        <v>1617.8129999999999</v>
      </c>
      <c r="M13" s="3429">
        <f>I13+K13</f>
        <v>218404.75499999998</v>
      </c>
    </row>
    <row r="14" spans="2:13">
      <c r="B14" s="3404" t="s">
        <v>3050</v>
      </c>
      <c r="C14" s="3413">
        <v>68209.850000000006</v>
      </c>
      <c r="D14" s="3414">
        <f>E14+K14</f>
        <v>230208.24374999999</v>
      </c>
      <c r="E14" s="3415">
        <f t="shared" ref="E14:E15" si="0">C14*F14</f>
        <v>170524.625</v>
      </c>
      <c r="F14" s="3404">
        <v>2.5</v>
      </c>
      <c r="G14" s="3404"/>
      <c r="H14" s="3404"/>
      <c r="I14" s="3404">
        <f>E14</f>
        <v>170524.625</v>
      </c>
      <c r="J14" s="3404"/>
      <c r="K14" s="3415">
        <f>L14*35</f>
        <v>59683.618749999994</v>
      </c>
      <c r="L14" s="3416">
        <f>E14/100*1</f>
        <v>1705.2462499999999</v>
      </c>
      <c r="M14" s="3429">
        <f t="shared" ref="M14:M15" si="1">I14+K14</f>
        <v>230208.24374999999</v>
      </c>
    </row>
    <row r="15" spans="2:13">
      <c r="B15" s="3404" t="s">
        <v>3051</v>
      </c>
      <c r="C15" s="3413">
        <v>36644.14</v>
      </c>
      <c r="D15" s="3414">
        <f>E15+K15</f>
        <v>123673.9725</v>
      </c>
      <c r="E15" s="3415">
        <f t="shared" si="0"/>
        <v>91610.35</v>
      </c>
      <c r="F15" s="3417">
        <v>2.5</v>
      </c>
      <c r="G15" s="3404"/>
      <c r="H15" s="3404"/>
      <c r="I15" s="3404">
        <f>E15</f>
        <v>91610.35</v>
      </c>
      <c r="J15" s="3404"/>
      <c r="K15" s="3415">
        <f>L15*35</f>
        <v>32063.622500000001</v>
      </c>
      <c r="L15" s="3416">
        <f>E15/100*1</f>
        <v>916.10350000000005</v>
      </c>
      <c r="M15" s="3429">
        <f t="shared" si="1"/>
        <v>123673.9725</v>
      </c>
    </row>
    <row r="16" spans="2:13">
      <c r="B16" s="3398" t="s">
        <v>3052</v>
      </c>
      <c r="C16" s="3398">
        <f>SUM(C13:C15)</f>
        <v>169566.51</v>
      </c>
      <c r="D16" s="3398">
        <f>SUM(D13:D15)</f>
        <v>572286.97124999994</v>
      </c>
      <c r="E16" s="3418">
        <f>SUM(E13:E15)</f>
        <v>423916.27500000002</v>
      </c>
      <c r="F16" s="3418">
        <f>E16/C16</f>
        <v>2.5</v>
      </c>
      <c r="G16" s="3397">
        <f t="shared" ref="G16:L16" si="2">SUM(G13:G15)</f>
        <v>0</v>
      </c>
      <c r="H16" s="3397">
        <f t="shared" si="2"/>
        <v>0</v>
      </c>
      <c r="I16" s="3397">
        <f t="shared" si="2"/>
        <v>423916.27500000002</v>
      </c>
      <c r="J16" s="3397">
        <f t="shared" si="2"/>
        <v>0</v>
      </c>
      <c r="K16" s="3418">
        <f t="shared" si="2"/>
        <v>148370.69624999998</v>
      </c>
      <c r="L16" s="3419">
        <f t="shared" si="2"/>
        <v>4239.1627499999995</v>
      </c>
      <c r="M16" s="3429">
        <f>SUM(M13:M15)</f>
        <v>572286.97124999994</v>
      </c>
    </row>
    <row r="17" spans="1:11">
      <c r="B17" s="3420"/>
      <c r="C17" s="3421"/>
      <c r="D17" s="3421"/>
      <c r="E17" s="3420"/>
      <c r="F17" s="3420"/>
      <c r="G17" s="3420"/>
      <c r="H17" s="3420"/>
      <c r="I17" s="3420"/>
      <c r="J17" s="3420"/>
    </row>
    <row r="22" spans="1:11">
      <c r="A22" s="3422"/>
      <c r="B22" s="3422" t="s">
        <v>3002</v>
      </c>
      <c r="C22" s="3422" t="s">
        <v>3010</v>
      </c>
      <c r="D22" s="3422" t="s">
        <v>3004</v>
      </c>
      <c r="E22" s="3422" t="s">
        <v>3007</v>
      </c>
      <c r="F22" s="3422" t="s">
        <v>3008</v>
      </c>
      <c r="G22" s="3422" t="s">
        <v>3009</v>
      </c>
      <c r="H22" s="3422" t="s">
        <v>3018</v>
      </c>
      <c r="I22" s="3422" t="s">
        <v>3020</v>
      </c>
      <c r="J22" s="3422" t="s">
        <v>3019</v>
      </c>
      <c r="K22" s="3422"/>
    </row>
    <row r="23" spans="1:11">
      <c r="A23" s="3422" t="s">
        <v>3017</v>
      </c>
      <c r="B23" s="3422" t="s">
        <v>3003</v>
      </c>
      <c r="C23" s="3422" t="s">
        <v>3011</v>
      </c>
      <c r="D23" s="3422" t="s">
        <v>3005</v>
      </c>
      <c r="E23" s="3422" t="s">
        <v>3006</v>
      </c>
      <c r="F23" s="3422">
        <v>64712.52</v>
      </c>
      <c r="G23" s="3423">
        <v>69515</v>
      </c>
      <c r="H23" s="3424">
        <v>2.5</v>
      </c>
      <c r="I23" s="3424">
        <v>161781</v>
      </c>
      <c r="J23" s="3424">
        <v>236850800</v>
      </c>
      <c r="K23" s="3422" t="s">
        <v>3013</v>
      </c>
    </row>
    <row r="24" spans="1:11">
      <c r="A24" s="3422" t="s">
        <v>3000</v>
      </c>
      <c r="B24" s="3422" t="s">
        <v>3003</v>
      </c>
      <c r="C24" s="3422" t="s">
        <v>3012</v>
      </c>
      <c r="D24" s="3422" t="s">
        <v>3005</v>
      </c>
      <c r="E24" s="3422" t="s">
        <v>3006</v>
      </c>
      <c r="F24" s="3422">
        <v>68209.850000000006</v>
      </c>
      <c r="G24" s="3423">
        <v>69515</v>
      </c>
      <c r="H24" s="3424">
        <v>2.5</v>
      </c>
      <c r="I24" s="3424">
        <v>170524</v>
      </c>
      <c r="J24" s="3424">
        <v>249636400</v>
      </c>
      <c r="K24" s="3422" t="s">
        <v>3013</v>
      </c>
    </row>
    <row r="25" spans="1:11">
      <c r="A25" s="3422" t="s">
        <v>3001</v>
      </c>
      <c r="B25" s="3422" t="s">
        <v>3014</v>
      </c>
      <c r="C25" s="3422" t="s">
        <v>3015</v>
      </c>
      <c r="D25" s="3422" t="s">
        <v>3016</v>
      </c>
      <c r="E25" s="3422" t="s">
        <v>3006</v>
      </c>
      <c r="F25" s="3422">
        <v>36644.14</v>
      </c>
      <c r="G25" s="3423">
        <v>69510</v>
      </c>
      <c r="H25" s="3424">
        <v>2.5</v>
      </c>
      <c r="I25" s="3424">
        <v>91610</v>
      </c>
      <c r="J25" s="3424">
        <v>134126800</v>
      </c>
      <c r="K25" s="3422"/>
    </row>
    <row r="26" spans="1:11">
      <c r="F26" s="3396">
        <f>SUM(F23:F25)</f>
        <v>169566.51</v>
      </c>
      <c r="J26" s="3396">
        <f>SUM(J23:J25)</f>
        <v>620614000</v>
      </c>
    </row>
    <row r="37" spans="12:12">
      <c r="L37" s="3396">
        <f>'规划数据 '!E1</f>
        <v>0</v>
      </c>
    </row>
  </sheetData>
  <mergeCells count="1">
    <mergeCell ref="B1:C1"/>
  </mergeCells>
  <phoneticPr fontId="228"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21" sqref="F2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533" t="s">
        <v>203</v>
      </c>
      <c r="B2" s="3533"/>
      <c r="C2" s="3533"/>
      <c r="D2" s="1888" t="s">
        <v>204</v>
      </c>
      <c r="E2" s="106" t="s">
        <v>205</v>
      </c>
      <c r="F2" s="3081"/>
      <c r="G2" s="1180"/>
      <c r="H2" s="1181"/>
      <c r="I2" s="1182" t="s">
        <v>848</v>
      </c>
      <c r="J2" s="3081"/>
      <c r="K2" s="3081"/>
      <c r="L2" s="3081"/>
      <c r="M2" s="3081"/>
      <c r="N2" s="3081"/>
      <c r="O2" s="3081"/>
      <c r="P2" s="3081"/>
    </row>
    <row r="3" spans="1:16" ht="15.75" thickBot="1">
      <c r="A3" s="3534" t="s">
        <v>206</v>
      </c>
      <c r="B3" s="3534"/>
      <c r="C3" s="3534"/>
      <c r="D3" s="107">
        <f>'数据-基础表'!AY6</f>
        <v>64712.52</v>
      </c>
      <c r="E3" s="107">
        <f>'数据-基础表'!AZ5</f>
        <v>218404.75999999998</v>
      </c>
      <c r="F3" s="3081"/>
      <c r="G3" s="278" t="s">
        <v>849</v>
      </c>
      <c r="H3" s="273" t="s">
        <v>850</v>
      </c>
      <c r="I3" s="1889">
        <f>ROUND('数据-基础表'!B3/'数据-基础表'!A3,2)</f>
        <v>3.38</v>
      </c>
      <c r="J3" s="3081"/>
      <c r="K3" s="3081"/>
      <c r="L3" s="3081"/>
      <c r="M3" s="3081"/>
      <c r="N3" s="3081"/>
      <c r="O3" s="3081"/>
      <c r="P3" s="3081"/>
    </row>
    <row r="4" spans="1:16" ht="15">
      <c r="A4" s="3535"/>
      <c r="B4" s="3536"/>
      <c r="C4" s="3537"/>
      <c r="D4" s="108" t="s">
        <v>204</v>
      </c>
      <c r="E4" s="109" t="s">
        <v>205</v>
      </c>
      <c r="F4" s="3081"/>
      <c r="G4" s="1183"/>
      <c r="H4" s="273" t="s">
        <v>851</v>
      </c>
      <c r="I4" s="1889">
        <f>ROUND(SUMIF('数据-基础表'!I9:AS9,"地上",'数据-基础表'!I5:AS5)/'数据-基础表'!A3,2)</f>
        <v>2.5</v>
      </c>
      <c r="J4" s="3081"/>
      <c r="K4" s="3081"/>
      <c r="L4" s="3081"/>
      <c r="M4" s="3081"/>
      <c r="N4" s="3081"/>
      <c r="O4" s="3081"/>
      <c r="P4" s="3081"/>
    </row>
    <row r="5" spans="1:16">
      <c r="A5" s="110" t="s">
        <v>207</v>
      </c>
      <c r="B5" s="3538" t="s">
        <v>230</v>
      </c>
      <c r="C5" s="3538"/>
      <c r="D5" s="111">
        <f>ROUND($D$3*E5/$E$3,2)</f>
        <v>47935.199999999997</v>
      </c>
      <c r="E5" s="112">
        <f>SUMIF('数据-基础表'!$11:$11,"住宅",'数据-基础表'!$5:$5)</f>
        <v>161781.29999999999</v>
      </c>
      <c r="F5" s="3081"/>
      <c r="G5" s="278" t="s">
        <v>852</v>
      </c>
      <c r="H5" s="273" t="s">
        <v>850</v>
      </c>
      <c r="I5" s="1889">
        <f>ROUND(E31/D31,2)</f>
        <v>3.38</v>
      </c>
      <c r="J5" s="3081"/>
      <c r="K5" s="3081"/>
      <c r="L5" s="3081"/>
      <c r="M5" s="3081"/>
      <c r="N5" s="3081"/>
      <c r="O5" s="3081"/>
      <c r="P5" s="3081"/>
    </row>
    <row r="6" spans="1:16" ht="15" thickBot="1">
      <c r="A6" s="113"/>
      <c r="B6" s="3538" t="s">
        <v>208</v>
      </c>
      <c r="C6" s="3538"/>
      <c r="D6" s="111">
        <f>ROUND($D$3*E6/$E$3,2)</f>
        <v>16777.32</v>
      </c>
      <c r="E6" s="112">
        <f>E3-E5</f>
        <v>56623.459999999992</v>
      </c>
      <c r="F6" s="3081"/>
      <c r="G6" s="1183"/>
      <c r="H6" s="273" t="s">
        <v>851</v>
      </c>
      <c r="I6" s="1889">
        <f>ROUND(F31/D31,2)</f>
        <v>2.5</v>
      </c>
      <c r="J6" s="3081"/>
      <c r="K6" s="3081"/>
      <c r="L6" s="3081"/>
      <c r="M6" s="3081"/>
      <c r="N6" s="3081"/>
      <c r="O6" s="3081"/>
      <c r="P6" s="3081"/>
    </row>
    <row r="7" spans="1:16" ht="15">
      <c r="A7" s="3530"/>
      <c r="B7" s="3531"/>
      <c r="C7" s="3532"/>
      <c r="D7" s="108" t="s">
        <v>204</v>
      </c>
      <c r="E7" s="114" t="s">
        <v>231</v>
      </c>
      <c r="F7" s="3081"/>
      <c r="G7" s="1138" t="s">
        <v>1635</v>
      </c>
      <c r="H7" s="1139"/>
      <c r="I7" s="1759">
        <v>2.5</v>
      </c>
      <c r="J7" s="3081"/>
      <c r="K7" s="3081"/>
      <c r="L7" s="3081"/>
      <c r="M7" s="3081"/>
      <c r="N7" s="3081"/>
      <c r="O7" s="3081"/>
      <c r="P7" s="3081"/>
    </row>
    <row r="8" spans="1:16">
      <c r="A8" s="110" t="s">
        <v>209</v>
      </c>
      <c r="B8" s="115" t="s">
        <v>210</v>
      </c>
      <c r="C8" s="111" t="s">
        <v>211</v>
      </c>
      <c r="D8" s="111">
        <f t="shared" ref="D8:D15" si="0">ROUND($D$3*E8/$E$3,2)</f>
        <v>47935.199999999997</v>
      </c>
      <c r="E8" s="116">
        <f>SUMIF('数据-基础表'!BB10:BK10,"地上",'数据-基础表'!BB5:BK5)</f>
        <v>161781.29999999999</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2321</v>
      </c>
      <c r="D13" s="111">
        <f t="shared" si="0"/>
        <v>16777.32</v>
      </c>
      <c r="E13" s="116">
        <f>SUMPRODUCT(('数据-基础表'!BB10:BK10="地下")*('数据-基础表'!BB11:BK11="车库")*('数据-基础表'!BB5:BK5))</f>
        <v>56623.46</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64712.52</v>
      </c>
      <c r="E16" s="120">
        <f>SUM(E8:E15)</f>
        <v>218404.75999999998</v>
      </c>
      <c r="F16" s="3081"/>
      <c r="G16" s="3082"/>
      <c r="H16" s="955" t="s">
        <v>219</v>
      </c>
      <c r="I16" s="956"/>
      <c r="J16" s="1897"/>
      <c r="K16" s="3524" t="s">
        <v>2547</v>
      </c>
      <c r="L16" s="3525"/>
      <c r="M16" s="3525"/>
      <c r="N16" s="3525"/>
      <c r="O16" s="3525"/>
      <c r="P16" s="3526"/>
    </row>
    <row r="17" spans="1:19" ht="15">
      <c r="A17" s="121" t="s">
        <v>216</v>
      </c>
      <c r="B17" s="122" t="s">
        <v>217</v>
      </c>
      <c r="C17" s="2177" t="s">
        <v>2300</v>
      </c>
      <c r="D17" s="108" t="s">
        <v>204</v>
      </c>
      <c r="E17" s="124" t="s">
        <v>205</v>
      </c>
      <c r="F17" s="125"/>
      <c r="G17" s="1318"/>
      <c r="H17" s="957" t="s">
        <v>218</v>
      </c>
      <c r="I17" s="958" t="s">
        <v>2299</v>
      </c>
      <c r="J17" s="1897"/>
      <c r="K17" s="3527" t="s">
        <v>2548</v>
      </c>
      <c r="L17" s="3528"/>
      <c r="M17" s="3529"/>
      <c r="N17" s="3527" t="s">
        <v>2549</v>
      </c>
      <c r="O17" s="3528"/>
      <c r="P17" s="3529"/>
      <c r="R17" s="2178" t="s">
        <v>2298</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2296</v>
      </c>
      <c r="S18" s="2179" t="s">
        <v>2297</v>
      </c>
    </row>
    <row r="19" spans="1:19">
      <c r="A19" s="133"/>
      <c r="B19" s="115" t="s">
        <v>225</v>
      </c>
      <c r="C19" s="2737" t="s">
        <v>3024</v>
      </c>
      <c r="D19" s="111">
        <f t="shared" ref="D19:D26" si="1">ROUND($D$3*E19/$E$3,2)</f>
        <v>47935.199999999997</v>
      </c>
      <c r="E19" s="134">
        <f t="shared" ref="E19:E26" si="2">SUM(F19:G19)</f>
        <v>161781.29999999999</v>
      </c>
      <c r="F19" s="3083">
        <f>'数据-基础表'!I13</f>
        <v>161781.29999999999</v>
      </c>
      <c r="G19" s="3084"/>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47935.199999999997</v>
      </c>
      <c r="S19" s="2180">
        <f t="shared" si="5"/>
        <v>161781.29999999999</v>
      </c>
    </row>
    <row r="20" spans="1:19">
      <c r="A20" s="137"/>
      <c r="B20" s="115" t="s">
        <v>226</v>
      </c>
      <c r="C20" s="2737" t="s">
        <v>3025</v>
      </c>
      <c r="D20" s="111">
        <f t="shared" si="1"/>
        <v>16777.32</v>
      </c>
      <c r="E20" s="134">
        <f t="shared" si="2"/>
        <v>56623.46</v>
      </c>
      <c r="F20" s="3083"/>
      <c r="G20" s="3084">
        <f>'数据-基础表'!K13</f>
        <v>56623.46</v>
      </c>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16777.32</v>
      </c>
      <c r="S20" s="2180">
        <f t="shared" si="5"/>
        <v>56623.46</v>
      </c>
    </row>
    <row r="21" spans="1:19">
      <c r="A21" s="137"/>
      <c r="B21" s="115" t="s">
        <v>226</v>
      </c>
      <c r="C21" s="2737"/>
      <c r="D21" s="111">
        <f t="shared" si="1"/>
        <v>0</v>
      </c>
      <c r="E21" s="134">
        <f t="shared" si="2"/>
        <v>0</v>
      </c>
      <c r="F21" s="3083"/>
      <c r="G21" s="3084"/>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5"/>
      <c r="G22" s="3086"/>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5"/>
      <c r="G23" s="3086"/>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5"/>
      <c r="G24" s="3086"/>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64712.52</v>
      </c>
      <c r="E27" s="141">
        <f>IF(SUM(E19:E26)='数据-基础表'!BA5,SUM(E19:E26),IF(F27="地上面积有误","面积有误","地下面积有误"))</f>
        <v>218404.75999999998</v>
      </c>
      <c r="F27" s="134">
        <f>IF(SUM(F19:F26)=E8,SUM(F19:F26),"地上面积有误")</f>
        <v>161781.29999999999</v>
      </c>
      <c r="G27" s="112">
        <f>SUM(G19:G26)</f>
        <v>56623.46</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64712.52</v>
      </c>
      <c r="S27" s="273">
        <f>IF(SUM(S19:S26)=$E$3,SUM(S19:S26),SUM(S19:S26)&amp;"误差"&amp;ROUND(SUM(S19:S26)-E3,2))</f>
        <v>218404.75999999998</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2" t="s">
        <v>2307</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9" t="s">
        <v>2309</v>
      </c>
      <c r="D31" s="1322">
        <f>D27+D30</f>
        <v>64712.52</v>
      </c>
      <c r="E31" s="1322">
        <f>E27+E30</f>
        <v>218404.75999999998</v>
      </c>
      <c r="F31" s="1323">
        <f>F27+F30</f>
        <v>161781.29999999999</v>
      </c>
      <c r="G31" s="1324">
        <f>G27+G30</f>
        <v>56623.46</v>
      </c>
      <c r="H31" s="3081"/>
      <c r="I31" s="3081"/>
      <c r="J31" s="3081"/>
      <c r="K31" s="3081"/>
      <c r="L31" s="3081"/>
      <c r="M31" s="3081"/>
      <c r="N31" s="3081"/>
      <c r="O31" s="3081"/>
      <c r="P31" s="3081"/>
    </row>
    <row r="32" spans="1:19">
      <c r="A32" s="1897"/>
      <c r="B32" s="2221" t="s">
        <v>2308</v>
      </c>
      <c r="C32" s="2488"/>
      <c r="D32" s="1183"/>
      <c r="E32" s="1183">
        <f>SUMIF(C19:C26,"*住宅*",E19:E26)</f>
        <v>161781.29999999999</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J26" sqref="J26"/>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235</v>
      </c>
      <c r="B2" s="2217">
        <f>项目基本情况!D3</f>
        <v>44139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2"/>
      <c r="AP5" s="3087" t="s">
        <v>2967</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69515</v>
      </c>
      <c r="F6" s="172">
        <f>SUMIF(项目基本情况!D$15:I$15,C6,项目基本情况!D$19:I$19)</f>
        <v>69.52</v>
      </c>
      <c r="G6" s="173">
        <f>IF(ISERROR(ROUND(POWER(1+H6,D6-F6)*(POWER(1+H6,F6)-1)/(POWER(1+H6,D6)-1),3)),0,ROUND(POWER(1+H6,D6-F6)*(POWER(1+H6,F6)-1)/(POWER(1+H6,D6)-1),3))</f>
        <v>0.999</v>
      </c>
      <c r="H6" s="2738">
        <v>0.05</v>
      </c>
      <c r="I6" s="2738">
        <v>5.5E-2</v>
      </c>
      <c r="J6" s="174">
        <v>0.08</v>
      </c>
      <c r="K6" s="177">
        <f>SUMIF('数据-汇总表'!C$19:C$33,'数据-取费表'!A6,'数据-汇总表'!E$19:E$33)</f>
        <v>161781.29999999999</v>
      </c>
      <c r="L6" s="2739">
        <v>3000</v>
      </c>
      <c r="M6" s="175">
        <f t="shared" ref="M6:M14" si="0">ROUND(K6*L6/10000,0)</f>
        <v>48534</v>
      </c>
      <c r="N6" s="2740">
        <v>0</v>
      </c>
      <c r="O6" s="175">
        <f>IF($N$5="成新度","——",ROUND(M6*N6,0))</f>
        <v>0</v>
      </c>
      <c r="P6" s="176">
        <f>IF($N$5="成新度","——",M6-O6)</f>
        <v>48534</v>
      </c>
      <c r="Q6" s="2741">
        <v>0.15</v>
      </c>
      <c r="R6" s="177">
        <f>SUMIF('数据-汇总表'!C$19:C$33,A6,'数据-汇总表'!R$19:R$33)</f>
        <v>47935.199999999997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1"/>
      <c r="AP6" s="1186">
        <f>ROUND(1-1/(1+H6)^F6,3)</f>
        <v>0.96599999999999997</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车库</v>
      </c>
      <c r="B7" s="2216" t="str">
        <f t="shared" ref="B7:B13" si="1">IF(A7=0,"","经营性")</f>
        <v>经营性</v>
      </c>
      <c r="C7" s="171" t="s">
        <v>3023</v>
      </c>
      <c r="D7" s="2187">
        <f>SUMIF(项目基本情况!D$15:I$15,C7,项目基本情况!D$18:I$18)</f>
        <v>40</v>
      </c>
      <c r="E7" s="2188">
        <f>IF(B7="","",SUMIF(项目基本情况!D$15:I$15,C7,项目基本情况!D$17:I$17))</f>
        <v>58558</v>
      </c>
      <c r="F7" s="172">
        <f>SUMIF(项目基本情况!D$15:I$15,C7,项目基本情况!D$19:I$19)</f>
        <v>39.5</v>
      </c>
      <c r="G7" s="173">
        <f t="shared" ref="G7:G11" si="2">IF(ISERROR(ROUND(POWER(1+H7,D7-F7)*(POWER(1+H7,F7)-1)/(POWER(1+H7,D7)-1),3)),0,ROUND(POWER(1+H7,D7-F7)*(POWER(1+H7,F7)-1)/(POWER(1+H7,D7)-1),3))</f>
        <v>0</v>
      </c>
      <c r="H7" s="2738">
        <v>0</v>
      </c>
      <c r="I7" s="2738">
        <v>4.4999999999999998E-2</v>
      </c>
      <c r="J7" s="174">
        <v>0.08</v>
      </c>
      <c r="K7" s="177">
        <f>SUMIF('数据-汇总表'!C$19:C$33,'数据-取费表'!A7,'数据-汇总表'!E$19:E$33)</f>
        <v>56623.46</v>
      </c>
      <c r="L7" s="2739">
        <v>2000</v>
      </c>
      <c r="M7" s="175">
        <f t="shared" si="0"/>
        <v>11325</v>
      </c>
      <c r="N7" s="2740">
        <v>0</v>
      </c>
      <c r="O7" s="175">
        <f t="shared" ref="O7:O14" si="3">IF($N$5="成新度","——",ROUND(M7*N7,0))</f>
        <v>0</v>
      </c>
      <c r="P7" s="176">
        <f t="shared" ref="P7:P14" si="4">IF($N$5="成新度","——",M7-O7)</f>
        <v>11325</v>
      </c>
      <c r="Q7" s="2741">
        <v>0.03</v>
      </c>
      <c r="R7" s="177">
        <f>SUMIF('数据-汇总表'!C$19:C$33,A7,'数据-汇总表'!R$19:R$33)</f>
        <v>16777.32</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400</v>
      </c>
      <c r="V7" s="179">
        <v>0.02</v>
      </c>
      <c r="W7" s="179">
        <v>0.15</v>
      </c>
      <c r="X7" s="2200"/>
      <c r="Y7" s="180">
        <v>1</v>
      </c>
      <c r="Z7" s="181"/>
      <c r="AA7" s="174"/>
      <c r="AB7" s="174"/>
      <c r="AC7" s="2203"/>
      <c r="AD7" s="182"/>
      <c r="AE7" s="959">
        <f t="shared" ref="AE7:AE13" ca="1" si="6">IF(AN7="",0,SUMIF(INDIRECT("'"&amp;AN7&amp;"'"&amp;"!E:E"),$AE$5,INDIRECT("'"&amp;AN7&amp;"'"&amp;"!F:F")))</f>
        <v>37</v>
      </c>
      <c r="AF7" s="139"/>
      <c r="AG7" s="1195">
        <f t="shared" ref="AG7:AG13" si="7">IF(AF7="",0,AE7-AF7)</f>
        <v>0</v>
      </c>
      <c r="AH7" s="139">
        <v>1618</v>
      </c>
      <c r="AI7" s="185">
        <v>12</v>
      </c>
      <c r="AJ7" s="186"/>
      <c r="AK7" s="3447">
        <v>0.01</v>
      </c>
      <c r="AL7" s="188">
        <v>1.5E-3</v>
      </c>
      <c r="AM7" s="187">
        <v>0.01</v>
      </c>
      <c r="AN7" s="2246" t="s">
        <v>3026</v>
      </c>
      <c r="AO7" s="3091"/>
      <c r="AP7" s="1186">
        <f t="shared" ref="AP7:AP13" si="8">ROUND(1-1/(1+H7)^F7,3)</f>
        <v>0</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1"/>
      <c r="AP8" s="1186">
        <f t="shared" si="8"/>
        <v>0</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0.999</v>
      </c>
      <c r="H16" s="201">
        <f>ROUND(SUMPRODUCT(H6:H13,K6:K13)/SUMPRODUCT((H6:H13&gt;0)*(K6:K13)),3)</f>
        <v>0.05</v>
      </c>
      <c r="I16" s="202"/>
      <c r="J16" s="202"/>
      <c r="K16" s="203">
        <f>SUM(K6:K15)</f>
        <v>218404.75999999998</v>
      </c>
      <c r="L16" s="204">
        <f>ROUND(M16*10000/SUM(K6:K14),0)</f>
        <v>2741</v>
      </c>
      <c r="M16" s="204">
        <f>SUM(M6:M14)</f>
        <v>59859</v>
      </c>
      <c r="N16" s="205">
        <f>ROUND(SUMPRODUCT(M6:M14,N6:N14)/M16,3)</f>
        <v>0</v>
      </c>
      <c r="O16" s="204">
        <f>SUM(O6:O14)</f>
        <v>0</v>
      </c>
      <c r="P16" s="204">
        <f>SUM(P6:P14)</f>
        <v>59859</v>
      </c>
      <c r="Q16" s="206">
        <f>ROUND(SUMPRODUCT(Q6:Q13,K6:K13)/SUMPRODUCT((Q6:Q13&gt;0)*(K6:K13)),2)</f>
        <v>0.12</v>
      </c>
      <c r="R16" s="2190">
        <f>SUM(R6:R13)</f>
        <v>64712.52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0.96599999999999997</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2980</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2.5</v>
      </c>
      <c r="C20" s="3103" t="s">
        <v>2322</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15</v>
      </c>
      <c r="C27" s="3104" t="s">
        <v>2981</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15</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180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90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90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6" t="s">
        <v>2968</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6" t="s">
        <v>2969</v>
      </c>
      <c r="D34" s="3107" t="s">
        <v>2977</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2970</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2971</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2972</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2972</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1" t="s">
        <v>2438</v>
      </c>
      <c r="B40" s="2333">
        <f ca="1">存贷款利率!E2</f>
        <v>4.7500000000000001E-2</v>
      </c>
      <c r="C40" s="3106" t="s">
        <v>2973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0.05</v>
      </c>
      <c r="C44" s="3106" t="s">
        <v>2978</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2974</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2975</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2982</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0.04</v>
      </c>
      <c r="C48" s="3109" t="s">
        <v>2974</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2976</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6</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1086</v>
      </c>
      <c r="C53" s="3099" t="s">
        <v>2868</v>
      </c>
      <c r="D53" s="3110" t="s">
        <v>2979</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4" t="s">
        <v>2869</v>
      </c>
      <c r="B54" s="184">
        <v>6</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4" t="s">
        <v>2870</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4" t="s">
        <v>2871</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4" t="s">
        <v>2872</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4" t="s">
        <v>2873</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4" t="s">
        <v>2874</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4" t="s">
        <v>2875</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4" t="s">
        <v>2876</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4" t="s">
        <v>2877</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5" t="s">
        <v>2878</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70" zoomScaleNormal="70" zoomScaleSheetLayoutView="80" workbookViewId="0">
      <pane xSplit="5" ySplit="4" topLeftCell="F5" activePane="bottomRight" state="frozen"/>
      <selection activeCell="E32" sqref="E32"/>
      <selection pane="topRight" activeCell="E32" sqref="E32"/>
      <selection pane="bottomLeft" activeCell="E32" sqref="E32"/>
      <selection pane="bottomRight" activeCell="G34" sqref="G34"/>
    </sheetView>
  </sheetViews>
  <sheetFormatPr defaultColWidth="9" defaultRowHeight="21.75" customHeight="1"/>
  <cols>
    <col min="1" max="1" width="5.625" style="3329" customWidth="1"/>
    <col min="2" max="2" width="29.75" style="3330" customWidth="1"/>
    <col min="3" max="3" width="50" style="3331" customWidth="1"/>
    <col min="4" max="4" width="16.25" style="3330" customWidth="1"/>
    <col min="5" max="5" width="16.25" style="3329" customWidth="1"/>
    <col min="6" max="6" width="13.5" style="3330" customWidth="1"/>
    <col min="7" max="8" width="13.875" style="3330" customWidth="1"/>
    <col min="9" max="9" width="13.875" style="3330" hidden="1" customWidth="1"/>
    <col min="10" max="10" width="12.75" style="3330" hidden="1" customWidth="1"/>
    <col min="11" max="11" width="13.125" style="3330" hidden="1" customWidth="1"/>
    <col min="12" max="12" width="11.625" style="3330" hidden="1" customWidth="1"/>
    <col min="13" max="13" width="9" style="3330" hidden="1" customWidth="1"/>
    <col min="14" max="16384" width="9" style="3330"/>
  </cols>
  <sheetData>
    <row r="1" spans="1:12" s="3276" customFormat="1" ht="21.75" customHeight="1">
      <c r="A1" s="3539" t="s">
        <v>3053</v>
      </c>
      <c r="B1" s="3539"/>
      <c r="C1" s="3539"/>
      <c r="D1" s="3539"/>
      <c r="E1" s="3539"/>
    </row>
    <row r="2" spans="1:12" s="3276" customFormat="1" ht="21.75" customHeight="1">
      <c r="A2" s="3540" t="s">
        <v>3054</v>
      </c>
      <c r="B2" s="3540"/>
      <c r="C2" s="3540"/>
      <c r="D2" s="3540"/>
      <c r="E2" s="3540"/>
    </row>
    <row r="3" spans="1:12" s="3278" customFormat="1" ht="21.75" customHeight="1" thickBot="1">
      <c r="A3" s="3277" t="s">
        <v>3055</v>
      </c>
      <c r="B3" s="3277"/>
      <c r="C3" s="3277"/>
      <c r="D3" s="3541" t="s">
        <v>3056</v>
      </c>
      <c r="E3" s="3541"/>
      <c r="G3" s="3279"/>
      <c r="H3" s="3279"/>
    </row>
    <row r="4" spans="1:12" s="3284" customFormat="1" ht="34.9" customHeight="1" thickTop="1">
      <c r="A4" s="3280" t="s">
        <v>2359</v>
      </c>
      <c r="B4" s="3281" t="s">
        <v>3057</v>
      </c>
      <c r="C4" s="3282" t="s">
        <v>3058</v>
      </c>
      <c r="D4" s="3281" t="s">
        <v>3059</v>
      </c>
      <c r="E4" s="3283" t="s">
        <v>3060</v>
      </c>
      <c r="G4" s="3279"/>
      <c r="H4" s="3285">
        <f>'规划数据 '!C4/10000</f>
        <v>42.391627500000006</v>
      </c>
    </row>
    <row r="5" spans="1:12" s="3290" customFormat="1" ht="25.9" customHeight="1">
      <c r="A5" s="3286" t="s">
        <v>3061</v>
      </c>
      <c r="B5" s="3287" t="s">
        <v>3062</v>
      </c>
      <c r="C5" s="3287"/>
      <c r="D5" s="3288">
        <f>SUM(D6:D8)</f>
        <v>64574.886700000003</v>
      </c>
      <c r="E5" s="3289">
        <f>SUM(E6:E8)</f>
        <v>1523.2934074069224</v>
      </c>
      <c r="G5" s="3279"/>
      <c r="H5" s="3279"/>
      <c r="J5" s="3290">
        <v>94409.02</v>
      </c>
    </row>
    <row r="6" spans="1:12" s="3279" customFormat="1" ht="25.9" customHeight="1">
      <c r="A6" s="3291">
        <v>1</v>
      </c>
      <c r="B6" s="3292" t="s">
        <v>3063</v>
      </c>
      <c r="C6" s="3293" t="s">
        <v>3064</v>
      </c>
      <c r="D6" s="3294">
        <v>62061.4</v>
      </c>
      <c r="E6" s="3295">
        <f>D6/H4</f>
        <v>1464.0013526255862</v>
      </c>
    </row>
    <row r="7" spans="1:12" s="3279" customFormat="1" ht="25.9" customHeight="1">
      <c r="A7" s="3291">
        <v>2</v>
      </c>
      <c r="B7" s="3292" t="s">
        <v>3065</v>
      </c>
      <c r="C7" s="3296" t="s">
        <v>3066</v>
      </c>
      <c r="D7" s="3294">
        <f>D6*4%</f>
        <v>2482.4560000000001</v>
      </c>
      <c r="E7" s="3295">
        <f>D7/H4</f>
        <v>58.560054105023447</v>
      </c>
      <c r="G7" s="3297"/>
      <c r="H7" s="3297"/>
    </row>
    <row r="8" spans="1:12" s="3279" customFormat="1" ht="25.9" customHeight="1">
      <c r="A8" s="3291">
        <v>3</v>
      </c>
      <c r="B8" s="3292" t="s">
        <v>3067</v>
      </c>
      <c r="C8" s="3296" t="s">
        <v>3068</v>
      </c>
      <c r="D8" s="3294">
        <f>D6*0.05%</f>
        <v>31.030700000000003</v>
      </c>
      <c r="E8" s="3295">
        <f>D8/H4</f>
        <v>0.73200067631279309</v>
      </c>
      <c r="G8" s="3297"/>
      <c r="H8" s="3297"/>
    </row>
    <row r="9" spans="1:12" s="3290" customFormat="1" ht="25.9" customHeight="1">
      <c r="A9" s="3286" t="s">
        <v>3069</v>
      </c>
      <c r="B9" s="3287" t="s">
        <v>3070</v>
      </c>
      <c r="C9" s="3287"/>
      <c r="D9" s="3288">
        <f>SUM(D10:D16)</f>
        <v>7376.1431850000008</v>
      </c>
      <c r="E9" s="3298">
        <f>SUM(E10:E16)</f>
        <v>174</v>
      </c>
      <c r="G9" s="3299"/>
      <c r="H9" s="3300"/>
      <c r="I9" s="3300"/>
    </row>
    <row r="10" spans="1:12" s="3279" customFormat="1" ht="25.9" customHeight="1">
      <c r="A10" s="3291">
        <v>1</v>
      </c>
      <c r="B10" s="3292" t="s">
        <v>3071</v>
      </c>
      <c r="C10" s="3296" t="s">
        <v>3072</v>
      </c>
      <c r="D10" s="3294">
        <f>H4*E10</f>
        <v>720.65766750000012</v>
      </c>
      <c r="E10" s="3295">
        <v>17</v>
      </c>
      <c r="G10" s="3301"/>
      <c r="I10" s="3302" t="e">
        <f>SUM(D9,#REF!,D17,#REF!)</f>
        <v>#REF!</v>
      </c>
      <c r="K10" s="3279">
        <v>803.96159999999998</v>
      </c>
      <c r="L10" s="3279" t="e">
        <f>K10/#REF!*10000</f>
        <v>#REF!</v>
      </c>
    </row>
    <row r="11" spans="1:12" s="3279" customFormat="1" ht="25.9" customHeight="1">
      <c r="A11" s="3291">
        <v>2</v>
      </c>
      <c r="B11" s="3292" t="s">
        <v>3073</v>
      </c>
      <c r="C11" s="3296" t="s">
        <v>3074</v>
      </c>
      <c r="D11" s="3294">
        <f>H4*E11</f>
        <v>635.87441250000006</v>
      </c>
      <c r="E11" s="3295">
        <v>15</v>
      </c>
      <c r="K11" s="3279">
        <v>200.99</v>
      </c>
      <c r="L11" s="3279" t="e">
        <f>K11/#REF!*10000</f>
        <v>#REF!</v>
      </c>
    </row>
    <row r="12" spans="1:12" s="3279" customFormat="1" ht="25.9" customHeight="1">
      <c r="A12" s="3291">
        <v>3</v>
      </c>
      <c r="B12" s="3292" t="s">
        <v>3075</v>
      </c>
      <c r="C12" s="3296" t="s">
        <v>3076</v>
      </c>
      <c r="D12" s="3294">
        <f>H4*E12</f>
        <v>84.783255000000011</v>
      </c>
      <c r="E12" s="3295">
        <v>2</v>
      </c>
      <c r="K12" s="3279">
        <v>200.99036799999999</v>
      </c>
      <c r="L12" s="3279" t="e">
        <f>K12/#REF!*10000</f>
        <v>#REF!</v>
      </c>
    </row>
    <row r="13" spans="1:12" s="3279" customFormat="1" ht="25.9" customHeight="1">
      <c r="A13" s="3291">
        <v>4</v>
      </c>
      <c r="B13" s="3292" t="s">
        <v>3077</v>
      </c>
      <c r="C13" s="3296" t="s">
        <v>3078</v>
      </c>
      <c r="D13" s="3294">
        <f>H4*E13</f>
        <v>1059.7906875000001</v>
      </c>
      <c r="E13" s="3295">
        <v>25</v>
      </c>
      <c r="K13" s="3279">
        <v>1358.0550000000001</v>
      </c>
      <c r="L13" s="3279" t="e">
        <f>K13/#REF!*10000</f>
        <v>#REF!</v>
      </c>
    </row>
    <row r="14" spans="1:12" s="3279" customFormat="1" ht="25.9" customHeight="1">
      <c r="A14" s="3291">
        <v>5</v>
      </c>
      <c r="B14" s="3292" t="s">
        <v>3079</v>
      </c>
      <c r="C14" s="3296" t="s">
        <v>3080</v>
      </c>
      <c r="D14" s="3294">
        <f>H4*E14</f>
        <v>1695.6651000000002</v>
      </c>
      <c r="E14" s="3295">
        <v>40</v>
      </c>
      <c r="H14" s="3301">
        <f>'规划数据 '!C8/10000</f>
        <v>14.837069624999998</v>
      </c>
      <c r="K14" s="3279">
        <v>31277.3191866909</v>
      </c>
      <c r="L14" s="3279" t="e">
        <f>K14/#REF!*10000</f>
        <v>#REF!</v>
      </c>
    </row>
    <row r="15" spans="1:12" s="3279" customFormat="1" ht="25.9" customHeight="1">
      <c r="A15" s="3291">
        <v>6</v>
      </c>
      <c r="B15" s="3292" t="s">
        <v>3081</v>
      </c>
      <c r="C15" s="3296" t="s">
        <v>3082</v>
      </c>
      <c r="D15" s="3294">
        <f>H4*E15</f>
        <v>1483.7069625000001</v>
      </c>
      <c r="E15" s="3295">
        <v>35</v>
      </c>
      <c r="G15" s="3301"/>
      <c r="H15" s="3301"/>
      <c r="K15" s="3279">
        <v>273.10000000000002</v>
      </c>
      <c r="L15" s="3279" t="e">
        <f>K15/#REF!*10000</f>
        <v>#REF!</v>
      </c>
    </row>
    <row r="16" spans="1:12" s="3303" customFormat="1" ht="25.9" customHeight="1">
      <c r="A16" s="3291">
        <v>7</v>
      </c>
      <c r="B16" s="3292" t="s">
        <v>3083</v>
      </c>
      <c r="C16" s="3296" t="s">
        <v>3080</v>
      </c>
      <c r="D16" s="3294">
        <f>H4*E16</f>
        <v>1695.6651000000002</v>
      </c>
      <c r="E16" s="3295">
        <v>40</v>
      </c>
      <c r="H16" s="3304"/>
      <c r="K16" s="3279">
        <v>1116.5</v>
      </c>
      <c r="L16" s="3279" t="e">
        <f>K16/#REF!*10000</f>
        <v>#REF!</v>
      </c>
    </row>
    <row r="17" spans="1:12" s="3290" customFormat="1" ht="25.9" customHeight="1">
      <c r="A17" s="3286" t="s">
        <v>3084</v>
      </c>
      <c r="B17" s="3287" t="s">
        <v>3085</v>
      </c>
      <c r="C17" s="3287"/>
      <c r="D17" s="3288">
        <f>SUM(D18:D27)+SUM(D29:D33)+D35</f>
        <v>154778.19074662501</v>
      </c>
      <c r="E17" s="3298">
        <f>SUM(E18:E35)</f>
        <v>3731.15</v>
      </c>
    </row>
    <row r="18" spans="1:12" s="3307" customFormat="1" ht="25.9" customHeight="1">
      <c r="A18" s="3305">
        <v>1</v>
      </c>
      <c r="B18" s="3306" t="s">
        <v>3086</v>
      </c>
      <c r="C18" s="3296"/>
      <c r="D18" s="3294"/>
      <c r="E18" s="3295"/>
      <c r="K18" s="3307">
        <v>4019.8080224549999</v>
      </c>
      <c r="L18" s="3307" t="e">
        <f>K18/#REF!*10000</f>
        <v>#REF!</v>
      </c>
    </row>
    <row r="19" spans="1:12" s="3279" customFormat="1" ht="25.9" customHeight="1">
      <c r="A19" s="3308" t="s">
        <v>3087</v>
      </c>
      <c r="B19" s="3292" t="s">
        <v>3088</v>
      </c>
      <c r="C19" s="3296" t="s">
        <v>3089</v>
      </c>
      <c r="D19" s="3294">
        <f>H4*E19</f>
        <v>2119.5813750000002</v>
      </c>
      <c r="E19" s="3295">
        <v>50</v>
      </c>
      <c r="F19" s="3309"/>
      <c r="K19" s="3279">
        <v>1573.0015000000001</v>
      </c>
      <c r="L19" s="3307" t="e">
        <f>K19/#REF!*10000</f>
        <v>#REF!</v>
      </c>
    </row>
    <row r="20" spans="1:12" s="3279" customFormat="1" ht="25.9" customHeight="1">
      <c r="A20" s="3308" t="s">
        <v>3090</v>
      </c>
      <c r="B20" s="3292" t="s">
        <v>3091</v>
      </c>
      <c r="C20" s="3296" t="s">
        <v>3092</v>
      </c>
      <c r="D20" s="3294">
        <f>H4*E20</f>
        <v>55109.115750000004</v>
      </c>
      <c r="E20" s="3295">
        <v>1300</v>
      </c>
      <c r="F20" s="3309"/>
      <c r="L20" s="3307"/>
    </row>
    <row r="21" spans="1:12" s="3303" customFormat="1" ht="25.9" customHeight="1">
      <c r="A21" s="3308" t="s">
        <v>3093</v>
      </c>
      <c r="B21" s="3292" t="s">
        <v>3094</v>
      </c>
      <c r="C21" s="3296" t="s">
        <v>3095</v>
      </c>
      <c r="D21" s="3294">
        <f>H4*E21</f>
        <v>6146.7859875000004</v>
      </c>
      <c r="E21" s="3295">
        <v>145</v>
      </c>
      <c r="F21" s="3310"/>
      <c r="K21" s="3303">
        <v>157.30236427299999</v>
      </c>
      <c r="L21" s="3307" t="e">
        <f>K21/#REF!*10000</f>
        <v>#REF!</v>
      </c>
    </row>
    <row r="22" spans="1:12" s="3307" customFormat="1" ht="25.9" customHeight="1">
      <c r="A22" s="3308" t="s">
        <v>3096</v>
      </c>
      <c r="B22" s="3292" t="s">
        <v>3097</v>
      </c>
      <c r="C22" s="3296" t="s">
        <v>3098</v>
      </c>
      <c r="D22" s="3294">
        <f>H4*E22</f>
        <v>33913.302000000003</v>
      </c>
      <c r="E22" s="3295">
        <v>800</v>
      </c>
      <c r="K22" s="3307">
        <v>4019.8080224549999</v>
      </c>
      <c r="L22" s="3307" t="e">
        <f>K22/#REF!*10000</f>
        <v>#REF!</v>
      </c>
    </row>
    <row r="23" spans="1:12" s="3279" customFormat="1" ht="25.9" customHeight="1">
      <c r="A23" s="3308" t="s">
        <v>3099</v>
      </c>
      <c r="B23" s="3292" t="s">
        <v>3100</v>
      </c>
      <c r="C23" s="3296" t="s">
        <v>3101</v>
      </c>
      <c r="D23" s="3294">
        <f>H14*1800</f>
        <v>26706.725324999996</v>
      </c>
      <c r="E23" s="3295">
        <f>D23/H4</f>
        <v>629.99999999999977</v>
      </c>
      <c r="F23" s="3309"/>
      <c r="K23" s="3279">
        <v>1573.0015000000001</v>
      </c>
      <c r="L23" s="3307" t="e">
        <f>K23/#REF!*10000</f>
        <v>#REF!</v>
      </c>
    </row>
    <row r="24" spans="1:12" s="3279" customFormat="1" ht="25.9" customHeight="1">
      <c r="A24" s="3308" t="s">
        <v>3102</v>
      </c>
      <c r="B24" s="3292" t="s">
        <v>3103</v>
      </c>
      <c r="C24" s="3296" t="s">
        <v>3104</v>
      </c>
      <c r="D24" s="3294">
        <f>H4*E24</f>
        <v>2967.4139250000003</v>
      </c>
      <c r="E24" s="3295">
        <v>70</v>
      </c>
      <c r="F24" s="3309"/>
      <c r="L24" s="3307"/>
    </row>
    <row r="25" spans="1:12" s="3303" customFormat="1" ht="25.9" customHeight="1">
      <c r="A25" s="3308" t="s">
        <v>1858</v>
      </c>
      <c r="B25" s="3292" t="s">
        <v>3105</v>
      </c>
      <c r="C25" s="3296" t="s">
        <v>3106</v>
      </c>
      <c r="D25" s="3294">
        <f>H4*E25</f>
        <v>2543.4976500000002</v>
      </c>
      <c r="E25" s="3295">
        <v>60</v>
      </c>
      <c r="F25" s="3310"/>
      <c r="K25" s="3303">
        <v>157.30236427299999</v>
      </c>
      <c r="L25" s="3307" t="e">
        <f>K25/#REF!*10000</f>
        <v>#REF!</v>
      </c>
    </row>
    <row r="26" spans="1:12" s="3303" customFormat="1" ht="25.9" customHeight="1">
      <c r="A26" s="3308" t="s">
        <v>1859</v>
      </c>
      <c r="B26" s="3292" t="s">
        <v>3107</v>
      </c>
      <c r="C26" s="3296" t="s">
        <v>3108</v>
      </c>
      <c r="D26" s="3294">
        <f>H4*E26</f>
        <v>4239.1627500000004</v>
      </c>
      <c r="E26" s="3295">
        <v>100</v>
      </c>
      <c r="F26" s="3310"/>
      <c r="K26" s="3303">
        <v>157.30236427299999</v>
      </c>
      <c r="L26" s="3307" t="e">
        <f>K26/#REF!*10000</f>
        <v>#REF!</v>
      </c>
    </row>
    <row r="27" spans="1:12" s="3307" customFormat="1" ht="25.9" customHeight="1">
      <c r="A27" s="3308" t="s">
        <v>3109</v>
      </c>
      <c r="B27" s="3292" t="s">
        <v>3110</v>
      </c>
      <c r="C27" s="3296" t="s">
        <v>3111</v>
      </c>
      <c r="D27" s="3294">
        <f>H4*E27</f>
        <v>3391.3302000000003</v>
      </c>
      <c r="E27" s="3295">
        <v>80</v>
      </c>
      <c r="K27" s="3307">
        <v>4019.8080224549999</v>
      </c>
      <c r="L27" s="3307" t="e">
        <f>K27/#REF!*10000</f>
        <v>#REF!</v>
      </c>
    </row>
    <row r="28" spans="1:12" s="3307" customFormat="1" ht="25.9" customHeight="1">
      <c r="A28" s="3305">
        <v>2</v>
      </c>
      <c r="B28" s="3306" t="s">
        <v>3112</v>
      </c>
      <c r="C28" s="3296"/>
      <c r="D28" s="3294"/>
      <c r="E28" s="3295"/>
      <c r="K28" s="3307">
        <v>4019.8080224549999</v>
      </c>
      <c r="L28" s="3307" t="e">
        <f>K28/#REF!*10000</f>
        <v>#REF!</v>
      </c>
    </row>
    <row r="29" spans="1:12" s="3279" customFormat="1" ht="25.9" customHeight="1">
      <c r="A29" s="3308" t="s">
        <v>3113</v>
      </c>
      <c r="B29" s="3292" t="s">
        <v>3114</v>
      </c>
      <c r="C29" s="3296" t="s">
        <v>3115</v>
      </c>
      <c r="D29" s="3294">
        <f>H4*E29</f>
        <v>6994.6185375000014</v>
      </c>
      <c r="E29" s="3295">
        <v>165</v>
      </c>
      <c r="F29" s="3309"/>
      <c r="K29" s="3279">
        <v>1573.0015000000001</v>
      </c>
      <c r="L29" s="3307" t="e">
        <f>K29/#REF!*10000</f>
        <v>#REF!</v>
      </c>
    </row>
    <row r="30" spans="1:12" s="3279" customFormat="1" ht="25.9" customHeight="1">
      <c r="A30" s="3308" t="s">
        <v>3090</v>
      </c>
      <c r="B30" s="3292" t="s">
        <v>3116</v>
      </c>
      <c r="C30" s="3296" t="s">
        <v>3117</v>
      </c>
      <c r="D30" s="3294">
        <f>H4*E30</f>
        <v>847.83255000000008</v>
      </c>
      <c r="E30" s="3295">
        <v>20</v>
      </c>
      <c r="F30" s="3309"/>
      <c r="L30" s="3307"/>
    </row>
    <row r="31" spans="1:12" s="3303" customFormat="1" ht="25.9" customHeight="1">
      <c r="A31" s="3308" t="s">
        <v>3093</v>
      </c>
      <c r="B31" s="3292" t="s">
        <v>3118</v>
      </c>
      <c r="C31" s="3296" t="s">
        <v>3119</v>
      </c>
      <c r="D31" s="3294">
        <f>H4*E31</f>
        <v>3815.2464750000004</v>
      </c>
      <c r="E31" s="3295">
        <v>90</v>
      </c>
      <c r="F31" s="3310"/>
      <c r="K31" s="3303">
        <v>157.30236427299999</v>
      </c>
      <c r="L31" s="3307" t="e">
        <f>K31/#REF!*10000</f>
        <v>#REF!</v>
      </c>
    </row>
    <row r="32" spans="1:12" s="3307" customFormat="1" ht="25.9" customHeight="1">
      <c r="A32" s="3308" t="s">
        <v>3096</v>
      </c>
      <c r="B32" s="3292" t="s">
        <v>3120</v>
      </c>
      <c r="C32" s="3296" t="s">
        <v>3121</v>
      </c>
      <c r="D32" s="3294">
        <f>H4*E32</f>
        <v>2331.5395125000005</v>
      </c>
      <c r="E32" s="3295">
        <v>55</v>
      </c>
      <c r="K32" s="3307">
        <v>4019.8080224549999</v>
      </c>
      <c r="L32" s="3307" t="e">
        <f>K32/#REF!*10000</f>
        <v>#REF!</v>
      </c>
    </row>
    <row r="33" spans="1:12" s="3279" customFormat="1" ht="25.9" customHeight="1">
      <c r="A33" s="3308" t="s">
        <v>3099</v>
      </c>
      <c r="B33" s="3292" t="s">
        <v>3122</v>
      </c>
      <c r="C33" s="3296" t="s">
        <v>3123</v>
      </c>
      <c r="D33" s="3294">
        <f>H4*E33</f>
        <v>2119.5813750000002</v>
      </c>
      <c r="E33" s="3295">
        <v>50</v>
      </c>
      <c r="F33" s="3309"/>
      <c r="L33" s="3307"/>
    </row>
    <row r="34" spans="1:12" s="3279" customFormat="1" ht="25.9" customHeight="1">
      <c r="A34" s="3308" t="s">
        <v>3124</v>
      </c>
      <c r="B34" s="3292" t="s">
        <v>3125</v>
      </c>
      <c r="C34" s="3296" t="s">
        <v>3111</v>
      </c>
      <c r="D34" s="3294">
        <f>H4*E34</f>
        <v>3391.3302000000003</v>
      </c>
      <c r="E34" s="3295">
        <v>80</v>
      </c>
      <c r="F34" s="3309"/>
      <c r="L34" s="3307"/>
    </row>
    <row r="35" spans="1:12" s="3279" customFormat="1" ht="25.9" customHeight="1">
      <c r="A35" s="3308" t="s">
        <v>3126</v>
      </c>
      <c r="B35" s="3292" t="s">
        <v>3127</v>
      </c>
      <c r="C35" s="3296" t="s">
        <v>3128</v>
      </c>
      <c r="D35" s="3294">
        <f>SUM(D19:D33)*1%</f>
        <v>1532.457334125</v>
      </c>
      <c r="E35" s="3295">
        <f>D35/H4</f>
        <v>36.149999999999991</v>
      </c>
      <c r="F35" s="3309"/>
      <c r="L35" s="3307"/>
    </row>
    <row r="36" spans="1:12" s="3290" customFormat="1" ht="25.9" customHeight="1">
      <c r="A36" s="3286" t="s">
        <v>3129</v>
      </c>
      <c r="B36" s="3287" t="s">
        <v>3130</v>
      </c>
      <c r="C36" s="3287"/>
      <c r="D36" s="3288">
        <f>SUM(D37:D39)</f>
        <v>33572.175257142851</v>
      </c>
      <c r="E36" s="3298">
        <f>SUM(E37:E39)</f>
        <v>791.9529689475321</v>
      </c>
      <c r="G36" s="3290" t="s">
        <v>3131</v>
      </c>
      <c r="H36" s="3290" t="s">
        <v>3132</v>
      </c>
      <c r="K36" s="3290">
        <v>655.81730624301213</v>
      </c>
      <c r="L36" s="3311" t="e">
        <f>K36/#REF!</f>
        <v>#REF!</v>
      </c>
    </row>
    <row r="37" spans="1:12" s="3279" customFormat="1" ht="25.9" customHeight="1">
      <c r="A37" s="3291">
        <v>1</v>
      </c>
      <c r="B37" s="3292" t="s">
        <v>3133</v>
      </c>
      <c r="C37" s="3296" t="s">
        <v>3134</v>
      </c>
      <c r="D37" s="3312">
        <f>0.02*利润预测!C20</f>
        <v>8236.0876285714294</v>
      </c>
      <c r="E37" s="3295">
        <f>D37/H4</f>
        <v>194.28571428571428</v>
      </c>
      <c r="F37" s="3279" t="s">
        <v>3135</v>
      </c>
      <c r="G37" s="3313">
        <f>D40</f>
        <v>260301.39588876785</v>
      </c>
      <c r="K37" s="3279">
        <v>3296</v>
      </c>
      <c r="L37" s="3314" t="e">
        <f>K37/#REF!</f>
        <v>#REF!</v>
      </c>
    </row>
    <row r="38" spans="1:12" s="3279" customFormat="1" ht="25.9" customHeight="1">
      <c r="A38" s="3291">
        <v>2</v>
      </c>
      <c r="B38" s="3292" t="s">
        <v>3136</v>
      </c>
      <c r="C38" s="3296" t="s">
        <v>3134</v>
      </c>
      <c r="D38" s="3312">
        <f>0.02*利润预测!C20</f>
        <v>8236.0876285714294</v>
      </c>
      <c r="E38" s="3295">
        <f>D38/H4</f>
        <v>194.28571428571428</v>
      </c>
      <c r="F38" s="3279" t="s">
        <v>3137</v>
      </c>
      <c r="G38" s="3315">
        <f>G37*0.3</f>
        <v>78090.418766630348</v>
      </c>
      <c r="H38" s="3316">
        <f>G38/$G$37</f>
        <v>0.3</v>
      </c>
      <c r="K38" s="3279">
        <v>3037</v>
      </c>
      <c r="L38" s="3314" t="e">
        <f>K38/#REF!</f>
        <v>#REF!</v>
      </c>
    </row>
    <row r="39" spans="1:12" s="3279" customFormat="1" ht="25.9" customHeight="1">
      <c r="A39" s="3291">
        <v>3</v>
      </c>
      <c r="B39" s="3292" t="s">
        <v>3138</v>
      </c>
      <c r="C39" s="3296" t="s">
        <v>3139</v>
      </c>
      <c r="D39" s="3312">
        <f>80000*7.125%*3</f>
        <v>17099.999999999996</v>
      </c>
      <c r="E39" s="3295">
        <f>D39/H4</f>
        <v>403.3815403761036</v>
      </c>
      <c r="F39" s="3279" t="s">
        <v>3140</v>
      </c>
      <c r="G39" s="3317">
        <v>56500</v>
      </c>
      <c r="H39" s="3316">
        <f t="shared" ref="H39:H40" si="0">G39/$G$37</f>
        <v>0.21705607765600926</v>
      </c>
      <c r="J39" s="3279">
        <v>29370</v>
      </c>
      <c r="K39" s="3318">
        <v>32354.68</v>
      </c>
      <c r="L39" s="3314" t="e">
        <f>K39/#REF!</f>
        <v>#REF!</v>
      </c>
    </row>
    <row r="40" spans="1:12" s="3290" customFormat="1" ht="25.9" customHeight="1" thickBot="1">
      <c r="A40" s="3319" t="s">
        <v>3141</v>
      </c>
      <c r="B40" s="3320"/>
      <c r="C40" s="3320"/>
      <c r="D40" s="3321">
        <f>D5+D9+D17+D36</f>
        <v>260301.39588876785</v>
      </c>
      <c r="E40" s="3322">
        <f>E36+E17+E9+E5</f>
        <v>6220.3963763544552</v>
      </c>
      <c r="F40" s="3300" t="s">
        <v>3142</v>
      </c>
      <c r="G40" s="3323">
        <f>G37-G38-G39</f>
        <v>125710.9771221375</v>
      </c>
      <c r="H40" s="3316">
        <f t="shared" si="0"/>
        <v>0.48294392234399075</v>
      </c>
      <c r="I40" s="3300">
        <f>K40-D40</f>
        <v>-82632.759334505856</v>
      </c>
      <c r="J40" s="3300">
        <f>K40-D40</f>
        <v>-82632.759334505856</v>
      </c>
      <c r="K40" s="3324">
        <v>177668.63655426199</v>
      </c>
    </row>
    <row r="41" spans="1:12" s="3328" customFormat="1" ht="25.9" customHeight="1" thickTop="1">
      <c r="A41" s="3542"/>
      <c r="B41" s="3542"/>
      <c r="C41" s="3325"/>
      <c r="D41" s="3326"/>
      <c r="E41" s="3327"/>
    </row>
    <row r="42" spans="1:12" ht="21.75" customHeight="1">
      <c r="G42" s="3332"/>
    </row>
    <row r="43" spans="1:12" ht="21.75" customHeight="1">
      <c r="D43" s="3333"/>
      <c r="G43" s="3333"/>
    </row>
    <row r="45" spans="1:12" ht="21.75" customHeight="1">
      <c r="D45" s="3333"/>
      <c r="E45" s="3334"/>
    </row>
    <row r="46" spans="1:12" ht="21.75" customHeight="1">
      <c r="C46" s="3335"/>
      <c r="E46" s="3334"/>
    </row>
    <row r="47" spans="1:12" ht="21.75" customHeight="1">
      <c r="D47" s="3333"/>
    </row>
    <row r="48" spans="1:12" ht="21.75" customHeight="1">
      <c r="D48" s="3333"/>
      <c r="E48" s="3334"/>
      <c r="F48" s="3333"/>
    </row>
  </sheetData>
  <mergeCells count="4">
    <mergeCell ref="A1:E1"/>
    <mergeCell ref="A2:E2"/>
    <mergeCell ref="D3:E3"/>
    <mergeCell ref="A41:B41"/>
  </mergeCells>
  <phoneticPr fontId="228" type="noConversion"/>
  <printOptions horizontalCentered="1"/>
  <pageMargins left="0.39370078740157483" right="0.39370078740157483" top="0.59055118110236227" bottom="0.59055118110236227" header="0.31496062992125984" footer="0.31496062992125984"/>
  <pageSetup paperSize="9" scale="64"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8" sqref="G38"/>
    </sheetView>
  </sheetViews>
  <sheetFormatPr defaultColWidth="9" defaultRowHeight="13.5"/>
  <cols>
    <col min="1" max="1" width="9.5" style="3122"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2"/>
  </cols>
  <sheetData>
    <row r="1" spans="1:18" s="3116" customFormat="1" ht="19.5" thickBot="1">
      <c r="A1" s="3543" t="s">
        <v>1653</v>
      </c>
      <c r="B1" s="3544"/>
      <c r="C1" s="3544"/>
      <c r="D1" s="3544"/>
      <c r="E1" s="3544"/>
      <c r="F1" s="3544"/>
      <c r="G1" s="3544"/>
      <c r="H1" s="3111"/>
      <c r="I1" s="3112"/>
      <c r="J1" s="3113"/>
      <c r="K1" s="3111"/>
      <c r="L1" s="3112"/>
      <c r="M1" s="3113"/>
      <c r="N1" s="3111"/>
      <c r="O1" s="3112"/>
      <c r="P1" s="3113"/>
      <c r="Q1" s="3114"/>
      <c r="R1" s="3115"/>
    </row>
    <row r="2" spans="1:18" ht="14.25" thickBot="1">
      <c r="A2" s="3117"/>
      <c r="B2" s="3118"/>
      <c r="C2" s="3119" t="s">
        <v>1654</v>
      </c>
      <c r="D2" s="3120"/>
      <c r="E2" s="3117"/>
      <c r="F2" s="3121"/>
      <c r="G2" s="3119" t="s">
        <v>1655</v>
      </c>
      <c r="H2" s="3122"/>
      <c r="I2" s="3122"/>
      <c r="J2" s="3122"/>
      <c r="K2" s="3122"/>
      <c r="L2" s="3122"/>
      <c r="M2" s="3122"/>
      <c r="N2" s="3122"/>
      <c r="O2" s="3122"/>
      <c r="P2" s="3122"/>
      <c r="Q2" s="3122"/>
      <c r="R2" s="3122"/>
    </row>
    <row r="3" spans="1:18" ht="28.5">
      <c r="A3" s="3123" t="s">
        <v>1656</v>
      </c>
      <c r="B3" s="3124" t="s">
        <v>1643</v>
      </c>
      <c r="C3" s="3433" t="s">
        <v>3328</v>
      </c>
      <c r="D3" s="3125"/>
      <c r="E3" s="3126" t="s">
        <v>1656</v>
      </c>
      <c r="F3" s="3127" t="s">
        <v>1644</v>
      </c>
      <c r="G3" s="3128" t="s">
        <v>2883</v>
      </c>
      <c r="H3" s="3122"/>
      <c r="I3" s="3122"/>
      <c r="J3" s="3122"/>
      <c r="K3" s="3122"/>
      <c r="L3" s="3122"/>
      <c r="M3" s="3122"/>
      <c r="N3" s="3122"/>
      <c r="O3" s="3122"/>
      <c r="P3" s="3122"/>
      <c r="Q3" s="3122"/>
      <c r="R3" s="3122"/>
    </row>
    <row r="4" spans="1:18" ht="40.5">
      <c r="A4" s="3126"/>
      <c r="B4" s="3129" t="s">
        <v>1657</v>
      </c>
      <c r="C4" s="3130" t="s">
        <v>2884</v>
      </c>
      <c r="D4" s="3125"/>
      <c r="E4" s="3131"/>
      <c r="F4" s="3132" t="s">
        <v>1658</v>
      </c>
      <c r="G4" s="3133" t="s">
        <v>2880</v>
      </c>
      <c r="H4" s="3122"/>
      <c r="I4" s="3122"/>
      <c r="J4" s="3122"/>
      <c r="K4" s="3122"/>
      <c r="L4" s="3122"/>
      <c r="M4" s="3122"/>
      <c r="N4" s="3122"/>
      <c r="O4" s="3122"/>
      <c r="P4" s="3122"/>
      <c r="Q4" s="3122"/>
      <c r="R4" s="3122"/>
    </row>
    <row r="5" spans="1:18" ht="41.25">
      <c r="A5" s="3126"/>
      <c r="B5" s="3129" t="s">
        <v>1659</v>
      </c>
      <c r="C5" s="3130" t="s">
        <v>2885</v>
      </c>
      <c r="D5" s="3125"/>
      <c r="E5" s="3131"/>
      <c r="F5" s="3129" t="s">
        <v>2527</v>
      </c>
      <c r="G5" s="3133" t="s">
        <v>2881</v>
      </c>
      <c r="H5" s="3122"/>
      <c r="I5" s="3122"/>
      <c r="J5" s="3122"/>
      <c r="K5" s="3122"/>
      <c r="L5" s="3122"/>
      <c r="M5" s="3122"/>
      <c r="N5" s="3122"/>
      <c r="O5" s="3122"/>
      <c r="P5" s="3122"/>
      <c r="Q5" s="3122"/>
      <c r="R5" s="3122"/>
    </row>
    <row r="6" spans="1:18">
      <c r="A6" s="3126"/>
      <c r="B6" s="3129" t="s">
        <v>1645</v>
      </c>
      <c r="C6" s="3434" t="s">
        <v>3329</v>
      </c>
      <c r="D6" s="3125"/>
      <c r="E6" s="3131"/>
      <c r="F6" s="3129" t="s">
        <v>2528</v>
      </c>
      <c r="G6" s="3133" t="s">
        <v>2879</v>
      </c>
      <c r="H6" s="3122"/>
      <c r="I6" s="3122"/>
      <c r="J6" s="3122"/>
      <c r="K6" s="3122"/>
      <c r="L6" s="3122"/>
      <c r="M6" s="3122"/>
      <c r="N6" s="3122"/>
      <c r="O6" s="3122"/>
      <c r="P6" s="3122"/>
      <c r="Q6" s="3122"/>
      <c r="R6" s="3122"/>
    </row>
    <row r="7" spans="1:18" ht="27.75" thickBot="1">
      <c r="A7" s="3126"/>
      <c r="B7" s="3129" t="s">
        <v>2527</v>
      </c>
      <c r="C7" s="3434" t="s">
        <v>3329</v>
      </c>
      <c r="D7" s="3134"/>
      <c r="E7" s="3135"/>
      <c r="F7" s="3136" t="s">
        <v>1660</v>
      </c>
      <c r="G7" s="3137" t="s">
        <v>2882</v>
      </c>
      <c r="H7" s="3122"/>
      <c r="I7" s="3122"/>
      <c r="J7" s="3122"/>
      <c r="K7" s="3122"/>
      <c r="L7" s="3122"/>
      <c r="M7" s="3122"/>
      <c r="N7" s="3122"/>
      <c r="O7" s="3122"/>
      <c r="P7" s="3122"/>
      <c r="Q7" s="3122"/>
      <c r="R7" s="3122"/>
    </row>
    <row r="8" spans="1:18">
      <c r="A8" s="3126"/>
      <c r="B8" s="3129" t="s">
        <v>2528</v>
      </c>
      <c r="C8" s="3434" t="s">
        <v>3330</v>
      </c>
      <c r="D8" s="3134"/>
      <c r="E8" s="3134"/>
      <c r="F8" s="3138"/>
      <c r="G8" s="3138"/>
      <c r="H8" s="3122"/>
      <c r="I8" s="3122"/>
      <c r="J8" s="3122"/>
      <c r="K8" s="3122"/>
      <c r="L8" s="3122"/>
      <c r="M8" s="3122"/>
      <c r="N8" s="3122"/>
      <c r="O8" s="3122"/>
      <c r="P8" s="3122"/>
      <c r="Q8" s="3122"/>
      <c r="R8" s="3122"/>
    </row>
    <row r="9" spans="1:18">
      <c r="A9" s="3126"/>
      <c r="B9" s="3129" t="s">
        <v>1646</v>
      </c>
      <c r="C9" s="3435" t="s">
        <v>3329</v>
      </c>
      <c r="D9" s="3125"/>
      <c r="E9" s="3134"/>
      <c r="F9" s="3138"/>
      <c r="G9" s="3138"/>
      <c r="H9" s="3122"/>
      <c r="I9" s="3122"/>
      <c r="J9" s="3122"/>
      <c r="K9" s="3122"/>
      <c r="L9" s="3122"/>
      <c r="M9" s="3122"/>
      <c r="N9" s="3122"/>
      <c r="O9" s="3122"/>
      <c r="P9" s="3122"/>
      <c r="Q9" s="3122"/>
      <c r="R9" s="3122"/>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6" customFormat="1" ht="18.75">
      <c r="A12" s="3146"/>
      <c r="B12" s="3134"/>
      <c r="C12" s="3125"/>
      <c r="D12" s="3148"/>
      <c r="E12" s="3125"/>
      <c r="F12" s="3134"/>
      <c r="G12" s="3147"/>
      <c r="H12" s="3149"/>
      <c r="I12" s="3150"/>
      <c r="J12" s="3149"/>
      <c r="K12" s="3149"/>
      <c r="L12" s="3151"/>
      <c r="M12" s="3149"/>
      <c r="N12" s="3152"/>
      <c r="O12" s="3153"/>
      <c r="P12" s="3154"/>
      <c r="Q12" s="3152"/>
      <c r="R12" s="3115"/>
    </row>
    <row r="13" spans="1:18" ht="19.5" thickBot="1">
      <c r="A13" s="3155" t="s">
        <v>1662</v>
      </c>
      <c r="B13" s="3148"/>
      <c r="C13" s="3148"/>
      <c r="D13" s="3120"/>
      <c r="E13" s="3148"/>
      <c r="F13" s="3148"/>
      <c r="G13" s="3148"/>
    </row>
    <row r="14" spans="1:18" ht="14.25" thickBot="1">
      <c r="A14" s="3160"/>
      <c r="B14" s="3160"/>
      <c r="C14" s="3161" t="s">
        <v>1654</v>
      </c>
      <c r="D14" s="3125"/>
      <c r="E14" s="3162"/>
      <c r="F14" s="3162"/>
      <c r="G14" s="3119" t="s">
        <v>1655</v>
      </c>
    </row>
    <row r="15" spans="1:18" ht="27">
      <c r="A15" s="3163" t="s">
        <v>1647</v>
      </c>
      <c r="B15" s="3164" t="s">
        <v>1643</v>
      </c>
      <c r="C15" s="3165" t="str">
        <f>C3</f>
        <v>一般</v>
      </c>
      <c r="D15" s="3125"/>
      <c r="E15" s="3166" t="s">
        <v>1648</v>
      </c>
      <c r="F15" s="3164" t="s">
        <v>1663</v>
      </c>
      <c r="G15" s="3167" t="str">
        <f>G3</f>
        <v>估价对象位于XX开发区，园区建设成熟度XX，产业集聚程度XX</v>
      </c>
    </row>
    <row r="16" spans="1:18" ht="40.5">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0.5">
      <c r="A17" s="3168"/>
      <c r="B17" s="3169" t="s">
        <v>1659</v>
      </c>
      <c r="C17" s="3170" t="str">
        <f>C5</f>
        <v>估价对象位于XX商圈，周边办公楼项目较多，入驻率高，办公集聚程度较好</v>
      </c>
      <c r="D17" s="3134"/>
      <c r="E17" s="3171"/>
      <c r="F17" s="3172" t="s">
        <v>1664</v>
      </c>
      <c r="G17" s="3174"/>
    </row>
    <row r="18" spans="1:7" ht="27">
      <c r="A18" s="3168"/>
      <c r="B18" s="3172" t="s">
        <v>1645</v>
      </c>
      <c r="C18" s="3173" t="str">
        <f>C6</f>
        <v>一般</v>
      </c>
      <c r="D18" s="3134"/>
      <c r="E18" s="3171"/>
      <c r="F18" s="3172" t="s">
        <v>1660</v>
      </c>
      <c r="G18" s="3173" t="str">
        <f>G7</f>
        <v>该园区内是否有污染型企业，绿化情况，卫生条件，整体环境状况判断</v>
      </c>
    </row>
    <row r="19" spans="1:7" ht="27">
      <c r="A19" s="3168"/>
      <c r="B19" s="3172" t="s">
        <v>1649</v>
      </c>
      <c r="C19" s="3174"/>
      <c r="D19" s="3125"/>
      <c r="E19" s="3171"/>
      <c r="F19" s="3129" t="s">
        <v>2527</v>
      </c>
      <c r="G19" s="3173" t="str">
        <f>G5</f>
        <v>估价对象所在区域公共配套设施齐备情况</v>
      </c>
    </row>
    <row r="20" spans="1:7">
      <c r="A20" s="3168"/>
      <c r="B20" s="3172" t="s">
        <v>1650</v>
      </c>
      <c r="C20" s="3170" t="str">
        <f>C9</f>
        <v>一般</v>
      </c>
      <c r="D20" s="3134"/>
      <c r="E20" s="3171"/>
      <c r="F20" s="3129" t="s">
        <v>2528</v>
      </c>
      <c r="G20" s="3173" t="str">
        <f>G6</f>
        <v>估价对象所在区域基础设施水平</v>
      </c>
    </row>
    <row r="21" spans="1:7" ht="14.25">
      <c r="A21" s="3168"/>
      <c r="B21" s="3129" t="s">
        <v>2527</v>
      </c>
      <c r="C21" s="3173" t="str">
        <f>C7</f>
        <v>一般</v>
      </c>
      <c r="D21" s="3125"/>
      <c r="E21" s="3171"/>
      <c r="F21" s="3172" t="s">
        <v>1651</v>
      </c>
      <c r="G21" s="3175"/>
    </row>
    <row r="22" spans="1:7" ht="14.25">
      <c r="A22" s="3168"/>
      <c r="B22" s="3129" t="s">
        <v>2528</v>
      </c>
      <c r="C22" s="3173" t="str">
        <f>C8</f>
        <v>六通</v>
      </c>
      <c r="D22" s="3125"/>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4" sqref="F34"/>
    </sheetView>
  </sheetViews>
  <sheetFormatPr defaultColWidth="14.625" defaultRowHeight="13.5"/>
  <cols>
    <col min="1" max="1" width="24.375" style="3184" customWidth="1"/>
    <col min="2" max="16384" width="14.625" style="3184"/>
  </cols>
  <sheetData>
    <row r="1" spans="1:10" ht="16.5">
      <c r="A1" s="3183" t="s">
        <v>2823</v>
      </c>
      <c r="B1" s="3183">
        <f>SUM(B14:B23)</f>
        <v>666592.68000000005</v>
      </c>
      <c r="C1" s="3192"/>
      <c r="D1" s="3192"/>
      <c r="E1" s="3192"/>
      <c r="F1" s="3192"/>
      <c r="G1" s="3193"/>
      <c r="H1" s="3193"/>
      <c r="I1" s="3193"/>
      <c r="J1" s="3193"/>
    </row>
    <row r="2" spans="1:10" ht="16.5">
      <c r="A2" s="3183" t="s">
        <v>2824</v>
      </c>
      <c r="B2" s="3183">
        <f>SUM(C14:C23)</f>
        <v>250312.88</v>
      </c>
      <c r="C2" s="3192"/>
      <c r="D2" s="3192"/>
      <c r="E2" s="3192"/>
      <c r="F2" s="3192"/>
      <c r="G2" s="3193"/>
      <c r="H2" s="3193"/>
      <c r="I2" s="3193"/>
      <c r="J2" s="3193"/>
    </row>
    <row r="3" spans="1:10" ht="16.5">
      <c r="A3" s="3183" t="s">
        <v>2825</v>
      </c>
      <c r="B3" s="3185">
        <f>项目基本情况!D3</f>
        <v>44139</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108382</v>
      </c>
      <c r="C5" s="3183">
        <f ca="1">ROUND(B5*10000/$B$1,0)</f>
        <v>1626</v>
      </c>
      <c r="D5" s="3183">
        <f ca="1">ROUND(B5*10000/$B$2,0)</f>
        <v>4330</v>
      </c>
      <c r="E5" s="3192"/>
      <c r="F5" s="3192"/>
      <c r="G5" s="3193"/>
      <c r="H5" s="3193"/>
      <c r="I5" s="3193"/>
      <c r="J5" s="3193"/>
    </row>
    <row r="6" spans="1:10" ht="16.5">
      <c r="A6" s="3183" t="s">
        <v>2831</v>
      </c>
      <c r="B6" s="3183">
        <f ca="1">SUM(G14:G23)</f>
        <v>108382</v>
      </c>
      <c r="C6" s="3183">
        <f t="shared" ref="C6:C8" ca="1" si="0">ROUND(B6*10000/$B$1,0)</f>
        <v>1626</v>
      </c>
      <c r="D6" s="3183">
        <f t="shared" ref="D6:D8" ca="1" si="1">ROUND(B6*10000/$B$2,0)</f>
        <v>4330</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 ca="1">SUM(I14:I23)</f>
        <v>93505</v>
      </c>
      <c r="C8" s="3183">
        <f t="shared" ca="1" si="0"/>
        <v>1403</v>
      </c>
      <c r="D8" s="3183">
        <f t="shared" ca="1" si="1"/>
        <v>3736</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2848</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2847</v>
      </c>
      <c r="B13" s="3187" t="s">
        <v>2823</v>
      </c>
      <c r="C13" s="3187" t="s">
        <v>2824</v>
      </c>
      <c r="D13" s="3187" t="s">
        <v>2836</v>
      </c>
      <c r="E13" s="3183" t="s">
        <v>2846</v>
      </c>
      <c r="F13" s="3183" t="s">
        <v>2829</v>
      </c>
      <c r="G13" s="3187" t="s">
        <v>2837</v>
      </c>
      <c r="H13" s="3187" t="s">
        <v>2838</v>
      </c>
      <c r="I13" s="3187" t="s">
        <v>2839</v>
      </c>
      <c r="J13" s="3193"/>
    </row>
    <row r="14" spans="1:10" ht="16.5">
      <c r="A14" s="3188" t="s">
        <v>3365</v>
      </c>
      <c r="B14" s="3189">
        <f>结果表!L38</f>
        <v>218404.75999999998</v>
      </c>
      <c r="C14" s="3189">
        <f>结果表!K38</f>
        <v>64712.52</v>
      </c>
      <c r="D14" s="3189">
        <f ca="1">结果表!C42</f>
        <v>39712</v>
      </c>
      <c r="E14" s="3189">
        <f ca="1">ROUND(D14*10000/B14,0)</f>
        <v>1818</v>
      </c>
      <c r="F14" s="3189">
        <f ca="1">ROUND(D14*10000/C14,0)</f>
        <v>6137</v>
      </c>
      <c r="G14" s="3189">
        <f ca="1">结果表!C44</f>
        <v>39712</v>
      </c>
      <c r="H14" s="3189" t="str">
        <f>结果表!C45</f>
        <v>——</v>
      </c>
      <c r="I14" s="3189">
        <f ca="1">结果表!C46</f>
        <v>33770</v>
      </c>
      <c r="J14" s="3193"/>
    </row>
    <row r="15" spans="1:10" ht="16.5">
      <c r="A15" s="3188" t="s">
        <v>3318</v>
      </c>
      <c r="B15" s="3190">
        <f>[1]系统读取表!$B$14</f>
        <v>230208.25</v>
      </c>
      <c r="C15" s="3190">
        <f>[1]系统读取表!$C$14</f>
        <v>68209.850000000006</v>
      </c>
      <c r="D15" s="3190">
        <f ca="1">[1]系统读取表!$D$14</f>
        <v>41592</v>
      </c>
      <c r="E15" s="3189">
        <f t="shared" ref="E15:E23" ca="1" si="2">ROUND(D15*10000/B15,0)</f>
        <v>1807</v>
      </c>
      <c r="F15" s="3189">
        <f t="shared" ref="F15:F23" ca="1" si="3">ROUND(D15*10000/C15,0)</f>
        <v>6098</v>
      </c>
      <c r="G15" s="2757">
        <f ca="1">[1]系统读取表!$G$14</f>
        <v>41592</v>
      </c>
      <c r="H15" s="2757"/>
      <c r="I15" s="3190">
        <f ca="1">[1]系统读取表!$I$14</f>
        <v>35437</v>
      </c>
      <c r="J15" s="3193"/>
    </row>
    <row r="16" spans="1:10" ht="16.5">
      <c r="A16" s="3188" t="s">
        <v>3362</v>
      </c>
      <c r="B16" s="3190">
        <f>[2]系统读取表!$B$14</f>
        <v>98860.54</v>
      </c>
      <c r="C16" s="3190">
        <f>[2]系统读取表!$C$14</f>
        <v>36644.14</v>
      </c>
      <c r="D16" s="3190">
        <f ca="1">[2]系统读取表!$D$14</f>
        <v>19246</v>
      </c>
      <c r="E16" s="3189">
        <f t="shared" ca="1" si="2"/>
        <v>1947</v>
      </c>
      <c r="F16" s="3189">
        <f t="shared" ca="1" si="3"/>
        <v>5252</v>
      </c>
      <c r="G16" s="2757">
        <f ca="1">[2]系统读取表!$G$14</f>
        <v>19246</v>
      </c>
      <c r="H16" s="2757"/>
      <c r="I16" s="3190">
        <f ca="1">[2]系统读取表!$I$14</f>
        <v>16999</v>
      </c>
      <c r="J16" s="3193"/>
    </row>
    <row r="17" spans="1:10" ht="16.5">
      <c r="A17" s="3188" t="s">
        <v>3363</v>
      </c>
      <c r="B17" s="3190">
        <f>[3]系统读取表!$B$14</f>
        <v>119119.12999999999</v>
      </c>
      <c r="C17" s="3190">
        <f>[3]系统读取表!$C$14</f>
        <v>80746.37</v>
      </c>
      <c r="D17" s="3190">
        <f ca="1">[3]系统读取表!$D$14</f>
        <v>7832</v>
      </c>
      <c r="E17" s="3189">
        <f t="shared" ca="1" si="2"/>
        <v>657</v>
      </c>
      <c r="F17" s="3189">
        <f t="shared" ca="1" si="3"/>
        <v>970</v>
      </c>
      <c r="G17" s="2757">
        <f ca="1">[3]系统读取表!$G$14</f>
        <v>7832</v>
      </c>
      <c r="H17" s="2757"/>
      <c r="I17" s="3190">
        <f ca="1">[3]系统读取表!$I$14</f>
        <v>7299</v>
      </c>
      <c r="J17" s="3193"/>
    </row>
    <row r="18" spans="1:10" ht="16.5">
      <c r="A18" s="3188" t="s">
        <v>2840</v>
      </c>
      <c r="B18" s="3190"/>
      <c r="C18" s="3190"/>
      <c r="D18" s="3190"/>
      <c r="E18" s="3189" t="e">
        <f t="shared" si="2"/>
        <v>#DIV/0!</v>
      </c>
      <c r="F18" s="3189" t="e">
        <f t="shared" si="3"/>
        <v>#DIV/0!</v>
      </c>
      <c r="G18" s="3190"/>
      <c r="H18" s="3190"/>
      <c r="I18" s="3190"/>
      <c r="J18" s="3193"/>
    </row>
    <row r="19" spans="1:10" ht="16.5">
      <c r="A19" s="3188" t="s">
        <v>2841</v>
      </c>
      <c r="B19" s="3190"/>
      <c r="C19" s="3190"/>
      <c r="D19" s="3190"/>
      <c r="E19" s="3189" t="e">
        <f t="shared" si="2"/>
        <v>#DIV/0!</v>
      </c>
      <c r="F19" s="3189" t="e">
        <f t="shared" si="3"/>
        <v>#DIV/0!</v>
      </c>
      <c r="G19" s="3190"/>
      <c r="H19" s="3190"/>
      <c r="I19" s="3190"/>
      <c r="J19" s="3193"/>
    </row>
    <row r="20" spans="1:10" ht="16.5">
      <c r="A20" s="3188" t="s">
        <v>2842</v>
      </c>
      <c r="B20" s="3190"/>
      <c r="C20" s="3190"/>
      <c r="D20" s="3190"/>
      <c r="E20" s="3189" t="e">
        <f t="shared" si="2"/>
        <v>#DIV/0!</v>
      </c>
      <c r="F20" s="3189" t="e">
        <f t="shared" si="3"/>
        <v>#DIV/0!</v>
      </c>
      <c r="G20" s="3190"/>
      <c r="H20" s="3190"/>
      <c r="I20" s="3190"/>
      <c r="J20" s="3193"/>
    </row>
    <row r="21" spans="1:10" ht="16.5">
      <c r="A21" s="3188" t="s">
        <v>2843</v>
      </c>
      <c r="B21" s="3190"/>
      <c r="C21" s="3190"/>
      <c r="D21" s="3190"/>
      <c r="E21" s="3189" t="e">
        <f t="shared" si="2"/>
        <v>#DIV/0!</v>
      </c>
      <c r="F21" s="3189" t="e">
        <f t="shared" si="3"/>
        <v>#DIV/0!</v>
      </c>
      <c r="G21" s="3190"/>
      <c r="H21" s="3190"/>
      <c r="I21" s="3190"/>
      <c r="J21" s="3193"/>
    </row>
    <row r="22" spans="1:10" ht="16.5">
      <c r="A22" s="3188" t="s">
        <v>2844</v>
      </c>
      <c r="B22" s="3190"/>
      <c r="C22" s="3190"/>
      <c r="D22" s="3190"/>
      <c r="E22" s="3189" t="e">
        <f t="shared" si="2"/>
        <v>#DIV/0!</v>
      </c>
      <c r="F22" s="3189" t="e">
        <f t="shared" si="3"/>
        <v>#DIV/0!</v>
      </c>
      <c r="G22" s="3190"/>
      <c r="H22" s="3190"/>
      <c r="I22" s="3190"/>
      <c r="J22" s="3193"/>
    </row>
    <row r="23" spans="1:10" ht="16.5">
      <c r="A23" s="3188" t="s">
        <v>2845</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90" zoomScaleNormal="100" zoomScaleSheetLayoutView="90" zoomScalePageLayoutView="80" workbookViewId="0">
      <selection activeCell="B29" sqref="B2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t="s">
        <v>3312</v>
      </c>
      <c r="G1" s="309"/>
      <c r="H1" s="309"/>
      <c r="I1" s="309"/>
      <c r="J1" s="1911"/>
      <c r="K1" s="1911"/>
      <c r="L1" s="1911"/>
      <c r="M1" s="1911"/>
      <c r="N1" s="1911"/>
      <c r="O1" s="1911"/>
      <c r="P1" s="1911"/>
      <c r="Q1" s="1911"/>
      <c r="R1" s="1911"/>
      <c r="S1" s="1911"/>
      <c r="T1" s="1911"/>
      <c r="U1" s="1911"/>
      <c r="V1" s="1911"/>
    </row>
    <row r="2" spans="1:22" ht="21.75" customHeight="1" thickBot="1">
      <c r="A2" s="3589" t="str">
        <f>项目基本情况!K2</f>
        <v>98号地出让国有建设用地使用权</v>
      </c>
      <c r="B2" s="3590"/>
      <c r="C2" s="3591"/>
      <c r="D2" s="3591"/>
      <c r="E2" s="3591"/>
      <c r="F2" s="3591"/>
      <c r="G2" s="3590"/>
      <c r="H2" s="3590"/>
      <c r="I2" s="3592"/>
      <c r="J2" s="1912"/>
      <c r="K2" s="1911"/>
      <c r="L2" s="1911"/>
      <c r="M2" s="1911"/>
      <c r="N2" s="1911"/>
      <c r="O2" s="1911"/>
      <c r="P2" s="1911"/>
      <c r="Q2" s="1911"/>
      <c r="R2" s="1911"/>
      <c r="S2" s="1911"/>
      <c r="T2" s="1911"/>
      <c r="U2" s="1911"/>
      <c r="V2" s="1911"/>
    </row>
    <row r="3" spans="1:22" ht="14.25">
      <c r="A3" s="3582" t="s">
        <v>298</v>
      </c>
      <c r="B3" s="3583"/>
      <c r="C3" s="3583"/>
      <c r="D3" s="3583"/>
      <c r="E3" s="3583"/>
      <c r="F3" s="3583"/>
      <c r="G3" s="3583"/>
      <c r="H3" s="3583"/>
      <c r="I3" s="3583"/>
      <c r="J3" s="1912"/>
      <c r="K3" s="1911"/>
      <c r="L3" s="1911"/>
      <c r="M3" s="1911"/>
      <c r="N3" s="1911"/>
      <c r="O3" s="1911"/>
      <c r="P3" s="1911"/>
      <c r="Q3" s="1911"/>
      <c r="R3" s="1911"/>
      <c r="S3" s="1911"/>
      <c r="T3" s="1911"/>
      <c r="U3" s="1911"/>
      <c r="V3" s="1911"/>
    </row>
    <row r="4" spans="1:22" ht="14.25">
      <c r="A4" s="256" t="s">
        <v>299</v>
      </c>
      <c r="B4" s="257" t="s">
        <v>300</v>
      </c>
      <c r="C4" s="258" t="s">
        <v>3313</v>
      </c>
      <c r="D4" s="258" t="s">
        <v>3311</v>
      </c>
      <c r="E4" s="3548" t="s">
        <v>301</v>
      </c>
      <c r="F4" s="3549"/>
      <c r="G4" s="3549"/>
      <c r="H4" s="3549"/>
      <c r="I4" s="3584"/>
      <c r="J4" s="1912"/>
      <c r="K4" s="1911"/>
      <c r="L4" s="3194"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547" t="s">
        <v>302</v>
      </c>
      <c r="B5" s="3576">
        <v>25</v>
      </c>
      <c r="C5" s="3574"/>
      <c r="D5" s="3578"/>
      <c r="E5" s="259" t="s">
        <v>303</v>
      </c>
      <c r="F5" s="260"/>
      <c r="G5" s="260"/>
      <c r="H5" s="260"/>
      <c r="I5" s="261"/>
      <c r="J5" s="1912"/>
      <c r="K5" s="1911"/>
      <c r="L5" s="1911"/>
      <c r="M5" s="1911"/>
      <c r="N5" s="1911"/>
      <c r="O5" s="1911"/>
      <c r="P5" s="1911"/>
      <c r="Q5" s="1911"/>
      <c r="R5" s="1911"/>
      <c r="S5" s="1911"/>
      <c r="T5" s="1911"/>
      <c r="U5" s="1911"/>
      <c r="V5" s="1911"/>
    </row>
    <row r="6" spans="1:22" ht="14.25">
      <c r="A6" s="3547"/>
      <c r="B6" s="3576"/>
      <c r="C6" s="3577"/>
      <c r="D6" s="3578"/>
      <c r="E6" s="259" t="s">
        <v>304</v>
      </c>
      <c r="F6" s="260"/>
      <c r="G6" s="260"/>
      <c r="H6" s="260"/>
      <c r="I6" s="261"/>
      <c r="J6" s="1912"/>
      <c r="K6" s="1911"/>
      <c r="L6" s="1911"/>
      <c r="M6" s="1911"/>
      <c r="N6" s="1911"/>
      <c r="O6" s="1911"/>
      <c r="P6" s="1911"/>
      <c r="Q6" s="1911"/>
      <c r="R6" s="1911"/>
      <c r="S6" s="1911"/>
      <c r="T6" s="1911"/>
      <c r="U6" s="1911"/>
      <c r="V6" s="1911"/>
    </row>
    <row r="7" spans="1:22" ht="14.25">
      <c r="A7" s="3547"/>
      <c r="B7" s="3576"/>
      <c r="C7" s="3575"/>
      <c r="D7" s="3578"/>
      <c r="E7" s="259" t="s">
        <v>305</v>
      </c>
      <c r="F7" s="260"/>
      <c r="G7" s="260"/>
      <c r="H7" s="260"/>
      <c r="I7" s="261"/>
      <c r="J7" s="1912"/>
      <c r="K7" s="1911"/>
      <c r="L7" s="1911"/>
      <c r="M7" s="1911"/>
      <c r="N7" s="1911"/>
      <c r="O7" s="1911"/>
      <c r="P7" s="1911"/>
      <c r="Q7" s="1911"/>
      <c r="R7" s="1911"/>
      <c r="S7" s="1911"/>
      <c r="T7" s="1911"/>
      <c r="U7" s="1911"/>
      <c r="V7" s="1911"/>
    </row>
    <row r="8" spans="1:22" ht="14.25">
      <c r="A8" s="3547" t="s">
        <v>306</v>
      </c>
      <c r="B8" s="3576">
        <v>15</v>
      </c>
      <c r="C8" s="3574"/>
      <c r="D8" s="3578"/>
      <c r="E8" s="259" t="s">
        <v>307</v>
      </c>
      <c r="F8" s="260"/>
      <c r="G8" s="260"/>
      <c r="H8" s="260"/>
      <c r="I8" s="261"/>
      <c r="J8" s="1912"/>
      <c r="K8" s="1911"/>
      <c r="L8" s="1911"/>
      <c r="M8" s="1911"/>
      <c r="N8" s="1911"/>
      <c r="O8" s="1911"/>
      <c r="P8" s="1911"/>
      <c r="Q8" s="1911"/>
      <c r="R8" s="1911"/>
      <c r="S8" s="1911"/>
      <c r="T8" s="1911"/>
      <c r="U8" s="1911"/>
      <c r="V8" s="1911"/>
    </row>
    <row r="9" spans="1:22" ht="14.25">
      <c r="A9" s="3547"/>
      <c r="B9" s="3576"/>
      <c r="C9" s="3575"/>
      <c r="D9" s="3578"/>
      <c r="E9" s="259" t="s">
        <v>308</v>
      </c>
      <c r="F9" s="260"/>
      <c r="G9" s="260"/>
      <c r="H9" s="260"/>
      <c r="I9" s="261"/>
      <c r="J9" s="1912"/>
      <c r="K9" s="1911"/>
      <c r="L9" s="1911"/>
      <c r="M9" s="1911"/>
      <c r="N9" s="1911"/>
      <c r="O9" s="1911"/>
      <c r="P9" s="1911"/>
      <c r="Q9" s="1911"/>
      <c r="R9" s="1911"/>
      <c r="S9" s="1911"/>
      <c r="T9" s="1911"/>
      <c r="U9" s="1911"/>
      <c r="V9" s="1911"/>
    </row>
    <row r="10" spans="1:22" ht="14.25">
      <c r="A10" s="3547" t="s">
        <v>309</v>
      </c>
      <c r="B10" s="3576">
        <v>15</v>
      </c>
      <c r="C10" s="3574"/>
      <c r="D10" s="3578"/>
      <c r="E10" s="259" t="s">
        <v>310</v>
      </c>
      <c r="F10" s="260"/>
      <c r="G10" s="260"/>
      <c r="H10" s="260"/>
      <c r="I10" s="261"/>
      <c r="J10" s="1912"/>
      <c r="K10" s="1911"/>
      <c r="L10" s="1911"/>
      <c r="M10" s="1911"/>
      <c r="N10" s="1911"/>
      <c r="O10" s="1911"/>
      <c r="P10" s="1911"/>
      <c r="Q10" s="1911"/>
      <c r="R10" s="1911"/>
      <c r="S10" s="1911"/>
      <c r="T10" s="1911"/>
      <c r="U10" s="1911"/>
      <c r="V10" s="1911"/>
    </row>
    <row r="11" spans="1:22" ht="14.25">
      <c r="A11" s="3547"/>
      <c r="B11" s="3576"/>
      <c r="C11" s="3575"/>
      <c r="D11" s="3578"/>
      <c r="E11" s="259" t="s">
        <v>311</v>
      </c>
      <c r="F11" s="260"/>
      <c r="G11" s="260"/>
      <c r="H11" s="260"/>
      <c r="I11" s="261"/>
      <c r="J11" s="1912"/>
      <c r="K11" s="1911"/>
      <c r="L11" s="1911"/>
      <c r="M11" s="1911"/>
      <c r="N11" s="1911"/>
      <c r="O11" s="1911"/>
      <c r="P11" s="1911"/>
      <c r="Q11" s="1911"/>
      <c r="R11" s="1911"/>
      <c r="S11" s="1911"/>
      <c r="T11" s="1911"/>
      <c r="U11" s="1911"/>
      <c r="V11" s="1911"/>
    </row>
    <row r="12" spans="1:22" ht="14.25">
      <c r="A12" s="3547" t="s">
        <v>312</v>
      </c>
      <c r="B12" s="3576">
        <v>15</v>
      </c>
      <c r="C12" s="3574"/>
      <c r="D12" s="3578"/>
      <c r="E12" s="259" t="s">
        <v>313</v>
      </c>
      <c r="F12" s="260"/>
      <c r="G12" s="260"/>
      <c r="H12" s="260"/>
      <c r="I12" s="261"/>
      <c r="J12" s="1912"/>
      <c r="K12" s="1911"/>
      <c r="L12" s="1911"/>
      <c r="M12" s="1911"/>
      <c r="N12" s="1911"/>
      <c r="O12" s="1911"/>
      <c r="P12" s="1911"/>
      <c r="Q12" s="1911"/>
      <c r="R12" s="1911"/>
      <c r="S12" s="1911"/>
      <c r="T12" s="1911"/>
      <c r="U12" s="1911"/>
      <c r="V12" s="1911"/>
    </row>
    <row r="13" spans="1:22" ht="14.25">
      <c r="A13" s="3547"/>
      <c r="B13" s="3576"/>
      <c r="C13" s="3575"/>
      <c r="D13" s="3578"/>
      <c r="E13" s="259" t="s">
        <v>314</v>
      </c>
      <c r="F13" s="260"/>
      <c r="G13" s="260"/>
      <c r="H13" s="260"/>
      <c r="I13" s="261"/>
      <c r="J13" s="1912"/>
      <c r="K13" s="1911"/>
      <c r="L13" s="1911"/>
      <c r="M13" s="1911"/>
      <c r="N13" s="1911"/>
      <c r="O13" s="1911"/>
      <c r="P13" s="1911"/>
      <c r="Q13" s="1911"/>
      <c r="R13" s="1911"/>
      <c r="S13" s="1911"/>
      <c r="T13" s="1911"/>
      <c r="U13" s="1911"/>
      <c r="V13" s="1911"/>
    </row>
    <row r="14" spans="1:22" ht="14.25">
      <c r="A14" s="3547" t="s">
        <v>315</v>
      </c>
      <c r="B14" s="3576">
        <v>30</v>
      </c>
      <c r="C14" s="3574">
        <v>4</v>
      </c>
      <c r="D14" s="3578">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547"/>
      <c r="B15" s="3576"/>
      <c r="C15" s="3577"/>
      <c r="D15" s="3578"/>
      <c r="E15" s="259" t="s">
        <v>317</v>
      </c>
      <c r="F15" s="260"/>
      <c r="G15" s="260"/>
      <c r="H15" s="260"/>
      <c r="I15" s="261"/>
      <c r="J15" s="1912"/>
      <c r="K15" s="1911"/>
      <c r="L15" s="1911"/>
      <c r="M15" s="1911"/>
      <c r="N15" s="1911"/>
      <c r="O15" s="1911"/>
      <c r="P15" s="1911"/>
      <c r="Q15" s="1911"/>
      <c r="R15" s="1911"/>
      <c r="S15" s="1911"/>
      <c r="T15" s="1911"/>
      <c r="U15" s="1911"/>
      <c r="V15" s="1911"/>
    </row>
    <row r="16" spans="1:22" ht="14.25">
      <c r="A16" s="3547"/>
      <c r="B16" s="3576"/>
      <c r="C16" s="3575"/>
      <c r="D16" s="3578"/>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579" t="s">
        <v>2956</v>
      </c>
      <c r="F18" s="3580"/>
      <c r="G18" s="3580"/>
      <c r="H18" s="3580"/>
      <c r="I18" s="3580"/>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31661</v>
      </c>
      <c r="D19" s="269">
        <f ca="1">SUMIF(INDIRECT("'"&amp;D4&amp;"'"&amp;"!A:A"),结果表!B19,INDIRECT("'"&amp;D4&amp;"'"&amp;"!B:B"))</f>
        <v>45079</v>
      </c>
      <c r="E19" s="266" t="s">
        <v>323</v>
      </c>
      <c r="F19" s="267" t="s">
        <v>322</v>
      </c>
      <c r="G19" s="270">
        <f ca="1">ROUND(C19*$C$18+D19*$D$18,0)</f>
        <v>39712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1450</v>
      </c>
      <c r="D20" s="275">
        <f ca="1">SUMIF(INDIRECT("'"&amp;D4&amp;"'"&amp;"!A:A"),结果表!B20,INDIRECT("'"&amp;D4&amp;"'"&amp;"!B:B"))</f>
        <v>2064</v>
      </c>
      <c r="E20" s="272"/>
      <c r="F20" s="273" t="s">
        <v>325</v>
      </c>
      <c r="G20" s="276">
        <f ca="1">ROUND(C20*$C$18+D20*$D$18,0)</f>
        <v>1818</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4893</v>
      </c>
      <c r="D21" s="149">
        <f ca="1">SUMIF(INDIRECT("'"&amp;D4&amp;"'"&amp;"!A:A"),结果表!B21,INDIRECT("'"&amp;D4&amp;"'"&amp;"!B:B"))</f>
        <v>6966</v>
      </c>
      <c r="E21" s="272"/>
      <c r="F21" s="278" t="s">
        <v>327</v>
      </c>
      <c r="G21" s="280">
        <f ca="1">ROUND(C21*$C$18+D21*$D$18,0)</f>
        <v>6137</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0.4238021540696757</v>
      </c>
      <c r="E22" s="282"/>
      <c r="F22" s="283"/>
      <c r="G22" s="284">
        <f ca="1">ROUND(G19/('数据-汇总表'!D3/666.67),0)</f>
        <v>409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55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54"/>
      <c r="B25" s="1274" t="s">
        <v>331</v>
      </c>
      <c r="C25" s="288">
        <f>IF(B30=0,0,C30)</f>
        <v>0</v>
      </c>
      <c r="D25" s="289"/>
      <c r="E25" s="309"/>
      <c r="F25" s="309"/>
      <c r="G25" s="309"/>
      <c r="H25" s="309"/>
      <c r="I25" s="309"/>
      <c r="J25" s="1911"/>
      <c r="K25" s="1208" t="str">
        <f ca="1">项目基本情况!B16&amp;"国有建设用地使用权价格："&amp;O38&amp;"万元"</f>
        <v>出让国有建设用地使用权价格：39712万元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大写金额：人民币叁亿玖仟柒佰壹拾贰万元整</v>
      </c>
      <c r="L26" s="1205"/>
      <c r="M26" s="1205"/>
      <c r="N26" s="1205"/>
      <c r="O26" s="1204"/>
      <c r="P26" s="1911"/>
      <c r="Q26" s="1911"/>
      <c r="R26" s="1911"/>
      <c r="S26" s="1911"/>
      <c r="T26" s="1911"/>
      <c r="U26" s="1911"/>
      <c r="V26" s="1911"/>
      <c r="W26" s="290"/>
      <c r="X26" s="290"/>
      <c r="Y26" s="290"/>
      <c r="Z26" s="290"/>
    </row>
    <row r="27" spans="1:26" ht="18">
      <c r="A27" s="291"/>
      <c r="B27" s="292">
        <f ca="1">G19/'数据-汇总表'!F31*10000</f>
        <v>2454.671831664105</v>
      </c>
      <c r="C27" s="292"/>
      <c r="D27" s="293"/>
      <c r="E27" s="309"/>
      <c r="F27" s="309"/>
      <c r="G27" s="309"/>
      <c r="H27" s="309"/>
      <c r="I27" s="309"/>
      <c r="J27" s="1911"/>
      <c r="K27" s="1211" t="str">
        <f ca="1">"单位面积地价："&amp;M38&amp;"元/平方米"</f>
        <v>单位面积地价：6137元/平方米</v>
      </c>
      <c r="L27" s="1205"/>
      <c r="M27" s="1205"/>
      <c r="N27" s="1205"/>
      <c r="O27" s="1204"/>
      <c r="P27" s="1911"/>
      <c r="Q27" s="1911"/>
      <c r="R27" s="1911"/>
      <c r="S27" s="1911"/>
      <c r="T27" s="1911"/>
      <c r="U27" s="1911"/>
      <c r="V27" s="1911"/>
    </row>
    <row r="28" spans="1:26" ht="18.75" customHeight="1">
      <c r="A28" s="291"/>
      <c r="B28" s="292">
        <f ca="1">O79/'数据-汇总表'!F31*10000</f>
        <v>2087.3858721619868</v>
      </c>
      <c r="C28" s="292"/>
      <c r="D28" s="293"/>
      <c r="E28" s="309"/>
      <c r="F28" s="309"/>
      <c r="G28" s="309"/>
      <c r="H28" s="309"/>
      <c r="I28" s="309"/>
      <c r="J28" s="1911"/>
      <c r="K28" s="1211" t="str">
        <f ca="1">"楼面地价："&amp;N38&amp;"元/平方米"</f>
        <v>楼面地价：1818元/平方米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抵押价格：39712万元</v>
      </c>
      <c r="L29" s="1205"/>
      <c r="M29" s="1205"/>
      <c r="N29" s="1205"/>
      <c r="O29" s="1204"/>
      <c r="P29" s="1911"/>
      <c r="V29" s="1911"/>
    </row>
    <row r="30" spans="1:26" ht="18.75" thickBot="1">
      <c r="A30" s="2799" t="s">
        <v>336</v>
      </c>
      <c r="B30" s="307"/>
      <c r="C30" s="307"/>
      <c r="D30" s="308"/>
      <c r="E30" s="3002" t="s">
        <v>2957</v>
      </c>
      <c r="F30" s="309"/>
      <c r="G30" s="309"/>
      <c r="H30" s="309"/>
      <c r="I30" s="309"/>
      <c r="J30" s="1911"/>
      <c r="K30" s="1211" t="str">
        <f ca="1">IF(K29="——","——","大写金额：人民币"&amp;NUMBERSTRING(INT(O39*10000),2)&amp;"元整")</f>
        <v>大写金额：人民币叁亿玖仟柒佰壹拾贰万元整</v>
      </c>
      <c r="L30" s="1205"/>
      <c r="M30" s="1205"/>
      <c r="N30" s="1205"/>
      <c r="O30" s="1204"/>
      <c r="P30" s="1911"/>
      <c r="V30" s="1911"/>
    </row>
    <row r="31" spans="1:26" ht="24" customHeight="1" thickBot="1">
      <c r="A31" s="3581" t="s">
        <v>2958</v>
      </c>
      <c r="B31" s="3581"/>
      <c r="C31" s="3581"/>
      <c r="D31" s="3581"/>
      <c r="E31" s="3581"/>
      <c r="F31" s="3581"/>
      <c r="G31" s="3581"/>
      <c r="H31" s="3581"/>
      <c r="I31" s="3581"/>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3" t="s">
        <v>1678</v>
      </c>
      <c r="C32" s="264">
        <f ca="1">G19-C24</f>
        <v>39712</v>
      </c>
      <c r="D32" s="3004"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1818</v>
      </c>
      <c r="D33" s="1333" t="s">
        <v>1681</v>
      </c>
      <c r="E33" s="3553" t="s">
        <v>338</v>
      </c>
      <c r="F33" s="294" t="s">
        <v>339</v>
      </c>
      <c r="G33" s="295"/>
      <c r="H33" s="967"/>
      <c r="I33" s="1212"/>
      <c r="J33" s="1911"/>
      <c r="K33" s="1211" t="str">
        <f ca="1">IF(项目基本情况!E9="——","——","抵押净值："&amp;C46&amp;"万元")</f>
        <v>抵押净值：33770万元</v>
      </c>
      <c r="L33" s="1205"/>
      <c r="M33" s="1205"/>
      <c r="N33" s="1205"/>
      <c r="O33" s="1204"/>
      <c r="P33" s="1911"/>
      <c r="V33" s="1911"/>
    </row>
    <row r="34" spans="1:26" s="1207" customFormat="1" ht="18.75" thickBot="1">
      <c r="A34" s="298"/>
      <c r="B34" s="1334" t="s">
        <v>1682</v>
      </c>
      <c r="C34" s="262">
        <f ca="1">ROUND(C32*10000/'数据-汇总表'!D3,0)</f>
        <v>6137</v>
      </c>
      <c r="D34" s="1335" t="s">
        <v>1681</v>
      </c>
      <c r="E34" s="3597"/>
      <c r="F34" s="127" t="s">
        <v>341</v>
      </c>
      <c r="G34" s="297"/>
      <c r="H34" s="105"/>
      <c r="I34" s="309"/>
      <c r="J34" s="1911"/>
      <c r="K34" s="1214" t="str">
        <f ca="1">IF(K33="——","——","大写金额：人民币"&amp;NUMBERSTRING(INT(O41*10000),2)&amp;"元整")</f>
        <v>大写金额：人民币叁亿叁仟柒佰柒拾万元整</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409</v>
      </c>
      <c r="D35" s="1338" t="s">
        <v>1683</v>
      </c>
      <c r="E35" s="3598"/>
      <c r="F35" s="299" t="s">
        <v>342</v>
      </c>
      <c r="G35" s="969"/>
      <c r="H35" s="968" t="s">
        <v>343</v>
      </c>
      <c r="I35" s="309"/>
      <c r="J35" s="1911"/>
      <c r="K35" s="3571" t="s">
        <v>350</v>
      </c>
      <c r="L35" s="3571" t="s">
        <v>351</v>
      </c>
      <c r="M35" s="1217" t="s">
        <v>352</v>
      </c>
      <c r="N35" s="3571" t="s">
        <v>353</v>
      </c>
      <c r="O35" s="3571" t="s">
        <v>354</v>
      </c>
      <c r="P35" s="1911"/>
      <c r="V35" s="1911"/>
    </row>
    <row r="36" spans="1:26" ht="16.5" customHeight="1">
      <c r="A36" s="301" t="s">
        <v>344</v>
      </c>
      <c r="B36" s="302" t="s">
        <v>333</v>
      </c>
      <c r="C36" s="303" t="s">
        <v>345</v>
      </c>
      <c r="D36" s="303" t="s">
        <v>346</v>
      </c>
      <c r="E36" s="304" t="s">
        <v>347</v>
      </c>
      <c r="F36" s="309"/>
      <c r="G36" s="309"/>
      <c r="H36" s="309"/>
      <c r="I36" s="309"/>
      <c r="J36" s="1913"/>
      <c r="K36" s="3572"/>
      <c r="L36" s="3572"/>
      <c r="M36" s="1219" t="s">
        <v>355</v>
      </c>
      <c r="N36" s="3572"/>
      <c r="O36" s="3572"/>
      <c r="P36" s="1911"/>
      <c r="V36" s="1911"/>
    </row>
    <row r="37" spans="1:26" ht="16.5" customHeight="1" thickBot="1">
      <c r="A37" s="1213" t="s">
        <v>348</v>
      </c>
      <c r="B37" s="305"/>
      <c r="C37" s="292"/>
      <c r="D37" s="292"/>
      <c r="E37" s="293"/>
      <c r="F37" s="309"/>
      <c r="G37" s="309"/>
      <c r="H37" s="309"/>
      <c r="I37" s="309"/>
      <c r="J37" s="1913"/>
      <c r="K37" s="3573"/>
      <c r="L37" s="3573"/>
      <c r="M37" s="1220"/>
      <c r="N37" s="3573"/>
      <c r="O37" s="3573"/>
      <c r="P37" s="1911"/>
      <c r="V37" s="1911"/>
    </row>
    <row r="38" spans="1:26" ht="16.5" customHeight="1" thickBot="1">
      <c r="A38" s="1213" t="s">
        <v>349</v>
      </c>
      <c r="B38" s="305"/>
      <c r="C38" s="292"/>
      <c r="D38" s="292"/>
      <c r="E38" s="293"/>
      <c r="F38" s="309"/>
      <c r="G38" s="309"/>
      <c r="H38" s="309"/>
      <c r="I38" s="309"/>
      <c r="J38" s="1913"/>
      <c r="K38" s="1221">
        <f>'数据-汇总表'!D3</f>
        <v>64712.52</v>
      </c>
      <c r="L38" s="1222">
        <f>'数据-汇总表'!E3</f>
        <v>218404.75999999998</v>
      </c>
      <c r="M38" s="1222">
        <f ca="1">C34</f>
        <v>6137</v>
      </c>
      <c r="N38" s="1222">
        <f ca="1">C33</f>
        <v>1818</v>
      </c>
      <c r="O38" s="1223">
        <f ca="1">C32</f>
        <v>39712</v>
      </c>
      <c r="P38" s="1911"/>
      <c r="V38" s="1911"/>
    </row>
    <row r="39" spans="1:26" ht="16.5" customHeight="1" thickBot="1">
      <c r="A39" s="1218"/>
      <c r="B39" s="306"/>
      <c r="C39" s="307"/>
      <c r="D39" s="307"/>
      <c r="E39" s="308"/>
      <c r="F39" s="309"/>
      <c r="G39" s="309"/>
      <c r="H39" s="309"/>
      <c r="I39" s="309"/>
      <c r="J39" s="1913"/>
      <c r="K39" s="3611" t="str">
        <f>MID(A44,3,LEN(A44)-2)</f>
        <v>抵押价格</v>
      </c>
      <c r="L39" s="3612"/>
      <c r="M39" s="3612"/>
      <c r="N39" s="3613"/>
      <c r="O39" s="1340">
        <f ca="1">C44</f>
        <v>39712</v>
      </c>
      <c r="P39" s="1911"/>
      <c r="V39" s="1911"/>
    </row>
    <row r="40" spans="1:26" ht="19.5" thickBot="1">
      <c r="A40" s="104" t="s">
        <v>863</v>
      </c>
      <c r="B40" s="309"/>
      <c r="C40" s="309"/>
      <c r="D40" s="309"/>
      <c r="E40" s="309"/>
      <c r="F40" s="309"/>
      <c r="G40" s="309"/>
      <c r="H40" s="309"/>
      <c r="I40" s="309"/>
      <c r="J40" s="1913"/>
      <c r="K40" s="3611" t="str">
        <f t="shared" ref="K40:K41" si="0">MID(A45,3,LEN(A45)-2)</f>
        <v/>
      </c>
      <c r="L40" s="3612"/>
      <c r="M40" s="3612"/>
      <c r="N40" s="3613"/>
      <c r="O40" s="1340" t="str">
        <f>C45</f>
        <v>——</v>
      </c>
      <c r="P40" s="1911"/>
      <c r="V40" s="1911"/>
    </row>
    <row r="41" spans="1:26" ht="16.5" thickBot="1">
      <c r="A41" s="310" t="s">
        <v>356</v>
      </c>
      <c r="B41" s="311"/>
      <c r="C41" s="312" t="s">
        <v>357</v>
      </c>
      <c r="D41" s="313" t="s">
        <v>358</v>
      </c>
      <c r="E41" s="313" t="s">
        <v>359</v>
      </c>
      <c r="F41" s="314" t="s">
        <v>360</v>
      </c>
      <c r="G41" s="309"/>
      <c r="H41" s="309"/>
      <c r="I41" s="309"/>
      <c r="J41" s="1913"/>
      <c r="K41" s="3611" t="str">
        <f t="shared" si="0"/>
        <v>抵押净值</v>
      </c>
      <c r="L41" s="3612"/>
      <c r="M41" s="3612"/>
      <c r="N41" s="3613"/>
      <c r="O41" s="1340">
        <f ca="1">C46</f>
        <v>33770</v>
      </c>
      <c r="P41" s="1911"/>
      <c r="V41" s="1911"/>
    </row>
    <row r="42" spans="1:26" ht="29.25">
      <c r="A42" s="3555" t="s">
        <v>2055</v>
      </c>
      <c r="B42" s="3556"/>
      <c r="C42" s="262">
        <f ca="1">C32</f>
        <v>39712</v>
      </c>
      <c r="D42" s="315">
        <f ca="1">C33</f>
        <v>1818</v>
      </c>
      <c r="E42" s="315">
        <f ca="1">C34</f>
        <v>6137</v>
      </c>
      <c r="F42" s="316">
        <f ca="1">C35</f>
        <v>409</v>
      </c>
      <c r="G42" s="309"/>
      <c r="H42" s="309"/>
      <c r="I42" s="317"/>
      <c r="J42" s="1913"/>
      <c r="K42" s="1224" t="s">
        <v>361</v>
      </c>
      <c r="L42" s="1930" t="s">
        <v>362</v>
      </c>
      <c r="M42" s="1225" t="s">
        <v>363</v>
      </c>
      <c r="N42" s="1931" t="s">
        <v>364</v>
      </c>
      <c r="O42" s="1932" t="s">
        <v>365</v>
      </c>
      <c r="P42" s="1911"/>
      <c r="V42" s="1911"/>
    </row>
    <row r="43" spans="1:26" ht="30">
      <c r="A43" s="3566" t="s">
        <v>2710</v>
      </c>
      <c r="B43" s="3567"/>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31661</v>
      </c>
      <c r="M43" s="1228">
        <f>C18</f>
        <v>0.4</v>
      </c>
      <c r="N43" s="1229">
        <f ca="1">IF(N42="测算结果/万元",G19,G20)</f>
        <v>39712</v>
      </c>
      <c r="O43" s="1230">
        <f ca="1">IF(O42="最终结果/万元",C32,C33)</f>
        <v>39712</v>
      </c>
      <c r="P43" s="1911"/>
      <c r="V43" s="1911"/>
    </row>
    <row r="44" spans="1:26" ht="30.75" thickBot="1">
      <c r="A44" s="3555" t="str">
        <f>IF(OR(项目基本情况!E8="抵押价格",项目基本情况!E8="已注销及未注销"),"3.抵押价格","——")</f>
        <v>3.抵押价格</v>
      </c>
      <c r="B44" s="3556"/>
      <c r="C44" s="262">
        <f ca="1">IF(A44="——","——",C42-C43)</f>
        <v>39712</v>
      </c>
      <c r="D44" s="315">
        <f ca="1">ROUND(C44*10000/'数据-汇总表'!E3,0)</f>
        <v>1818</v>
      </c>
      <c r="E44" s="315">
        <f ca="1">ROUND(C44*10000/'数据-汇总表'!D3,0)</f>
        <v>6137</v>
      </c>
      <c r="F44" s="316">
        <f ca="1">ROUND(C44/('数据-汇总表'!D3/666.67),0)</f>
        <v>409</v>
      </c>
      <c r="G44" s="309"/>
      <c r="H44" s="309"/>
      <c r="I44" s="317"/>
      <c r="J44" s="1913"/>
      <c r="K44" s="1231" t="str">
        <f>D4</f>
        <v>剩余法-待开发</v>
      </c>
      <c r="L44" s="1232">
        <f ca="1">IF(L42="估价结果/万元",D19,D20)</f>
        <v>45079</v>
      </c>
      <c r="M44" s="1233">
        <f>D18</f>
        <v>0.6</v>
      </c>
      <c r="N44" s="1234"/>
      <c r="O44" s="1235"/>
      <c r="P44" s="1911"/>
      <c r="V44" s="1911"/>
    </row>
    <row r="45" spans="1:26" ht="15">
      <c r="A45" s="3561" t="str">
        <f>IF(项目基本情况!E8="已注销及未注销","4.抵押担保权已注销时的抵押价格",IF(项目基本情况!E8="已注销","3.抵押担保权已注销时的抵押价格","——"))</f>
        <v>——</v>
      </c>
      <c r="B45" s="356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57" t="str">
        <f>IF(项目基本情况!E9="抵押净值",IF(A45="——","4.抵押净值","5.抵押净值"),"——")</f>
        <v>4.抵押净值</v>
      </c>
      <c r="B46" s="3558"/>
      <c r="C46" s="318">
        <f ca="1">IF(A46="——","——",O79)</f>
        <v>33770</v>
      </c>
      <c r="D46" s="315">
        <f ca="1">ROUND(C46*10000/'数据-汇总表'!E3,0)</f>
        <v>1546</v>
      </c>
      <c r="E46" s="315">
        <f ca="1">ROUND(C46*10000/'数据-汇总表'!D3,0)</f>
        <v>5218</v>
      </c>
      <c r="F46" s="316">
        <f ca="1">ROUND(C46/('数据-汇总表'!D3/666.67),0)</f>
        <v>348</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605" t="s">
        <v>374</v>
      </c>
      <c r="B63" s="3606"/>
      <c r="C63" s="3607"/>
      <c r="D63" s="339">
        <f ca="1">ROUND(C42*F63,0)</f>
        <v>39712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63" t="s">
        <v>378</v>
      </c>
      <c r="B64" s="3564"/>
      <c r="C64" s="3564"/>
      <c r="D64" s="3564"/>
      <c r="E64" s="3564"/>
      <c r="F64" s="3564"/>
      <c r="G64" s="3565"/>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59" t="s">
        <v>386</v>
      </c>
      <c r="B66" s="3560"/>
      <c r="C66" s="3560"/>
      <c r="D66" s="259">
        <f ca="1">IF(H66="情况1",0,IF(H66="情况2",D70,IF(H66="情况3",D71,IF(H66="情况4",D72))))</f>
        <v>2080</v>
      </c>
      <c r="E66" s="980" t="str">
        <f>IF(H66="情况4","(销售额-原购置价)×税（费）率","销售额×税（费）率")</f>
        <v>销售额×税（费）率</v>
      </c>
      <c r="F66" s="348">
        <f>IF(H66="情况1","免征",'数据-取费表'!B41)</f>
        <v>5.5000000000000007E-2</v>
      </c>
      <c r="G66" s="349" t="s">
        <v>387</v>
      </c>
      <c r="H66" s="189" t="s">
        <v>3319</v>
      </c>
      <c r="I66" s="1241"/>
      <c r="J66" s="1917"/>
      <c r="K66" s="1244">
        <v>1</v>
      </c>
      <c r="L66" s="3620" t="s">
        <v>385</v>
      </c>
      <c r="M66" s="3621"/>
      <c r="N66" s="2312"/>
      <c r="O66" s="2313"/>
      <c r="P66" s="2314"/>
      <c r="Q66" s="1911"/>
      <c r="R66" s="1911"/>
      <c r="S66" s="1911"/>
      <c r="T66" s="1911"/>
      <c r="U66" s="1911"/>
      <c r="V66" s="1911"/>
    </row>
    <row r="67" spans="1:22" ht="25.5" customHeight="1">
      <c r="A67" s="350" t="s">
        <v>389</v>
      </c>
      <c r="B67" s="3550" t="s">
        <v>390</v>
      </c>
      <c r="C67" s="3550"/>
      <c r="D67" s="351">
        <v>0</v>
      </c>
      <c r="E67" s="41" t="s">
        <v>391</v>
      </c>
      <c r="F67" s="62" t="s">
        <v>21</v>
      </c>
      <c r="G67" s="3608"/>
      <c r="H67" s="3005" t="s">
        <v>2959</v>
      </c>
      <c r="I67" s="3007"/>
      <c r="J67" s="1918"/>
      <c r="K67" s="1890">
        <v>2</v>
      </c>
      <c r="L67" s="3614" t="s">
        <v>388</v>
      </c>
      <c r="M67" s="3614"/>
      <c r="N67" s="1278">
        <f>'数据-取费表'!B2</f>
        <v>44139</v>
      </c>
      <c r="O67" s="1278"/>
      <c r="P67" s="1278"/>
      <c r="Q67" s="1911"/>
      <c r="R67" s="1911"/>
      <c r="S67" s="1911"/>
      <c r="T67" s="1911"/>
      <c r="U67" s="1911"/>
      <c r="V67" s="1911"/>
    </row>
    <row r="68" spans="1:22" ht="25.5" customHeight="1">
      <c r="A68" s="352"/>
      <c r="B68" s="3550" t="s">
        <v>393</v>
      </c>
      <c r="C68" s="3550"/>
      <c r="D68" s="353"/>
      <c r="E68" s="77"/>
      <c r="F68" s="354"/>
      <c r="G68" s="3609"/>
      <c r="H68" s="3006" t="s">
        <v>2960</v>
      </c>
      <c r="I68" s="3007"/>
      <c r="J68" s="1918"/>
      <c r="K68" s="1890">
        <v>3</v>
      </c>
      <c r="L68" s="3614" t="s">
        <v>392</v>
      </c>
      <c r="M68" s="3614"/>
      <c r="N68" s="1246">
        <f ca="1">C42</f>
        <v>39712</v>
      </c>
      <c r="O68" s="1246"/>
      <c r="P68" s="1246"/>
      <c r="Q68" s="1911"/>
      <c r="R68" s="1911"/>
      <c r="S68" s="1911"/>
      <c r="T68" s="1911"/>
      <c r="U68" s="1911"/>
      <c r="V68" s="1911"/>
    </row>
    <row r="69" spans="1:22" ht="23.45" customHeight="1">
      <c r="A69" s="355"/>
      <c r="B69" s="3550" t="s">
        <v>394</v>
      </c>
      <c r="C69" s="3550"/>
      <c r="D69" s="356"/>
      <c r="E69" s="73"/>
      <c r="F69" s="354"/>
      <c r="G69" s="3610"/>
      <c r="H69" s="3006" t="s">
        <v>2961</v>
      </c>
      <c r="I69" s="3007"/>
      <c r="J69" s="1918"/>
      <c r="K69" s="1247">
        <v>4</v>
      </c>
      <c r="L69" s="3624" t="s">
        <v>2858</v>
      </c>
      <c r="M69" s="3625"/>
      <c r="N69" s="1248">
        <f ca="1">C44</f>
        <v>39712</v>
      </c>
      <c r="O69" s="1248"/>
      <c r="P69" s="1248"/>
      <c r="Q69" s="1911"/>
      <c r="R69" s="1911"/>
      <c r="S69" s="1911"/>
      <c r="T69" s="1911"/>
      <c r="U69" s="1911"/>
      <c r="V69" s="1911"/>
    </row>
    <row r="70" spans="1:22" ht="24" customHeight="1">
      <c r="A70" s="357" t="s">
        <v>395</v>
      </c>
      <c r="B70" s="3550" t="s">
        <v>396</v>
      </c>
      <c r="C70" s="3550"/>
      <c r="D70" s="356">
        <f ca="1">ROUND(D63*'数据-取费表'!B41/(1+'数据-取费表'!C42),0)</f>
        <v>2080</v>
      </c>
      <c r="E70" s="17" t="s">
        <v>397</v>
      </c>
      <c r="F70" s="358">
        <f>'数据-取费表'!B41</f>
        <v>5.5000000000000007E-2</v>
      </c>
      <c r="G70" s="359"/>
      <c r="H70" s="309"/>
      <c r="I70" s="1245"/>
      <c r="J70" s="1918"/>
      <c r="K70" s="2765"/>
      <c r="L70" s="2766"/>
      <c r="M70" s="2766"/>
      <c r="N70" s="2767" t="s">
        <v>2862</v>
      </c>
      <c r="O70" s="2766"/>
      <c r="P70" s="2768"/>
      <c r="Q70" s="1911"/>
      <c r="R70" s="1911"/>
      <c r="S70" s="1911"/>
      <c r="T70" s="1911"/>
      <c r="U70" s="1911"/>
      <c r="V70" s="1911"/>
    </row>
    <row r="71" spans="1:22" ht="12" customHeight="1">
      <c r="A71" s="357" t="s">
        <v>403</v>
      </c>
      <c r="B71" s="3551" t="s">
        <v>2991</v>
      </c>
      <c r="C71" s="3552"/>
      <c r="D71" s="356">
        <f ca="1">ROUND(D63*'数据-取费表'!B41/(1+'数据-取费表'!C42),0)</f>
        <v>2080</v>
      </c>
      <c r="E71" s="17" t="s">
        <v>397</v>
      </c>
      <c r="F71" s="358">
        <f>'数据-取费表'!B41</f>
        <v>5.5000000000000007E-2</v>
      </c>
      <c r="G71" s="359"/>
      <c r="H71" s="309"/>
      <c r="I71" s="1245"/>
      <c r="J71" s="1918"/>
      <c r="K71" s="2764" t="s">
        <v>398</v>
      </c>
      <c r="L71" s="3626" t="s">
        <v>399</v>
      </c>
      <c r="M71" s="3626"/>
      <c r="N71" s="2764" t="s">
        <v>400</v>
      </c>
      <c r="O71" s="2764" t="s">
        <v>401</v>
      </c>
      <c r="P71" s="2764" t="s">
        <v>402</v>
      </c>
      <c r="Q71" s="1911"/>
      <c r="R71" s="1911"/>
      <c r="S71" s="1911"/>
      <c r="T71" s="1911"/>
      <c r="U71" s="1911"/>
      <c r="V71" s="1911"/>
    </row>
    <row r="72" spans="1:22" ht="12" customHeight="1">
      <c r="A72" s="357" t="s">
        <v>405</v>
      </c>
      <c r="B72" s="3551" t="s">
        <v>2992</v>
      </c>
      <c r="C72" s="3552"/>
      <c r="D72" s="356">
        <f ca="1">C86</f>
        <v>2080</v>
      </c>
      <c r="E72" s="73" t="s">
        <v>406</v>
      </c>
      <c r="F72" s="358">
        <f>'数据-取费表'!B41</f>
        <v>5.5000000000000007E-2</v>
      </c>
      <c r="G72" s="359"/>
      <c r="H72" s="1251"/>
      <c r="I72" s="1245"/>
      <c r="J72" s="1918"/>
      <c r="K72" s="1890">
        <v>1</v>
      </c>
      <c r="L72" s="3601" t="s">
        <v>404</v>
      </c>
      <c r="M72" s="3601"/>
      <c r="N72" s="1249">
        <f ca="1">D66</f>
        <v>2080</v>
      </c>
      <c r="O72" s="1773" t="str">
        <f>E66</f>
        <v>销售额×税（费）率</v>
      </c>
      <c r="P72" s="1250">
        <f>F66</f>
        <v>5.5000000000000007E-2</v>
      </c>
      <c r="Q72" s="1911"/>
      <c r="R72" s="1911"/>
      <c r="S72" s="1911"/>
      <c r="T72" s="1911"/>
      <c r="U72" s="1911"/>
      <c r="V72" s="1911"/>
    </row>
    <row r="73" spans="1:22" ht="24" customHeight="1">
      <c r="A73" s="3596" t="s">
        <v>408</v>
      </c>
      <c r="B73" s="3560"/>
      <c r="C73" s="3560"/>
      <c r="D73" s="360">
        <f ca="1">IF(H73="个人住宅",0,ROUND(D63*I73,0))</f>
        <v>20</v>
      </c>
      <c r="E73" s="17" t="s">
        <v>409</v>
      </c>
      <c r="F73" s="358">
        <f>IF(H73="正常",I73,"免征")</f>
        <v>5.0000000000000001E-4</v>
      </c>
      <c r="G73" s="359"/>
      <c r="H73" s="189" t="s">
        <v>3021</v>
      </c>
      <c r="I73" s="358">
        <f>'数据-取费表'!B49</f>
        <v>5.0000000000000001E-4</v>
      </c>
      <c r="J73" s="1918"/>
      <c r="K73" s="1890">
        <v>2</v>
      </c>
      <c r="L73" s="3601" t="s">
        <v>407</v>
      </c>
      <c r="M73" s="3601"/>
      <c r="N73" s="1249">
        <f t="shared" ref="N73:P74" ca="1" si="1">D73</f>
        <v>20</v>
      </c>
      <c r="O73" s="1773" t="str">
        <f t="shared" si="1"/>
        <v>销售额×税（费）率</v>
      </c>
      <c r="P73" s="1250">
        <f t="shared" si="1"/>
        <v>5.0000000000000001E-4</v>
      </c>
      <c r="Q73" s="1911"/>
      <c r="R73" s="1911"/>
      <c r="S73" s="1911"/>
      <c r="T73" s="1911"/>
      <c r="U73" s="1911"/>
      <c r="V73" s="1911"/>
    </row>
    <row r="74" spans="1:22" ht="24.75">
      <c r="A74" s="3596" t="s">
        <v>411</v>
      </c>
      <c r="B74" s="3560"/>
      <c r="C74" s="3560"/>
      <c r="D74" s="360">
        <f ca="1">IF(H74="个人住宅",D75,D76)</f>
        <v>3842</v>
      </c>
      <c r="E74" s="17" t="s">
        <v>412</v>
      </c>
      <c r="F74" s="358" t="str">
        <f>IF(H74="正常",F76,"免征")</f>
        <v>——</v>
      </c>
      <c r="G74" s="970" t="s">
        <v>413</v>
      </c>
      <c r="H74" s="361" t="s">
        <v>3021</v>
      </c>
      <c r="I74" s="42"/>
      <c r="J74" s="1918"/>
      <c r="K74" s="1890">
        <v>3</v>
      </c>
      <c r="L74" s="3601" t="s">
        <v>410</v>
      </c>
      <c r="M74" s="3601"/>
      <c r="N74" s="1249">
        <f t="shared" ca="1" si="1"/>
        <v>3842</v>
      </c>
      <c r="O74" s="1773" t="str">
        <f t="shared" si="1"/>
        <v>增值额×税（费）率</v>
      </c>
      <c r="P74" s="1252" t="str">
        <f t="shared" si="1"/>
        <v>——</v>
      </c>
      <c r="Q74" s="1911"/>
      <c r="R74" s="1911"/>
      <c r="S74" s="1911"/>
      <c r="T74" s="1911"/>
      <c r="U74" s="1911"/>
      <c r="V74" s="1911"/>
    </row>
    <row r="75" spans="1:22" ht="12.75">
      <c r="A75" s="357" t="s">
        <v>414</v>
      </c>
      <c r="B75" s="3548" t="s">
        <v>415</v>
      </c>
      <c r="C75" s="3584"/>
      <c r="D75" s="362">
        <v>0</v>
      </c>
      <c r="E75" s="41" t="s">
        <v>416</v>
      </c>
      <c r="F75" s="363"/>
      <c r="G75" s="359"/>
      <c r="H75" s="42"/>
      <c r="I75" s="42"/>
      <c r="J75" s="1918"/>
      <c r="K75" s="2758">
        <f>IF(H77="非个人房产","",4)</f>
        <v>4</v>
      </c>
      <c r="L75" s="3601" t="str">
        <f>IF(H77="非个人房产","——","个人所得税")</f>
        <v>个人所得税</v>
      </c>
      <c r="M75" s="3601"/>
      <c r="N75" s="1253">
        <f>D77</f>
        <v>0</v>
      </c>
      <c r="O75" s="1786" t="str">
        <f>E77</f>
        <v>差额计税</v>
      </c>
      <c r="P75" s="1254">
        <f>F77</f>
        <v>0.01</v>
      </c>
      <c r="Q75" s="1911"/>
      <c r="R75" s="1911"/>
      <c r="S75" s="1911"/>
      <c r="T75" s="1911"/>
      <c r="U75" s="1911"/>
      <c r="V75" s="1911"/>
    </row>
    <row r="76" spans="1:22" ht="24.75">
      <c r="A76" s="357" t="s">
        <v>395</v>
      </c>
      <c r="B76" s="3548" t="s">
        <v>418</v>
      </c>
      <c r="C76" s="3549"/>
      <c r="D76" s="360">
        <f ca="1">IF(H76="转让取得",C99,C115)</f>
        <v>3842</v>
      </c>
      <c r="E76" s="17" t="s">
        <v>419</v>
      </c>
      <c r="F76" s="53" t="s">
        <v>21</v>
      </c>
      <c r="G76" s="359"/>
      <c r="H76" s="361" t="s">
        <v>3321</v>
      </c>
      <c r="I76" s="42"/>
      <c r="J76" s="1918"/>
      <c r="K76" s="2758" t="str">
        <f>IF(项目基本情况!K6="上海银行",IF(K75="",4,K75+1),"")</f>
        <v/>
      </c>
      <c r="L76" s="3616" t="str">
        <f>IF(项目基本情况!K6="上海银行","其他处置费用","")</f>
        <v/>
      </c>
      <c r="M76" s="3617"/>
      <c r="N76" s="1249" t="str">
        <f>IF(项目基本情况!K6="上海银行",N89,"")</f>
        <v/>
      </c>
      <c r="O76" s="3618" t="str">
        <f>IF(项目基本情况!K6="上海银行","包含处置中涉及的律师、诉讼、拍卖、评估等费用","")</f>
        <v/>
      </c>
      <c r="P76" s="3619"/>
      <c r="Q76" s="1911"/>
      <c r="R76" s="1911"/>
      <c r="S76" s="1911"/>
      <c r="T76" s="1911"/>
      <c r="U76" s="1911"/>
      <c r="V76" s="1911"/>
    </row>
    <row r="77" spans="1:22" ht="24.75" thickBot="1">
      <c r="A77" s="3603" t="s">
        <v>421</v>
      </c>
      <c r="B77" s="3604"/>
      <c r="C77" s="3604"/>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2962</v>
      </c>
      <c r="J77" s="1918"/>
      <c r="K77" s="3602">
        <f>IF(AND(K75="",K76=""),4,IF(项目基本情况!K6="上海银行",K76+1,K75+1))</f>
        <v>5</v>
      </c>
      <c r="L77" s="3601" t="s">
        <v>2859</v>
      </c>
      <c r="M77" s="2763" t="s">
        <v>417</v>
      </c>
      <c r="N77" s="1255"/>
      <c r="O77" s="1256">
        <f ca="1">SUMIF(N72:N76,"&lt;9e307")</f>
        <v>5942</v>
      </c>
      <c r="P77" s="1257"/>
      <c r="Q77" s="2761">
        <f ca="1">O77/N69</f>
        <v>0.14962731668009668</v>
      </c>
      <c r="R77" s="1911"/>
      <c r="S77" s="1911"/>
      <c r="T77" s="1911"/>
      <c r="U77" s="1911"/>
      <c r="V77" s="1911"/>
    </row>
    <row r="78" spans="1:22" ht="12" customHeight="1">
      <c r="A78" s="1258"/>
      <c r="B78" s="309"/>
      <c r="C78" s="309"/>
      <c r="D78" s="309"/>
      <c r="E78" s="42"/>
      <c r="F78" s="42"/>
      <c r="G78" s="42"/>
      <c r="H78" s="990"/>
      <c r="I78" s="309"/>
      <c r="J78" s="1918"/>
      <c r="K78" s="3602"/>
      <c r="L78" s="3601"/>
      <c r="M78" s="2763" t="s">
        <v>420</v>
      </c>
      <c r="N78" s="1255"/>
      <c r="O78" s="1256" t="str">
        <f ca="1">NUMBERSTRING(INT(O77*10000),2)&amp;"元整"</f>
        <v>伍仟玖佰肆拾贰万元整</v>
      </c>
      <c r="P78" s="1257"/>
      <c r="Q78" s="1911"/>
      <c r="R78" s="1911"/>
      <c r="S78" s="1911"/>
      <c r="T78" s="1911"/>
      <c r="U78" s="1911"/>
      <c r="V78" s="1911"/>
    </row>
    <row r="79" spans="1:22" ht="13.5" thickBot="1">
      <c r="A79" s="3568" t="s">
        <v>422</v>
      </c>
      <c r="B79" s="3568"/>
      <c r="C79" s="3568"/>
      <c r="D79" s="3568"/>
      <c r="E79" s="3568"/>
      <c r="F79" s="42"/>
      <c r="G79" s="42"/>
      <c r="H79" s="990"/>
      <c r="I79" s="309"/>
      <c r="J79" s="1918"/>
      <c r="K79" s="3622">
        <f>K77+1</f>
        <v>6</v>
      </c>
      <c r="L79" s="3601" t="s">
        <v>2860</v>
      </c>
      <c r="M79" s="2763" t="s">
        <v>417</v>
      </c>
      <c r="N79" s="1255"/>
      <c r="O79" s="1256">
        <f ca="1">N69-O77</f>
        <v>33770</v>
      </c>
      <c r="P79" s="1257"/>
      <c r="Q79" s="1911"/>
      <c r="R79" s="1911"/>
      <c r="S79" s="1911"/>
      <c r="T79" s="1911"/>
      <c r="U79" s="1911"/>
      <c r="V79" s="1911"/>
    </row>
    <row r="80" spans="1:22" ht="25.5">
      <c r="A80" s="3569" t="s">
        <v>423</v>
      </c>
      <c r="B80" s="3570"/>
      <c r="C80" s="981"/>
      <c r="D80" s="981" t="s">
        <v>424</v>
      </c>
      <c r="E80" s="364" t="s">
        <v>425</v>
      </c>
      <c r="F80" s="42"/>
      <c r="G80" s="42"/>
      <c r="H80" s="990"/>
      <c r="I80" s="309"/>
      <c r="J80" s="1911"/>
      <c r="K80" s="3623"/>
      <c r="L80" s="3601"/>
      <c r="M80" s="2763" t="s">
        <v>420</v>
      </c>
      <c r="N80" s="1255"/>
      <c r="O80" s="1256" t="str">
        <f ca="1">NUMBERSTRING(INT(O79*10000),2)&amp;"元整"</f>
        <v>叁亿叁仟柒佰柒拾万元整</v>
      </c>
      <c r="P80" s="1257"/>
      <c r="Q80" s="1911">
        <f ca="1">O79/'数据-汇总表'!F31*10000</f>
        <v>2087.3858721619868</v>
      </c>
      <c r="R80" s="1911"/>
      <c r="S80" s="1911"/>
      <c r="T80" s="1911"/>
      <c r="U80" s="1911"/>
      <c r="V80" s="1911"/>
    </row>
    <row r="81" spans="1:26" ht="13.5" thickBot="1">
      <c r="A81" s="375" t="s">
        <v>1813</v>
      </c>
      <c r="B81" s="365" t="s">
        <v>426</v>
      </c>
      <c r="C81" s="366">
        <f ca="1">ROUND((C82+C83)/(1+'数据-取费表'!C42),0)</f>
        <v>37821</v>
      </c>
      <c r="D81" s="367"/>
      <c r="E81" s="368"/>
      <c r="F81" s="42"/>
      <c r="G81" s="42"/>
      <c r="H81" s="990"/>
      <c r="I81" s="309"/>
      <c r="J81" s="1911"/>
      <c r="K81" s="2758">
        <f>K79+1</f>
        <v>7</v>
      </c>
      <c r="L81" s="3599" t="s">
        <v>2861</v>
      </c>
      <c r="M81" s="3600"/>
      <c r="N81" s="1259"/>
      <c r="O81" s="1260">
        <f ca="1">ROUND(O79*10000/'数据-汇总表'!E3,0)</f>
        <v>1546</v>
      </c>
      <c r="P81" s="1261"/>
      <c r="Q81" s="1911"/>
      <c r="R81" s="1911"/>
      <c r="S81" s="1911"/>
      <c r="T81" s="1911"/>
      <c r="U81" s="1911"/>
      <c r="V81" s="1911"/>
    </row>
    <row r="82" spans="1:26" ht="13.5" thickTop="1">
      <c r="A82" s="369" t="s">
        <v>1814</v>
      </c>
      <c r="B82" s="370" t="s">
        <v>427</v>
      </c>
      <c r="C82" s="371">
        <f ca="1">D63</f>
        <v>39712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615" t="s">
        <v>2849</v>
      </c>
      <c r="L83" s="2769" t="s">
        <v>2850</v>
      </c>
      <c r="M83" s="2759">
        <f ca="1">IF(N69&gt;10000,N69*0.5%,IF(AND(N69&gt;1000,N69&lt;=10000),N69*1%,IF(AND(N69&gt;100,N69&lt;=1000),N69*3%,IF(AND(N69&gt;10,N69&lt;=100),N69*5%,N69*8%))))</f>
        <v>198.56</v>
      </c>
      <c r="N83" s="53">
        <f ca="1">ROUND(M83,1)</f>
        <v>198.6</v>
      </c>
      <c r="O83" s="2762"/>
      <c r="P83" s="1911"/>
      <c r="Q83" s="1911"/>
      <c r="R83" s="1911"/>
      <c r="S83" s="1911"/>
      <c r="T83" s="1911"/>
      <c r="U83" s="1911"/>
      <c r="V83" s="1911"/>
    </row>
    <row r="84" spans="1:26" ht="12.75">
      <c r="A84" s="375" t="s">
        <v>1816</v>
      </c>
      <c r="B84" s="376" t="s">
        <v>429</v>
      </c>
      <c r="C84" s="377"/>
      <c r="D84" s="378" t="s">
        <v>19</v>
      </c>
      <c r="E84" s="2787" t="s">
        <v>2900</v>
      </c>
      <c r="F84" s="42"/>
      <c r="G84" s="42"/>
      <c r="H84" s="990"/>
      <c r="I84" s="309"/>
      <c r="J84" s="1911"/>
      <c r="K84" s="3615"/>
      <c r="L84" s="2769" t="s">
        <v>2851</v>
      </c>
      <c r="M84" s="2759">
        <f ca="1">IF(N69&gt;2000,N69*0.5%,IF(AND(N69&gt;1000,N69&lt;=2000),N69*0.6%,IF(AND(N69&gt;500,N69&lt;=1000),N69*0.7%,IF(AND(N69&gt;200,N69&lt;=500),N69*0.8%,IF(AND(N69&gt;100,N69&lt;=200),N69*0.9%,IF(AND(N69&gt;50,N69&lt;=100),N69*1%,IF(AND(N69&gt;20,N69&lt;=50),N69*1.5%,IF(AND(N69&gt;10,N69&lt;=20),N69*2%,IF(AND(N69&gt;1,N69&lt;=10),N69*2.5%)))))))))</f>
        <v>198.56</v>
      </c>
      <c r="N84" s="53">
        <f t="shared" ref="N84:N85" ca="1" si="2">ROUND(M84,1)</f>
        <v>198.6</v>
      </c>
      <c r="O84" s="1911" t="s">
        <v>2852</v>
      </c>
      <c r="P84" s="1911"/>
      <c r="Q84" s="1911"/>
      <c r="R84" s="1911"/>
      <c r="S84" s="1911"/>
      <c r="T84" s="1911"/>
      <c r="U84" s="1911"/>
      <c r="V84" s="1911"/>
    </row>
    <row r="85" spans="1:26" ht="12.75">
      <c r="A85" s="375" t="s">
        <v>1817</v>
      </c>
      <c r="B85" s="376" t="s">
        <v>430</v>
      </c>
      <c r="C85" s="379">
        <f ca="1">C81-C84</f>
        <v>37821</v>
      </c>
      <c r="D85" s="372" t="s">
        <v>19</v>
      </c>
      <c r="E85" s="373"/>
      <c r="F85" s="42"/>
      <c r="G85" s="42"/>
      <c r="H85" s="990"/>
      <c r="I85" s="309"/>
      <c r="J85" s="1911"/>
      <c r="K85" s="3615"/>
      <c r="L85" s="2769" t="s">
        <v>2853</v>
      </c>
      <c r="M85" s="2759">
        <f ca="1">IF(N69&gt;1000,N69*0.1%,IF(AND(N69&gt;500,N69&lt;=1000),N69*0.5%,IF(AND(N69&gt;50,N69&lt;=500),N69*1%,IF(AND(N69&gt;1,N69&lt;=50),N69*1.5%))))</f>
        <v>39.712000000000003</v>
      </c>
      <c r="N85" s="53">
        <f t="shared" ca="1" si="2"/>
        <v>39.700000000000003</v>
      </c>
      <c r="O85" s="1911" t="s">
        <v>2852</v>
      </c>
      <c r="P85" s="1911"/>
      <c r="Q85" s="1911"/>
      <c r="R85" s="1911"/>
      <c r="S85" s="1911"/>
      <c r="T85" s="1911"/>
      <c r="U85" s="1911"/>
      <c r="V85" s="1911"/>
    </row>
    <row r="86" spans="1:26" ht="13.5" thickBot="1">
      <c r="A86" s="380" t="s">
        <v>1818</v>
      </c>
      <c r="B86" s="381" t="s">
        <v>431</v>
      </c>
      <c r="C86" s="382">
        <f ca="1">IF(C85&lt;=0,0,ROUND(C85*D86,0))</f>
        <v>2080</v>
      </c>
      <c r="D86" s="383">
        <f>'数据-取费表'!B41</f>
        <v>5.5000000000000007E-2</v>
      </c>
      <c r="E86" s="384"/>
      <c r="F86" s="42"/>
      <c r="G86" s="42"/>
      <c r="H86" s="990"/>
      <c r="I86" s="309"/>
      <c r="J86" s="1911"/>
      <c r="K86" s="3615"/>
      <c r="L86" s="2769" t="s">
        <v>2854</v>
      </c>
      <c r="M86" s="2759">
        <f ca="1">N69*0.5%</f>
        <v>198.56</v>
      </c>
      <c r="N86" s="53">
        <f ca="1">IF(M86&gt;0.5,0.5,ROUND(M86,0))</f>
        <v>0.5</v>
      </c>
      <c r="O86" s="1911" t="s">
        <v>2855</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615"/>
      <c r="L87" s="2769" t="s">
        <v>2856</v>
      </c>
      <c r="M87" s="2759">
        <f ca="1">IF(N69&gt;=10000,(8.25+(N69-10000)*0.01%),IF(AND(N69&gt;=8000,N69&lt;10000),(7.85+(N69-8000)*0.02%),IF(AND(N69&gt;=5000,N69&lt;8000),(6.65+(N69-5000)*0.04%),IF(AND(N69&gt;=2000,N69&lt;5000),(4.25+(PN69-2000)*0.08%),IF(AND(N69&gt;=1000,N69&lt;2000),(2.75+(N69-1000)*0.15%),IF(AND(N69&gt;=100,N69&lt;1000),(0.5+(N69-100)*0.25%),IF(AND(N69&gt;0,N69&lt;100),N69*0.5%)))))))</f>
        <v>11.2212</v>
      </c>
      <c r="N87" s="53">
        <f ca="1">ROUND(M87*0.9,1)</f>
        <v>10.1</v>
      </c>
      <c r="O87" s="2762"/>
      <c r="P87" s="1911"/>
      <c r="Q87" s="1911"/>
      <c r="R87" s="1911"/>
      <c r="S87" s="1911"/>
      <c r="T87" s="1911"/>
      <c r="U87" s="1911"/>
      <c r="V87" s="1911"/>
      <c r="W87" s="290"/>
      <c r="X87" s="290"/>
      <c r="Y87" s="290"/>
      <c r="Z87" s="290"/>
    </row>
    <row r="88" spans="1:26" s="1267" customFormat="1" ht="15" thickBot="1">
      <c r="A88" s="3594" t="s">
        <v>432</v>
      </c>
      <c r="B88" s="3595"/>
      <c r="C88" s="3595"/>
      <c r="D88" s="3595"/>
      <c r="E88" s="3595"/>
      <c r="F88" s="3595"/>
      <c r="G88" s="3595"/>
      <c r="H88" s="3595"/>
      <c r="I88" s="1268"/>
      <c r="J88" s="1919"/>
      <c r="K88" s="3615"/>
      <c r="L88" s="2769" t="s">
        <v>2857</v>
      </c>
      <c r="M88" s="2759">
        <f ca="1">IF(N69&gt;10000,N69*0.5%,IF(AND(N69&gt;5000,N69&lt;=10000),N69*1%,IF(AND(N69&gt;1000,N69&lt;=5000),N69*2%,IF(AND(N69&gt;200,N69&lt;=1000),N69*3%,N69*5%))))</f>
        <v>198.56</v>
      </c>
      <c r="N88" s="53">
        <f ca="1">ROUND(M88,1)</f>
        <v>198.6</v>
      </c>
      <c r="O88" s="2762"/>
      <c r="P88" s="1916"/>
      <c r="Q88" s="1916"/>
      <c r="R88" s="1916"/>
      <c r="S88" s="1916"/>
      <c r="T88" s="1916"/>
      <c r="U88" s="1916"/>
      <c r="V88" s="1916"/>
      <c r="W88" s="1920"/>
      <c r="X88" s="1920"/>
      <c r="Y88" s="1920"/>
      <c r="Z88" s="1920"/>
    </row>
    <row r="89" spans="1:26" s="1267" customFormat="1" ht="14.25">
      <c r="A89" s="3569" t="s">
        <v>423</v>
      </c>
      <c r="B89" s="3570"/>
      <c r="C89" s="981"/>
      <c r="D89" s="981" t="s">
        <v>424</v>
      </c>
      <c r="E89" s="385" t="s">
        <v>433</v>
      </c>
      <c r="F89" s="386"/>
      <c r="G89" s="386"/>
      <c r="H89" s="387"/>
      <c r="I89" s="1269"/>
      <c r="J89" s="1921"/>
      <c r="K89" s="3615"/>
      <c r="L89" s="2769" t="s">
        <v>27</v>
      </c>
      <c r="M89" s="2760"/>
      <c r="N89" s="53">
        <f ca="1">ROUND(SUM(N83:N88),0)</f>
        <v>646</v>
      </c>
      <c r="O89" s="2770">
        <f ca="1">N89/N69</f>
        <v>1.6267123287671232E-2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37821</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189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551" t="s">
        <v>441</v>
      </c>
      <c r="F94" s="3550"/>
      <c r="G94" s="3550"/>
      <c r="H94" s="3593"/>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189</v>
      </c>
      <c r="D96" s="400">
        <f>'数据-取费表'!B43</f>
        <v>5.000000000000001E-3</v>
      </c>
      <c r="E96" s="3585" t="s">
        <v>2412</v>
      </c>
      <c r="F96" s="3586"/>
      <c r="G96" s="3586"/>
      <c r="H96" s="358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37632</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199.11111111111111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22513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594" t="s">
        <v>448</v>
      </c>
      <c r="B101" s="3595"/>
      <c r="C101" s="3595"/>
      <c r="D101" s="3595"/>
      <c r="E101" s="3595"/>
      <c r="F101" s="3595"/>
      <c r="G101" s="3595"/>
      <c r="H101" s="3595"/>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569" t="s">
        <v>423</v>
      </c>
      <c r="B102" s="3570"/>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37821</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25080</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24644</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23685</v>
      </c>
      <c r="D106" s="400"/>
      <c r="E106" s="411" t="s">
        <v>451</v>
      </c>
      <c r="F106" s="973"/>
      <c r="G106" s="412" t="s">
        <v>452</v>
      </c>
      <c r="H106" s="413" t="s">
        <v>3320</v>
      </c>
      <c r="I106" s="11"/>
      <c r="J106" s="1916"/>
      <c r="K106" s="3242" t="s">
        <v>2984</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959</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v>206</v>
      </c>
      <c r="D108" s="400"/>
      <c r="E108" s="411" t="str">
        <f>IF(H106="-","土地取得成本中已包含该笔费用"," ")</f>
        <v xml:space="preserve"> </v>
      </c>
      <c r="F108" s="973"/>
      <c r="G108" s="3545" t="s">
        <v>2954</v>
      </c>
      <c r="H108" s="3546"/>
      <c r="I108" s="2858"/>
      <c r="J108" s="1916"/>
      <c r="K108" s="3242" t="s">
        <v>2985</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588" t="s">
        <v>456</v>
      </c>
      <c r="F109" s="3586"/>
      <c r="G109" s="3586"/>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3">
        <v>0</v>
      </c>
      <c r="E110" s="3588" t="s">
        <v>458</v>
      </c>
      <c r="F110" s="3586"/>
      <c r="G110" s="3586"/>
      <c r="H110" s="3587"/>
      <c r="I110" s="11"/>
      <c r="J110" s="1916"/>
      <c r="K110" s="3243" t="s">
        <v>2986</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189</v>
      </c>
      <c r="D111" s="400">
        <f>'数据-取费表'!B43</f>
        <v>5.000000000000001E-3</v>
      </c>
      <c r="E111" s="3585" t="s">
        <v>2412</v>
      </c>
      <c r="F111" s="3586"/>
      <c r="G111" s="3586"/>
      <c r="H111" s="358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41</v>
      </c>
      <c r="D112" s="400">
        <v>0.2</v>
      </c>
      <c r="E112" s="3588" t="s">
        <v>2435</v>
      </c>
      <c r="F112" s="3586"/>
      <c r="G112" s="3586"/>
      <c r="H112" s="358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12741</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0.5080143540669857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3842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449" t="str">
        <f>项目基本情况!B1</f>
        <v>98号地出让国有建设用地使用权抵押价格预评估</v>
      </c>
      <c r="C37" s="3449"/>
      <c r="D37" s="3449"/>
      <c r="E37" s="3449"/>
      <c r="F37" s="3449"/>
      <c r="G37" s="3449"/>
      <c r="H37" s="3449"/>
      <c r="I37" s="3449"/>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43" sqref="F4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8"/>
      <c r="M1" s="3209"/>
      <c r="N1" s="3209"/>
      <c r="O1" s="3209"/>
      <c r="P1" s="2014"/>
      <c r="Q1" s="2014"/>
      <c r="R1" s="2014"/>
      <c r="S1" s="2014"/>
      <c r="T1" s="2014"/>
      <c r="U1" s="2014"/>
      <c r="V1" s="2014"/>
      <c r="W1" s="2014"/>
      <c r="X1" s="2014"/>
      <c r="Y1" s="2014"/>
      <c r="Z1" s="2014"/>
      <c r="AA1" s="2014"/>
      <c r="AB1" s="2014"/>
      <c r="AC1" s="3210"/>
      <c r="AD1" s="1288"/>
    </row>
    <row r="2" spans="1:30" s="1289" customFormat="1" ht="28.5" customHeight="1">
      <c r="A2" s="417" t="s">
        <v>461</v>
      </c>
      <c r="B2" s="502">
        <f>F68</f>
        <v>31661</v>
      </c>
      <c r="C2" s="3218"/>
      <c r="D2" s="3218"/>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c r="AD2" s="1288"/>
    </row>
    <row r="3" spans="1:30" s="1289" customFormat="1" ht="28.5" customHeight="1">
      <c r="A3" s="1330" t="s">
        <v>1674</v>
      </c>
      <c r="B3" s="504">
        <f>ROUND(B2*10000/'数据-汇总表'!E3,0)</f>
        <v>1450</v>
      </c>
      <c r="C3" s="3219"/>
      <c r="D3" s="3223"/>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3211"/>
      <c r="AC3" s="1944"/>
    </row>
    <row r="4" spans="1:30" s="1289" customFormat="1" ht="28.5" customHeight="1">
      <c r="A4" s="505" t="s">
        <v>514</v>
      </c>
      <c r="B4" s="421">
        <f>IF(B48="单位面积地价",C50,ROUND(B2*10000/'数据-汇总表'!D3,0))</f>
        <v>4893</v>
      </c>
      <c r="C4" s="3219"/>
      <c r="D4" s="3223"/>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326</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636" t="s">
        <v>516</v>
      </c>
      <c r="D6" s="3637"/>
      <c r="E6" s="3636" t="s">
        <v>517</v>
      </c>
      <c r="F6" s="3637"/>
      <c r="G6" s="3636" t="s">
        <v>518</v>
      </c>
      <c r="H6" s="3637"/>
      <c r="I6" s="3636" t="s">
        <v>519</v>
      </c>
      <c r="J6" s="3637"/>
      <c r="K6" s="508" t="s">
        <v>520</v>
      </c>
      <c r="L6" s="2015"/>
      <c r="M6" s="2014"/>
      <c r="N6" s="2014"/>
      <c r="O6" s="2016"/>
      <c r="P6" s="3638" t="s">
        <v>521</v>
      </c>
      <c r="Q6" s="3639"/>
      <c r="R6" s="3644" t="s">
        <v>517</v>
      </c>
      <c r="S6" s="3645"/>
      <c r="T6" s="3644" t="s">
        <v>518</v>
      </c>
      <c r="U6" s="3645"/>
      <c r="V6" s="3631" t="s">
        <v>519</v>
      </c>
      <c r="W6" s="3631"/>
      <c r="X6" s="1501"/>
      <c r="Y6" s="3644" t="s">
        <v>521</v>
      </c>
      <c r="Z6" s="3645"/>
      <c r="AA6" s="3633" t="s">
        <v>517</v>
      </c>
      <c r="AB6" s="3634" t="s">
        <v>518</v>
      </c>
      <c r="AC6" s="3633" t="s">
        <v>519</v>
      </c>
    </row>
    <row r="7" spans="1:30" ht="20.25">
      <c r="A7" s="509"/>
      <c r="B7" s="510"/>
      <c r="C7" s="3652" t="s">
        <v>2889</v>
      </c>
      <c r="D7" s="3653"/>
      <c r="E7" s="3652" t="s">
        <v>2890</v>
      </c>
      <c r="F7" s="3653"/>
      <c r="G7" s="3652" t="s">
        <v>2891</v>
      </c>
      <c r="H7" s="3653"/>
      <c r="I7" s="3652" t="s">
        <v>2892</v>
      </c>
      <c r="J7" s="3653"/>
      <c r="K7" s="508"/>
      <c r="L7" s="2015"/>
      <c r="M7" s="2014"/>
      <c r="N7" s="2014"/>
      <c r="O7" s="2016"/>
      <c r="P7" s="3640"/>
      <c r="Q7" s="3641"/>
      <c r="R7" s="3646"/>
      <c r="S7" s="3647"/>
      <c r="T7" s="3646"/>
      <c r="U7" s="3647"/>
      <c r="V7" s="3631"/>
      <c r="W7" s="3631"/>
      <c r="X7" s="1501"/>
      <c r="Y7" s="3646"/>
      <c r="Z7" s="3647"/>
      <c r="AA7" s="3634"/>
      <c r="AB7" s="3634"/>
      <c r="AC7" s="3634"/>
    </row>
    <row r="8" spans="1:30" ht="21" thickBot="1">
      <c r="A8" s="509"/>
      <c r="B8" s="510"/>
      <c r="C8" s="3654" t="s">
        <v>2893</v>
      </c>
      <c r="D8" s="3655"/>
      <c r="E8" s="3654" t="str">
        <f>土地案例!A45</f>
        <v>彭山区锦江乡</v>
      </c>
      <c r="F8" s="3655"/>
      <c r="G8" s="3650" t="str">
        <f>土地案例!A58</f>
        <v>彭山区锦江乡</v>
      </c>
      <c r="H8" s="3651"/>
      <c r="I8" s="3650" t="str">
        <f>土地案例!A67</f>
        <v>锦江乡永泉村、天库村</v>
      </c>
      <c r="J8" s="3651"/>
      <c r="K8" s="508" t="s">
        <v>522</v>
      </c>
      <c r="L8" s="2015"/>
      <c r="M8" s="2014"/>
      <c r="N8" s="2014"/>
      <c r="O8" s="2016"/>
      <c r="P8" s="3642"/>
      <c r="Q8" s="3643"/>
      <c r="R8" s="3646"/>
      <c r="S8" s="3647"/>
      <c r="T8" s="3648"/>
      <c r="U8" s="3649"/>
      <c r="V8" s="3631"/>
      <c r="W8" s="3631"/>
      <c r="X8" s="1501"/>
      <c r="Y8" s="3648"/>
      <c r="Z8" s="3649"/>
      <c r="AA8" s="3635"/>
      <c r="AB8" s="3635"/>
      <c r="AC8" s="3635"/>
    </row>
    <row r="9" spans="1:30" s="1202" customFormat="1" ht="21" thickBot="1">
      <c r="A9" s="2629"/>
      <c r="B9" s="2636" t="s">
        <v>523</v>
      </c>
      <c r="C9" s="2628">
        <f>'数据-取费表'!B2</f>
        <v>44139</v>
      </c>
      <c r="D9" s="514">
        <v>100</v>
      </c>
      <c r="E9" s="515" t="str">
        <f>土地案例!I45</f>
        <v>2019-11-07</v>
      </c>
      <c r="F9" s="516">
        <f>SUMIF(72:72,YEAR(E9)&amp;"-"&amp;INT((MONTH(E9)+2)/3),73:73)</f>
        <v>98</v>
      </c>
      <c r="G9" s="517" t="str">
        <f>土地案例!I58</f>
        <v>2019-01-14</v>
      </c>
      <c r="H9" s="514">
        <f>SUMIF(72:72,YEAR(G9)&amp;"-"&amp;INT((MONTH(G9)+2)/3),73:73)</f>
        <v>96.5</v>
      </c>
      <c r="I9" s="517" t="str">
        <f>土地案例!I67</f>
        <v>2018-07-24</v>
      </c>
      <c r="J9" s="514">
        <f>SUMIF(72:72,YEAR(I9)&amp;"-"&amp;INT((MONTH(I9)+2)/3),73:73)</f>
        <v>95.5</v>
      </c>
      <c r="K9" s="518"/>
      <c r="L9" s="2017"/>
      <c r="M9" s="2014"/>
      <c r="N9" s="2014"/>
      <c r="O9" s="2018"/>
      <c r="P9" s="3661" t="s">
        <v>524</v>
      </c>
      <c r="Q9" s="3663"/>
      <c r="R9" s="1502" t="s">
        <v>8</v>
      </c>
      <c r="S9" s="1503">
        <f t="shared" ref="S9:S17" si="0">F9</f>
        <v>98</v>
      </c>
      <c r="T9" s="1502" t="s">
        <v>8</v>
      </c>
      <c r="U9" s="1503">
        <f t="shared" ref="U9:U17" si="1">H9</f>
        <v>96.5</v>
      </c>
      <c r="V9" s="1502" t="s">
        <v>8</v>
      </c>
      <c r="W9" s="1503">
        <f t="shared" ref="W9:W17" si="2">J9</f>
        <v>95.5</v>
      </c>
      <c r="X9" s="1504"/>
      <c r="Y9" s="3661" t="s">
        <v>524</v>
      </c>
      <c r="Z9" s="3662"/>
      <c r="AA9" s="1505">
        <f>D9/F9</f>
        <v>1.0204081632653061</v>
      </c>
      <c r="AB9" s="1505">
        <f>D9/H9</f>
        <v>1.0362694300518134</v>
      </c>
      <c r="AC9" s="1505">
        <f>D9/J9</f>
        <v>1.0471204188481675</v>
      </c>
    </row>
    <row r="10" spans="1:30" s="1202" customFormat="1" ht="21" thickBot="1">
      <c r="A10" s="2630"/>
      <c r="B10" s="2637" t="s">
        <v>525</v>
      </c>
      <c r="C10" s="845" t="s">
        <v>526</v>
      </c>
      <c r="D10" s="514">
        <v>100</v>
      </c>
      <c r="E10" s="519" t="s">
        <v>3021</v>
      </c>
      <c r="F10" s="516">
        <f>SUMIF(75:75,E10,76:76)-SUMIF(75:75,C10,76:76)+100</f>
        <v>100</v>
      </c>
      <c r="G10" s="519" t="s">
        <v>3021</v>
      </c>
      <c r="H10" s="514">
        <f>SUMIF(75:75,G10,76:76)-SUMIF(75:75,C10,76:76)+100</f>
        <v>100</v>
      </c>
      <c r="I10" s="519" t="s">
        <v>3021</v>
      </c>
      <c r="J10" s="514">
        <f>SUMIF(75:75,I10,76:76)-SUMIF(75:75,C10,76:76)+100</f>
        <v>100</v>
      </c>
      <c r="K10" s="518"/>
      <c r="L10" s="2017"/>
      <c r="M10" s="2014"/>
      <c r="N10" s="2014"/>
      <c r="O10" s="2018"/>
      <c r="P10" s="3661" t="s">
        <v>527</v>
      </c>
      <c r="Q10" s="3662"/>
      <c r="R10" s="1502" t="s">
        <v>8</v>
      </c>
      <c r="S10" s="1503">
        <f t="shared" si="0"/>
        <v>100</v>
      </c>
      <c r="T10" s="1502" t="s">
        <v>8</v>
      </c>
      <c r="U10" s="1503">
        <f t="shared" si="1"/>
        <v>100</v>
      </c>
      <c r="V10" s="1502" t="s">
        <v>8</v>
      </c>
      <c r="W10" s="1503">
        <f t="shared" si="2"/>
        <v>100</v>
      </c>
      <c r="X10" s="1504"/>
      <c r="Y10" s="3661" t="s">
        <v>527</v>
      </c>
      <c r="Z10" s="3662"/>
      <c r="AA10" s="1505">
        <f t="shared" ref="AA10:AA47" si="3">D10/F10</f>
        <v>1</v>
      </c>
      <c r="AB10" s="1505">
        <f t="shared" ref="AB10:AB47" si="4">D10/H10</f>
        <v>1</v>
      </c>
      <c r="AC10" s="1505">
        <f t="shared" ref="AC10:AC47" si="5">D10/J10</f>
        <v>1</v>
      </c>
    </row>
    <row r="11" spans="1:30" s="1202" customFormat="1" ht="20.25">
      <c r="A11" s="2631"/>
      <c r="B11" s="2638" t="s">
        <v>2736</v>
      </c>
      <c r="C11" s="2625" t="s">
        <v>913</v>
      </c>
      <c r="D11" s="252">
        <v>100</v>
      </c>
      <c r="E11" s="2625" t="s">
        <v>913</v>
      </c>
      <c r="F11" s="252">
        <f>SUMIF(77:77,E11,78:78)-SUMIF(77:77,C11,78:78)+100</f>
        <v>100</v>
      </c>
      <c r="G11" s="2625" t="s">
        <v>913</v>
      </c>
      <c r="H11" s="252">
        <f>SUMIF(77:77,G11,78:78)-SUMIF(77:77,C11,78:78)+100</f>
        <v>100</v>
      </c>
      <c r="I11" s="2625" t="s">
        <v>913</v>
      </c>
      <c r="J11" s="252">
        <f>SUMIF(77:77,I11,78:78)-SUMIF(77:77,C11,78:78)+100</f>
        <v>100</v>
      </c>
      <c r="K11" s="518"/>
      <c r="L11" s="2017"/>
      <c r="M11" s="2014"/>
      <c r="N11" s="2014"/>
      <c r="O11" s="2019"/>
      <c r="P11" s="3630" t="s">
        <v>529</v>
      </c>
      <c r="Q11" s="1133" t="str">
        <f t="shared" ref="Q11:Q17" si="6">B11</f>
        <v>用途</v>
      </c>
      <c r="R11" s="1502" t="s">
        <v>8</v>
      </c>
      <c r="S11" s="1503">
        <f t="shared" si="0"/>
        <v>100</v>
      </c>
      <c r="T11" s="1502" t="s">
        <v>8</v>
      </c>
      <c r="U11" s="1503">
        <f t="shared" si="1"/>
        <v>100</v>
      </c>
      <c r="V11" s="1502" t="s">
        <v>8</v>
      </c>
      <c r="W11" s="1503">
        <f t="shared" si="2"/>
        <v>100</v>
      </c>
      <c r="X11" s="1504"/>
      <c r="Y11" s="3576" t="s">
        <v>530</v>
      </c>
      <c r="Z11" s="1132" t="str">
        <f t="shared" ref="Z11:Z17" si="7">Q11</f>
        <v>用途</v>
      </c>
      <c r="AA11" s="1505">
        <f t="shared" si="3"/>
        <v>1</v>
      </c>
      <c r="AB11" s="1505">
        <f t="shared" si="4"/>
        <v>1</v>
      </c>
      <c r="AC11" s="1505">
        <f t="shared" si="5"/>
        <v>1</v>
      </c>
    </row>
    <row r="12" spans="1:30" s="1291" customFormat="1" ht="27">
      <c r="A12" s="2632"/>
      <c r="B12" s="2637" t="s">
        <v>2737</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630"/>
      <c r="Q12" s="1133" t="str">
        <f t="shared" si="6"/>
        <v>土地使用年限（年）</v>
      </c>
      <c r="R12" s="1502" t="s">
        <v>8</v>
      </c>
      <c r="S12" s="1503">
        <f t="shared" si="0"/>
        <v>100</v>
      </c>
      <c r="T12" s="1502" t="s">
        <v>8</v>
      </c>
      <c r="U12" s="1503">
        <f t="shared" si="1"/>
        <v>100</v>
      </c>
      <c r="V12" s="1502" t="s">
        <v>8</v>
      </c>
      <c r="W12" s="1503">
        <f t="shared" si="2"/>
        <v>100</v>
      </c>
      <c r="X12" s="1504"/>
      <c r="Y12" s="3576"/>
      <c r="Z12" s="1132" t="str">
        <f t="shared" si="7"/>
        <v>土地使用年限（年）</v>
      </c>
      <c r="AA12" s="1505">
        <f t="shared" si="3"/>
        <v>1</v>
      </c>
      <c r="AB12" s="1505">
        <f t="shared" si="4"/>
        <v>1</v>
      </c>
      <c r="AC12" s="1505">
        <f t="shared" si="5"/>
        <v>1</v>
      </c>
    </row>
    <row r="13" spans="1:30" ht="20.25">
      <c r="A13" s="2633"/>
      <c r="B13" s="2637" t="s">
        <v>2738</v>
      </c>
      <c r="C13" s="528">
        <v>2.5</v>
      </c>
      <c r="D13" s="253">
        <v>100</v>
      </c>
      <c r="E13" s="527">
        <v>1.8</v>
      </c>
      <c r="F13" s="253">
        <f>LOOKUP(E13,82:82,83:83)-LOOKUP(C13,82:82,83:83)+100</f>
        <v>102</v>
      </c>
      <c r="G13" s="528">
        <v>1.8</v>
      </c>
      <c r="H13" s="253">
        <f>LOOKUP(G13,82:82,83:83)-LOOKUP(C13,82:82,83:83)+100</f>
        <v>102</v>
      </c>
      <c r="I13" s="527">
        <v>1.8</v>
      </c>
      <c r="J13" s="253">
        <f>LOOKUP(I13,82:82,83:83)-LOOKUP(C13,82:82,83:83)+100</f>
        <v>102</v>
      </c>
      <c r="K13" s="529">
        <v>1</v>
      </c>
      <c r="L13" s="2022"/>
      <c r="M13" s="2014"/>
      <c r="N13" s="2014"/>
      <c r="O13" s="2023"/>
      <c r="P13" s="3630"/>
      <c r="Q13" s="1133" t="str">
        <f t="shared" si="6"/>
        <v>容积率</v>
      </c>
      <c r="R13" s="1502" t="s">
        <v>8</v>
      </c>
      <c r="S13" s="1503">
        <f t="shared" si="0"/>
        <v>102</v>
      </c>
      <c r="T13" s="1502" t="s">
        <v>8</v>
      </c>
      <c r="U13" s="1503">
        <f t="shared" si="1"/>
        <v>102</v>
      </c>
      <c r="V13" s="1502" t="s">
        <v>8</v>
      </c>
      <c r="W13" s="1503">
        <f t="shared" si="2"/>
        <v>102</v>
      </c>
      <c r="X13" s="1504"/>
      <c r="Y13" s="3576"/>
      <c r="Z13" s="1132" t="str">
        <f t="shared" si="7"/>
        <v>容积率</v>
      </c>
      <c r="AA13" s="1505">
        <f t="shared" si="3"/>
        <v>0.98039215686274506</v>
      </c>
      <c r="AB13" s="1505">
        <f t="shared" si="4"/>
        <v>0.98039215686274506</v>
      </c>
      <c r="AC13" s="1505">
        <f t="shared" si="5"/>
        <v>0.98039215686274506</v>
      </c>
    </row>
    <row r="14" spans="1:30" s="1202" customFormat="1" ht="20.25">
      <c r="A14" s="2630"/>
      <c r="B14" s="2639" t="s">
        <v>2739</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630"/>
      <c r="Q14" s="1133" t="str">
        <f t="shared" si="6"/>
        <v>配建</v>
      </c>
      <c r="R14" s="1502" t="s">
        <v>8</v>
      </c>
      <c r="S14" s="1503">
        <f t="shared" si="0"/>
        <v>100</v>
      </c>
      <c r="T14" s="1502" t="s">
        <v>8</v>
      </c>
      <c r="U14" s="1503">
        <f t="shared" si="1"/>
        <v>100</v>
      </c>
      <c r="V14" s="1502" t="s">
        <v>8</v>
      </c>
      <c r="W14" s="1503">
        <f t="shared" si="2"/>
        <v>100</v>
      </c>
      <c r="X14" s="1504"/>
      <c r="Y14" s="3576"/>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630"/>
      <c r="Q15" s="1133">
        <f t="shared" si="6"/>
        <v>111</v>
      </c>
      <c r="R15" s="1502" t="s">
        <v>8</v>
      </c>
      <c r="S15" s="1503">
        <f t="shared" si="0"/>
        <v>100</v>
      </c>
      <c r="T15" s="1502" t="s">
        <v>8</v>
      </c>
      <c r="U15" s="1503">
        <f t="shared" si="1"/>
        <v>100</v>
      </c>
      <c r="V15" s="1502" t="s">
        <v>8</v>
      </c>
      <c r="W15" s="1503">
        <f t="shared" si="2"/>
        <v>100</v>
      </c>
      <c r="X15" s="1504"/>
      <c r="Y15" s="3576"/>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630"/>
      <c r="Q16" s="1133">
        <f t="shared" si="6"/>
        <v>111</v>
      </c>
      <c r="R16" s="1502" t="s">
        <v>8</v>
      </c>
      <c r="S16" s="1503">
        <f t="shared" si="0"/>
        <v>100</v>
      </c>
      <c r="T16" s="1502" t="s">
        <v>8</v>
      </c>
      <c r="U16" s="1503">
        <f t="shared" si="1"/>
        <v>100</v>
      </c>
      <c r="V16" s="1502" t="s">
        <v>8</v>
      </c>
      <c r="W16" s="1503">
        <f t="shared" si="2"/>
        <v>100</v>
      </c>
      <c r="X16" s="1504"/>
      <c r="Y16" s="3576"/>
      <c r="Z16" s="1132">
        <f t="shared" si="7"/>
        <v>111</v>
      </c>
      <c r="AA16" s="1505">
        <f>D16/F16</f>
        <v>1</v>
      </c>
      <c r="AB16" s="1505">
        <f>D16/H16</f>
        <v>1</v>
      </c>
      <c r="AC16" s="1505">
        <f>D16/J16</f>
        <v>1</v>
      </c>
    </row>
    <row r="17" spans="1:29" ht="20.25">
      <c r="A17" s="2627" t="s">
        <v>2734</v>
      </c>
      <c r="B17" s="572" t="s">
        <v>295</v>
      </c>
      <c r="C17" s="542" t="str">
        <f>估价对象房地状况!C15</f>
        <v>一般</v>
      </c>
      <c r="D17" s="545">
        <v>100</v>
      </c>
      <c r="E17" s="546"/>
      <c r="F17" s="543">
        <f>SUMIF(90:90,E18,91:91)-SUMIF(90:90,C18,91:91)+100</f>
        <v>100</v>
      </c>
      <c r="G17" s="544"/>
      <c r="H17" s="543">
        <f>SUMIF(90:90,G18,91:91)-SUMIF(90:90,C18,91:91)+100</f>
        <v>100</v>
      </c>
      <c r="I17" s="546"/>
      <c r="J17" s="543">
        <f>SUMIF(90:90,I18,91:91)-SUMIF(90:90,C18,91:91)+100</f>
        <v>100</v>
      </c>
      <c r="K17" s="529">
        <v>2</v>
      </c>
      <c r="L17" s="2024"/>
      <c r="M17" s="2014"/>
      <c r="N17" s="2014"/>
      <c r="O17" s="2023"/>
      <c r="P17" s="3664" t="s">
        <v>534</v>
      </c>
      <c r="Q17" s="1506" t="str">
        <f t="shared" si="6"/>
        <v>居住社区成熟度</v>
      </c>
      <c r="R17" s="1507" t="s">
        <v>8</v>
      </c>
      <c r="S17" s="1508">
        <f t="shared" si="0"/>
        <v>100</v>
      </c>
      <c r="T17" s="1507" t="s">
        <v>8</v>
      </c>
      <c r="U17" s="1508">
        <f t="shared" si="1"/>
        <v>100</v>
      </c>
      <c r="V17" s="1507" t="s">
        <v>8</v>
      </c>
      <c r="W17" s="1508">
        <f t="shared" si="2"/>
        <v>100</v>
      </c>
      <c r="X17" s="1501"/>
      <c r="Y17" s="3664" t="s">
        <v>534</v>
      </c>
      <c r="Z17" s="1509" t="str">
        <f t="shared" si="7"/>
        <v>居住社区成熟度</v>
      </c>
      <c r="AA17" s="1510">
        <f t="shared" si="3"/>
        <v>1</v>
      </c>
      <c r="AB17" s="1510">
        <f t="shared" si="4"/>
        <v>1</v>
      </c>
      <c r="AC17" s="1510">
        <f t="shared" si="5"/>
        <v>1</v>
      </c>
    </row>
    <row r="18" spans="1:29" ht="20.25">
      <c r="A18" s="526"/>
      <c r="B18" s="547"/>
      <c r="C18" s="548" t="s">
        <v>3301</v>
      </c>
      <c r="D18" s="551"/>
      <c r="E18" s="548" t="s">
        <v>3301</v>
      </c>
      <c r="F18" s="549"/>
      <c r="G18" s="548" t="s">
        <v>3301</v>
      </c>
      <c r="H18" s="553"/>
      <c r="I18" s="548" t="s">
        <v>3301</v>
      </c>
      <c r="J18" s="549"/>
      <c r="K18" s="525"/>
      <c r="L18" s="2024"/>
      <c r="M18" s="2014"/>
      <c r="N18" s="2014"/>
      <c r="O18" s="2023"/>
      <c r="P18" s="3665"/>
      <c r="Q18" s="1506"/>
      <c r="R18" s="1507"/>
      <c r="S18" s="1508"/>
      <c r="T18" s="1507"/>
      <c r="U18" s="1508"/>
      <c r="V18" s="1507"/>
      <c r="W18" s="1508"/>
      <c r="X18" s="1501"/>
      <c r="Y18" s="3665"/>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4"/>
      <c r="M19" s="2014"/>
      <c r="N19" s="2014"/>
      <c r="O19" s="2023"/>
      <c r="P19" s="3665"/>
      <c r="Q19" s="1506" t="str">
        <f>B19</f>
        <v>商业繁华度</v>
      </c>
      <c r="R19" s="1507" t="s">
        <v>8</v>
      </c>
      <c r="S19" s="1508">
        <f>F19</f>
        <v>100</v>
      </c>
      <c r="T19" s="1507" t="s">
        <v>8</v>
      </c>
      <c r="U19" s="1508">
        <f>H19</f>
        <v>100</v>
      </c>
      <c r="V19" s="1507" t="s">
        <v>8</v>
      </c>
      <c r="W19" s="1508">
        <f>J19</f>
        <v>100</v>
      </c>
      <c r="X19" s="1501"/>
      <c r="Y19" s="3665"/>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665"/>
      <c r="Q20" s="1506"/>
      <c r="R20" s="1507"/>
      <c r="S20" s="1508"/>
      <c r="T20" s="1507"/>
      <c r="U20" s="1508"/>
      <c r="V20" s="1507"/>
      <c r="W20" s="1508"/>
      <c r="X20" s="1501"/>
      <c r="Y20" s="3665"/>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665"/>
      <c r="Q21" s="1506" t="str">
        <f>B21</f>
        <v>办公集聚程度</v>
      </c>
      <c r="R21" s="1507" t="s">
        <v>8</v>
      </c>
      <c r="S21" s="1508">
        <f>F21</f>
        <v>100</v>
      </c>
      <c r="T21" s="1507" t="s">
        <v>8</v>
      </c>
      <c r="U21" s="1508">
        <f>H21</f>
        <v>100</v>
      </c>
      <c r="V21" s="1507" t="s">
        <v>8</v>
      </c>
      <c r="W21" s="1508">
        <f>J21</f>
        <v>100</v>
      </c>
      <c r="X21" s="1501"/>
      <c r="Y21" s="3665"/>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665"/>
      <c r="Q22" s="1506"/>
      <c r="R22" s="1507"/>
      <c r="S22" s="1508"/>
      <c r="T22" s="1507"/>
      <c r="U22" s="1508"/>
      <c r="V22" s="1507"/>
      <c r="W22" s="1508"/>
      <c r="X22" s="1501"/>
      <c r="Y22" s="3665"/>
      <c r="Z22" s="1509"/>
      <c r="AA22" s="1510">
        <v>1</v>
      </c>
      <c r="AB22" s="1510">
        <v>1</v>
      </c>
      <c r="AC22" s="1510">
        <v>1</v>
      </c>
    </row>
    <row r="23" spans="1:29" ht="20.25">
      <c r="A23" s="526"/>
      <c r="B23" s="554" t="s">
        <v>537</v>
      </c>
      <c r="C23" s="567" t="str">
        <f>估价对象房地状况!C18</f>
        <v>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665"/>
      <c r="Q23" s="1506" t="str">
        <f>B23</f>
        <v>交通便捷度</v>
      </c>
      <c r="R23" s="1507" t="s">
        <v>8</v>
      </c>
      <c r="S23" s="1508">
        <f>F23</f>
        <v>100</v>
      </c>
      <c r="T23" s="1507" t="s">
        <v>8</v>
      </c>
      <c r="U23" s="1508">
        <f>H23</f>
        <v>100</v>
      </c>
      <c r="V23" s="1507" t="s">
        <v>8</v>
      </c>
      <c r="W23" s="1508">
        <f>J23</f>
        <v>100</v>
      </c>
      <c r="X23" s="1501"/>
      <c r="Y23" s="3665"/>
      <c r="Z23" s="1509" t="str">
        <f>Q23</f>
        <v>交通便捷度</v>
      </c>
      <c r="AA23" s="1510">
        <f t="shared" si="3"/>
        <v>1</v>
      </c>
      <c r="AB23" s="1510">
        <f t="shared" si="4"/>
        <v>1</v>
      </c>
      <c r="AC23" s="1510">
        <f t="shared" si="5"/>
        <v>1</v>
      </c>
    </row>
    <row r="24" spans="1:29" ht="20.25">
      <c r="A24" s="526"/>
      <c r="B24" s="572"/>
      <c r="C24" s="548" t="s">
        <v>3301</v>
      </c>
      <c r="D24" s="551"/>
      <c r="E24" s="552" t="s">
        <v>3301</v>
      </c>
      <c r="F24" s="549"/>
      <c r="G24" s="552" t="s">
        <v>3301</v>
      </c>
      <c r="H24" s="549"/>
      <c r="I24" s="552" t="s">
        <v>3301</v>
      </c>
      <c r="J24" s="549"/>
      <c r="K24" s="525"/>
      <c r="L24" s="2024"/>
      <c r="M24" s="2014"/>
      <c r="N24" s="2014"/>
      <c r="O24" s="2023"/>
      <c r="P24" s="3665"/>
      <c r="Q24" s="1506"/>
      <c r="R24" s="1507"/>
      <c r="S24" s="1508"/>
      <c r="T24" s="1507"/>
      <c r="U24" s="1508"/>
      <c r="V24" s="1507"/>
      <c r="W24" s="1508"/>
      <c r="X24" s="1501"/>
      <c r="Y24" s="3665"/>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665"/>
      <c r="Q25" s="1506" t="str">
        <f t="shared" ref="Q25:Q39" si="8">B25</f>
        <v>区域土地利用方向</v>
      </c>
      <c r="R25" s="1507" t="s">
        <v>8</v>
      </c>
      <c r="S25" s="1508">
        <f>F25</f>
        <v>100</v>
      </c>
      <c r="T25" s="1507" t="s">
        <v>8</v>
      </c>
      <c r="U25" s="1508">
        <f>H25</f>
        <v>100</v>
      </c>
      <c r="V25" s="1507" t="s">
        <v>8</v>
      </c>
      <c r="W25" s="1508">
        <f>J25</f>
        <v>100</v>
      </c>
      <c r="X25" s="1501"/>
      <c r="Y25" s="3665"/>
      <c r="Z25" s="1509" t="str">
        <f>Q25</f>
        <v>区域土地利用方向</v>
      </c>
      <c r="AA25" s="1510">
        <f t="shared" si="3"/>
        <v>1</v>
      </c>
      <c r="AB25" s="1510">
        <f t="shared" si="4"/>
        <v>1</v>
      </c>
      <c r="AC25" s="1510">
        <f t="shared" si="5"/>
        <v>1</v>
      </c>
    </row>
    <row r="26" spans="1:29" ht="20.25">
      <c r="A26" s="509"/>
      <c r="B26" s="993"/>
      <c r="C26" s="548" t="s">
        <v>3302</v>
      </c>
      <c r="D26" s="551"/>
      <c r="E26" s="548" t="s">
        <v>3302</v>
      </c>
      <c r="F26" s="549"/>
      <c r="G26" s="548" t="s">
        <v>3302</v>
      </c>
      <c r="H26" s="549"/>
      <c r="I26" s="548" t="s">
        <v>3302</v>
      </c>
      <c r="J26" s="549"/>
      <c r="K26" s="525"/>
      <c r="L26" s="2024"/>
      <c r="M26" s="2014"/>
      <c r="N26" s="2014"/>
      <c r="O26" s="2023"/>
      <c r="P26" s="3665"/>
      <c r="Q26" s="1506"/>
      <c r="R26" s="1507"/>
      <c r="S26" s="1508"/>
      <c r="T26" s="1507"/>
      <c r="U26" s="1508"/>
      <c r="V26" s="1507"/>
      <c r="W26" s="1508"/>
      <c r="X26" s="1501"/>
      <c r="Y26" s="3665"/>
      <c r="Z26" s="1509"/>
      <c r="AA26" s="1510"/>
      <c r="AB26" s="1510"/>
      <c r="AC26" s="1510"/>
    </row>
    <row r="27" spans="1:29" ht="27">
      <c r="A27" s="509"/>
      <c r="B27" s="572" t="s">
        <v>539</v>
      </c>
      <c r="C27" s="555" t="str">
        <f>估价对象房地状况!C20</f>
        <v>一般</v>
      </c>
      <c r="D27" s="557">
        <v>100</v>
      </c>
      <c r="E27" s="558"/>
      <c r="F27" s="553">
        <f>SUMIF(100:100,E28,101:101)-SUMIF(100:100,C28,101:101)+100</f>
        <v>102</v>
      </c>
      <c r="G27" s="556"/>
      <c r="H27" s="553">
        <f>SUMIF(100:100,G28,101:101)-SUMIF(100:100,C28,101:101)+100</f>
        <v>102</v>
      </c>
      <c r="I27" s="558"/>
      <c r="J27" s="553">
        <f>SUMIF(100:100,I28,101:101)-SUMIF(100:100,C28,101:101)+100</f>
        <v>102</v>
      </c>
      <c r="K27" s="529">
        <v>2</v>
      </c>
      <c r="L27" s="2024"/>
      <c r="M27" s="2014"/>
      <c r="N27" s="2014"/>
      <c r="O27" s="2023"/>
      <c r="P27" s="3665"/>
      <c r="Q27" s="1506" t="str">
        <f t="shared" si="8"/>
        <v>自然及人文环境状况</v>
      </c>
      <c r="R27" s="1507" t="s">
        <v>8</v>
      </c>
      <c r="S27" s="1508">
        <f>F27</f>
        <v>102</v>
      </c>
      <c r="T27" s="1507" t="s">
        <v>8</v>
      </c>
      <c r="U27" s="1508">
        <f>H27</f>
        <v>102</v>
      </c>
      <c r="V27" s="1507" t="s">
        <v>8</v>
      </c>
      <c r="W27" s="1508">
        <f>J27</f>
        <v>102</v>
      </c>
      <c r="X27" s="1501"/>
      <c r="Y27" s="3665"/>
      <c r="Z27" s="1509" t="str">
        <f>Q27</f>
        <v>自然及人文环境状况</v>
      </c>
      <c r="AA27" s="1510">
        <f t="shared" si="3"/>
        <v>0.98039215686274506</v>
      </c>
      <c r="AB27" s="1510">
        <f t="shared" si="4"/>
        <v>0.98039215686274506</v>
      </c>
      <c r="AC27" s="1510">
        <f t="shared" si="5"/>
        <v>0.98039215686274506</v>
      </c>
    </row>
    <row r="28" spans="1:29" ht="20.25">
      <c r="A28" s="509"/>
      <c r="B28" s="560"/>
      <c r="C28" s="548" t="s">
        <v>3301</v>
      </c>
      <c r="D28" s="551"/>
      <c r="E28" s="548" t="s">
        <v>3302</v>
      </c>
      <c r="F28" s="549"/>
      <c r="G28" s="548" t="s">
        <v>3302</v>
      </c>
      <c r="H28" s="549"/>
      <c r="I28" s="548" t="s">
        <v>3302</v>
      </c>
      <c r="J28" s="549"/>
      <c r="K28" s="525"/>
      <c r="L28" s="2024"/>
      <c r="M28" s="2014"/>
      <c r="N28" s="2014"/>
      <c r="O28" s="2023"/>
      <c r="P28" s="3665"/>
      <c r="Q28" s="1506"/>
      <c r="R28" s="1507"/>
      <c r="S28" s="1508"/>
      <c r="T28" s="1507"/>
      <c r="U28" s="1508"/>
      <c r="V28" s="1507"/>
      <c r="W28" s="1508"/>
      <c r="X28" s="1501"/>
      <c r="Y28" s="3665"/>
      <c r="Z28" s="1509"/>
      <c r="AA28" s="1510">
        <v>1</v>
      </c>
      <c r="AB28" s="1510">
        <v>1</v>
      </c>
      <c r="AC28" s="1510">
        <v>1</v>
      </c>
    </row>
    <row r="29" spans="1:29" s="1202" customFormat="1" ht="20.25">
      <c r="A29" s="571"/>
      <c r="B29" s="2435" t="s">
        <v>2529</v>
      </c>
      <c r="C29" s="567" t="str">
        <f>估价对象房地状况!C21</f>
        <v>一般</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665"/>
      <c r="Q29" s="1133" t="str">
        <f t="shared" si="8"/>
        <v>公共配套设施</v>
      </c>
      <c r="R29" s="1502" t="s">
        <v>8</v>
      </c>
      <c r="S29" s="1503">
        <f>F29</f>
        <v>100</v>
      </c>
      <c r="T29" s="1502" t="s">
        <v>8</v>
      </c>
      <c r="U29" s="1503">
        <f>H29</f>
        <v>100</v>
      </c>
      <c r="V29" s="1502" t="s">
        <v>8</v>
      </c>
      <c r="W29" s="1503">
        <f>J29</f>
        <v>100</v>
      </c>
      <c r="X29" s="1504"/>
      <c r="Y29" s="3665"/>
      <c r="Z29" s="1132" t="str">
        <f>Q29</f>
        <v>公共配套设施</v>
      </c>
      <c r="AA29" s="1510">
        <f>D29/F29</f>
        <v>1</v>
      </c>
      <c r="AB29" s="1510">
        <f>D29/H29</f>
        <v>1</v>
      </c>
      <c r="AC29" s="1510">
        <f>D29/J29</f>
        <v>1</v>
      </c>
    </row>
    <row r="30" spans="1:29" s="1202" customFormat="1" ht="20.25">
      <c r="A30" s="571"/>
      <c r="B30" s="560"/>
      <c r="C30" s="548" t="s">
        <v>3301</v>
      </c>
      <c r="D30" s="551"/>
      <c r="E30" s="548" t="s">
        <v>3301</v>
      </c>
      <c r="F30" s="549"/>
      <c r="G30" s="548" t="s">
        <v>3301</v>
      </c>
      <c r="H30" s="549"/>
      <c r="I30" s="548" t="s">
        <v>3301</v>
      </c>
      <c r="J30" s="549"/>
      <c r="K30" s="525"/>
      <c r="L30" s="2017"/>
      <c r="M30" s="2014"/>
      <c r="N30" s="2014"/>
      <c r="O30" s="2019"/>
      <c r="P30" s="3665"/>
      <c r="Q30" s="1133"/>
      <c r="R30" s="1502"/>
      <c r="S30" s="1503"/>
      <c r="T30" s="1502"/>
      <c r="U30" s="1503"/>
      <c r="V30" s="1502"/>
      <c r="W30" s="1503"/>
      <c r="X30" s="1504"/>
      <c r="Y30" s="3665"/>
      <c r="Z30" s="1132"/>
      <c r="AA30" s="1510">
        <v>1</v>
      </c>
      <c r="AB30" s="1510">
        <v>1</v>
      </c>
      <c r="AC30" s="1510">
        <v>1</v>
      </c>
    </row>
    <row r="31" spans="1:29" s="1202" customFormat="1" ht="20.25">
      <c r="A31" s="571"/>
      <c r="B31" s="2435" t="s">
        <v>2530</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7"/>
      <c r="M31" s="2014"/>
      <c r="N31" s="2014"/>
      <c r="O31" s="2019"/>
      <c r="P31" s="3665"/>
      <c r="Q31" s="2428" t="str">
        <f t="shared" ref="Q31" si="9">B31</f>
        <v>基础设施水平</v>
      </c>
      <c r="R31" s="1502" t="s">
        <v>8</v>
      </c>
      <c r="S31" s="1503">
        <f>F31</f>
        <v>100</v>
      </c>
      <c r="T31" s="1502" t="s">
        <v>8</v>
      </c>
      <c r="U31" s="1503">
        <f>H31</f>
        <v>100</v>
      </c>
      <c r="V31" s="1502" t="s">
        <v>8</v>
      </c>
      <c r="W31" s="1503">
        <f>J31</f>
        <v>100</v>
      </c>
      <c r="X31" s="1504"/>
      <c r="Y31" s="3665"/>
      <c r="Z31" s="2427" t="str">
        <f>Q31</f>
        <v>基础设施水平</v>
      </c>
      <c r="AA31" s="1510">
        <f>D31/F31</f>
        <v>1</v>
      </c>
      <c r="AB31" s="1510">
        <f>D31/H31</f>
        <v>1</v>
      </c>
      <c r="AC31" s="1510">
        <f>D31/J31</f>
        <v>1</v>
      </c>
    </row>
    <row r="32" spans="1:29" s="1202" customFormat="1" ht="20.25">
      <c r="A32" s="571"/>
      <c r="B32" s="560"/>
      <c r="C32" s="573" t="s">
        <v>3303</v>
      </c>
      <c r="D32" s="551"/>
      <c r="E32" s="573" t="s">
        <v>3303</v>
      </c>
      <c r="F32" s="549"/>
      <c r="G32" s="573" t="s">
        <v>3303</v>
      </c>
      <c r="H32" s="549"/>
      <c r="I32" s="573" t="s">
        <v>3303</v>
      </c>
      <c r="J32" s="549"/>
      <c r="K32" s="525"/>
      <c r="L32" s="2017"/>
      <c r="M32" s="2014"/>
      <c r="N32" s="2014"/>
      <c r="O32" s="2019"/>
      <c r="P32" s="3665"/>
      <c r="Q32" s="2428"/>
      <c r="R32" s="1502"/>
      <c r="S32" s="1503"/>
      <c r="T32" s="1502"/>
      <c r="U32" s="1503"/>
      <c r="V32" s="1502"/>
      <c r="W32" s="1503"/>
      <c r="X32" s="1504"/>
      <c r="Y32" s="3665"/>
      <c r="Z32" s="2427"/>
      <c r="AA32" s="1510">
        <v>1</v>
      </c>
      <c r="AB32" s="1510">
        <v>1</v>
      </c>
      <c r="AC32" s="1510">
        <v>1</v>
      </c>
    </row>
    <row r="33" spans="1:29" ht="20.25">
      <c r="A33" s="526"/>
      <c r="B33" s="560" t="s">
        <v>541</v>
      </c>
      <c r="C33" s="574" t="s">
        <v>3341</v>
      </c>
      <c r="D33" s="569">
        <v>100</v>
      </c>
      <c r="E33" s="574" t="s">
        <v>3341</v>
      </c>
      <c r="F33" s="534">
        <f>SUMIF(106:106,E33,107:107)-SUMIF(106:106,C33,107:107)+100</f>
        <v>100</v>
      </c>
      <c r="G33" s="574" t="s">
        <v>3341</v>
      </c>
      <c r="H33" s="534">
        <f>SUMIF(106:106,G33,107:107)-SUMIF(106:106,C33,107:107)+100</f>
        <v>100</v>
      </c>
      <c r="I33" s="574" t="s">
        <v>3341</v>
      </c>
      <c r="J33" s="534">
        <f>SUMIF(106:106,I33,107:107)-SUMIF(106:106,C33,107:107)+100</f>
        <v>100</v>
      </c>
      <c r="K33" s="529">
        <v>1</v>
      </c>
      <c r="L33" s="2024"/>
      <c r="M33" s="2014"/>
      <c r="N33" s="2014"/>
      <c r="O33" s="2023"/>
      <c r="P33" s="3665"/>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665"/>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4"/>
      <c r="M34" s="2014"/>
      <c r="N34" s="2014"/>
      <c r="O34" s="2023"/>
      <c r="P34" s="3665"/>
      <c r="Q34" s="1506" t="str">
        <f t="shared" si="8"/>
        <v>毗邻道路的类型与等级</v>
      </c>
      <c r="R34" s="1507" t="s">
        <v>8</v>
      </c>
      <c r="S34" s="1508">
        <f t="shared" si="10"/>
        <v>100</v>
      </c>
      <c r="T34" s="1507" t="s">
        <v>8</v>
      </c>
      <c r="U34" s="1508">
        <f t="shared" si="11"/>
        <v>100</v>
      </c>
      <c r="V34" s="1507" t="s">
        <v>8</v>
      </c>
      <c r="W34" s="1508">
        <f t="shared" si="12"/>
        <v>100</v>
      </c>
      <c r="X34" s="1501"/>
      <c r="Y34" s="3665"/>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665"/>
      <c r="Q35" s="1506"/>
      <c r="R35" s="1507"/>
      <c r="S35" s="1508"/>
      <c r="T35" s="1507"/>
      <c r="U35" s="1508"/>
      <c r="V35" s="1507"/>
      <c r="W35" s="1508"/>
      <c r="X35" s="1501"/>
      <c r="Y35" s="3665"/>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665"/>
      <c r="Q36" s="1506" t="str">
        <f t="shared" si="8"/>
        <v>土地级别</v>
      </c>
      <c r="R36" s="1507" t="s">
        <v>8</v>
      </c>
      <c r="S36" s="1508">
        <f t="shared" si="10"/>
        <v>100</v>
      </c>
      <c r="T36" s="1507" t="s">
        <v>8</v>
      </c>
      <c r="U36" s="1508">
        <f t="shared" si="11"/>
        <v>100</v>
      </c>
      <c r="V36" s="1507" t="s">
        <v>8</v>
      </c>
      <c r="W36" s="1508">
        <f t="shared" si="12"/>
        <v>100</v>
      </c>
      <c r="X36" s="1501"/>
      <c r="Y36" s="3665"/>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665"/>
      <c r="Q37" s="1506">
        <f t="shared" si="8"/>
        <v>111</v>
      </c>
      <c r="R37" s="1507" t="s">
        <v>8</v>
      </c>
      <c r="S37" s="1508">
        <f t="shared" si="10"/>
        <v>100</v>
      </c>
      <c r="T37" s="1507" t="s">
        <v>8</v>
      </c>
      <c r="U37" s="1508">
        <f t="shared" si="11"/>
        <v>100</v>
      </c>
      <c r="V37" s="1507" t="s">
        <v>8</v>
      </c>
      <c r="W37" s="1508">
        <f t="shared" si="12"/>
        <v>100</v>
      </c>
      <c r="X37" s="1501"/>
      <c r="Y37" s="3665"/>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666" t="s">
        <v>544</v>
      </c>
      <c r="Q38" s="1506">
        <f t="shared" si="8"/>
        <v>111</v>
      </c>
      <c r="R38" s="1507" t="s">
        <v>8</v>
      </c>
      <c r="S38" s="1508">
        <f t="shared" si="10"/>
        <v>100</v>
      </c>
      <c r="T38" s="1507" t="s">
        <v>8</v>
      </c>
      <c r="U38" s="1508">
        <f t="shared" si="11"/>
        <v>100</v>
      </c>
      <c r="V38" s="1507" t="s">
        <v>8</v>
      </c>
      <c r="W38" s="1508">
        <f t="shared" si="12"/>
        <v>100</v>
      </c>
      <c r="X38" s="1501"/>
      <c r="Y38" s="3667"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667"/>
      <c r="Q39" s="1506">
        <f t="shared" si="8"/>
        <v>111</v>
      </c>
      <c r="R39" s="1511" t="s">
        <v>8</v>
      </c>
      <c r="S39" s="1512">
        <f t="shared" si="10"/>
        <v>100</v>
      </c>
      <c r="T39" s="1511" t="s">
        <v>8</v>
      </c>
      <c r="U39" s="1512">
        <f t="shared" si="11"/>
        <v>100</v>
      </c>
      <c r="V39" s="1511" t="s">
        <v>8</v>
      </c>
      <c r="W39" s="1512">
        <f t="shared" si="12"/>
        <v>100</v>
      </c>
      <c r="X39" s="1513"/>
      <c r="Y39" s="3667"/>
      <c r="Z39" s="1514">
        <f t="shared" si="13"/>
        <v>111</v>
      </c>
      <c r="AA39" s="1510">
        <f t="shared" si="3"/>
        <v>1</v>
      </c>
      <c r="AB39" s="1510">
        <f t="shared" si="4"/>
        <v>1</v>
      </c>
      <c r="AC39" s="1510">
        <f t="shared" si="5"/>
        <v>1</v>
      </c>
    </row>
    <row r="40" spans="1:29" ht="20.25">
      <c r="A40" s="2624" t="s">
        <v>2735</v>
      </c>
      <c r="B40" s="589" t="s">
        <v>546</v>
      </c>
      <c r="C40" s="590">
        <f>'数据-基础表'!A3</f>
        <v>64712.52</v>
      </c>
      <c r="D40" s="591">
        <v>100</v>
      </c>
      <c r="E40" s="590">
        <f>土地案例!D45</f>
        <v>62578.68</v>
      </c>
      <c r="F40" s="591">
        <f>LOOKUP(E40,119:119,120:120)-LOOKUP(C40,119:119,120:120)+100</f>
        <v>100</v>
      </c>
      <c r="G40" s="590">
        <f>土地案例!D58</f>
        <v>64219.97</v>
      </c>
      <c r="H40" s="591">
        <f>LOOKUP(G40,119:119,120:120)-LOOKUP(C40,119:119,120:120)+100</f>
        <v>100</v>
      </c>
      <c r="I40" s="592">
        <f>土地案例!D67</f>
        <v>17388.64</v>
      </c>
      <c r="J40" s="591">
        <f>LOOKUP(I40,119:119,120:120)-LOOKUP(C40,119:119,120:120)+100</f>
        <v>98</v>
      </c>
      <c r="K40" s="575"/>
      <c r="L40" s="2024"/>
      <c r="M40" s="2014"/>
      <c r="N40" s="2014"/>
      <c r="O40" s="2023"/>
      <c r="P40" s="3667"/>
      <c r="Q40" s="1506" t="str">
        <f>B40</f>
        <v>宗地面积</v>
      </c>
      <c r="R40" s="1507" t="s">
        <v>8</v>
      </c>
      <c r="S40" s="1508">
        <f t="shared" si="10"/>
        <v>100</v>
      </c>
      <c r="T40" s="1507" t="s">
        <v>8</v>
      </c>
      <c r="U40" s="1508">
        <f t="shared" si="11"/>
        <v>100</v>
      </c>
      <c r="V40" s="1507" t="s">
        <v>8</v>
      </c>
      <c r="W40" s="1508">
        <f t="shared" si="12"/>
        <v>98</v>
      </c>
      <c r="X40" s="1501"/>
      <c r="Y40" s="3667"/>
      <c r="Z40" s="1509" t="str">
        <f t="shared" si="13"/>
        <v>宗地面积</v>
      </c>
      <c r="AA40" s="1510">
        <f t="shared" si="3"/>
        <v>1</v>
      </c>
      <c r="AB40" s="1510">
        <f t="shared" si="4"/>
        <v>1</v>
      </c>
      <c r="AC40" s="1510">
        <f t="shared" si="5"/>
        <v>1.0204081632653061</v>
      </c>
    </row>
    <row r="41" spans="1:29" ht="20.25">
      <c r="A41" s="588"/>
      <c r="B41" s="521" t="s">
        <v>547</v>
      </c>
      <c r="C41" s="593" t="s">
        <v>3305</v>
      </c>
      <c r="D41" s="534">
        <v>100</v>
      </c>
      <c r="E41" s="593" t="s">
        <v>3305</v>
      </c>
      <c r="F41" s="534">
        <f>SUMIF(121:121,E41,122:122)-SUMIF(121:121,C41,122:122)+100</f>
        <v>100</v>
      </c>
      <c r="G41" s="593" t="s">
        <v>3305</v>
      </c>
      <c r="H41" s="534">
        <f>SUMIF(121:121,G41,122:122)-SUMIF(121:121,C41,122:122)+100</f>
        <v>100</v>
      </c>
      <c r="I41" s="593" t="s">
        <v>3305</v>
      </c>
      <c r="J41" s="534">
        <f>SUMIF(121:121,I41,122:122)-SUMIF(121:121,C41,122:122)+100</f>
        <v>100</v>
      </c>
      <c r="K41" s="578">
        <v>2</v>
      </c>
      <c r="L41" s="2024"/>
      <c r="M41" s="2014"/>
      <c r="N41" s="2014"/>
      <c r="O41" s="2023"/>
      <c r="P41" s="3667"/>
      <c r="Q41" s="1506" t="str">
        <f t="shared" ref="Q41:Q47" si="14">B41</f>
        <v>宗地形状</v>
      </c>
      <c r="R41" s="1507" t="s">
        <v>8</v>
      </c>
      <c r="S41" s="1508">
        <f t="shared" si="10"/>
        <v>100</v>
      </c>
      <c r="T41" s="1507" t="s">
        <v>8</v>
      </c>
      <c r="U41" s="1508">
        <f t="shared" si="11"/>
        <v>100</v>
      </c>
      <c r="V41" s="1507" t="s">
        <v>8</v>
      </c>
      <c r="W41" s="1508">
        <f t="shared" si="12"/>
        <v>100</v>
      </c>
      <c r="X41" s="1501"/>
      <c r="Y41" s="3667"/>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667"/>
      <c r="Q42" s="1506" t="str">
        <f t="shared" si="14"/>
        <v>临街宽度及深度</v>
      </c>
      <c r="R42" s="1507" t="s">
        <v>8</v>
      </c>
      <c r="S42" s="1508">
        <f t="shared" si="10"/>
        <v>100</v>
      </c>
      <c r="T42" s="1507" t="s">
        <v>8</v>
      </c>
      <c r="U42" s="1508">
        <f t="shared" si="11"/>
        <v>100</v>
      </c>
      <c r="V42" s="1507" t="s">
        <v>8</v>
      </c>
      <c r="W42" s="1508">
        <f t="shared" si="12"/>
        <v>100</v>
      </c>
      <c r="X42" s="1501"/>
      <c r="Y42" s="3667"/>
      <c r="Z42" s="1509" t="str">
        <f t="shared" si="13"/>
        <v>临街宽度及深度</v>
      </c>
      <c r="AA42" s="1510">
        <f t="shared" si="3"/>
        <v>1</v>
      </c>
      <c r="AB42" s="1510">
        <f t="shared" si="4"/>
        <v>1</v>
      </c>
      <c r="AC42" s="1510">
        <f t="shared" si="5"/>
        <v>1</v>
      </c>
    </row>
    <row r="43" spans="1:29" s="1202" customFormat="1" ht="20.25">
      <c r="A43" s="594"/>
      <c r="B43" s="1809" t="s">
        <v>2408</v>
      </c>
      <c r="C43" s="595" t="s">
        <v>3342</v>
      </c>
      <c r="D43" s="253">
        <v>100</v>
      </c>
      <c r="E43" s="595" t="s">
        <v>3342</v>
      </c>
      <c r="F43" s="534">
        <f>SUMIF(125:125,E43,126:126)-SUMIF(125:125,C43,126:126)+100</f>
        <v>100</v>
      </c>
      <c r="G43" s="595" t="s">
        <v>3342</v>
      </c>
      <c r="H43" s="534">
        <f>SUMIF(125:125,G43,126:126)-SUMIF(125:125,C43,126:126)+100</f>
        <v>100</v>
      </c>
      <c r="I43" s="595" t="s">
        <v>3342</v>
      </c>
      <c r="J43" s="534">
        <f>SUMIF(125:125,I43,126:126)-SUMIF(125:125,C43,126:126)+100</f>
        <v>100</v>
      </c>
      <c r="K43" s="578">
        <v>1</v>
      </c>
      <c r="L43" s="2017"/>
      <c r="M43" s="2014"/>
      <c r="N43" s="2014"/>
      <c r="O43" s="2019"/>
      <c r="P43" s="3667"/>
      <c r="Q43" s="1506" t="str">
        <f t="shared" si="14"/>
        <v>宗地开发程度</v>
      </c>
      <c r="R43" s="1502" t="s">
        <v>8</v>
      </c>
      <c r="S43" s="1503">
        <f t="shared" si="10"/>
        <v>100</v>
      </c>
      <c r="T43" s="1502" t="s">
        <v>8</v>
      </c>
      <c r="U43" s="1503">
        <f t="shared" si="11"/>
        <v>100</v>
      </c>
      <c r="V43" s="1502" t="s">
        <v>8</v>
      </c>
      <c r="W43" s="1503">
        <f t="shared" si="12"/>
        <v>100</v>
      </c>
      <c r="X43" s="1504"/>
      <c r="Y43" s="3667"/>
      <c r="Z43" s="1132" t="str">
        <f t="shared" si="13"/>
        <v>宗地开发程度</v>
      </c>
      <c r="AA43" s="1505">
        <f t="shared" si="3"/>
        <v>1</v>
      </c>
      <c r="AB43" s="1505">
        <f t="shared" si="4"/>
        <v>1</v>
      </c>
      <c r="AC43" s="1505">
        <f t="shared" si="5"/>
        <v>1</v>
      </c>
    </row>
    <row r="44" spans="1:29" ht="20.25">
      <c r="A44" s="588"/>
      <c r="B44" s="521" t="s">
        <v>549</v>
      </c>
      <c r="C44" s="593" t="s">
        <v>3302</v>
      </c>
      <c r="D44" s="534">
        <v>100</v>
      </c>
      <c r="E44" s="593" t="s">
        <v>3302</v>
      </c>
      <c r="F44" s="534">
        <f>SUMIF(127:127,E44,128:128)-SUMIF(127:127,C44,128:128)+100</f>
        <v>100</v>
      </c>
      <c r="G44" s="593" t="s">
        <v>3302</v>
      </c>
      <c r="H44" s="534">
        <f>SUMIF(127:127,G44,128:128)-SUMIF(127:127,C44,128:128)+100</f>
        <v>100</v>
      </c>
      <c r="I44" s="593" t="s">
        <v>3302</v>
      </c>
      <c r="J44" s="534">
        <f>SUMIF(127:127,I44,128:128)-SUMIF(127:127,C44,128:128)+100</f>
        <v>100</v>
      </c>
      <c r="K44" s="578">
        <v>2</v>
      </c>
      <c r="L44" s="2024"/>
      <c r="M44" s="2014"/>
      <c r="N44" s="2014"/>
      <c r="O44" s="2023"/>
      <c r="P44" s="3667" t="s">
        <v>544</v>
      </c>
      <c r="Q44" s="1506" t="str">
        <f t="shared" si="14"/>
        <v>工程地质条件</v>
      </c>
      <c r="R44" s="1507" t="s">
        <v>8</v>
      </c>
      <c r="S44" s="1508">
        <f t="shared" si="10"/>
        <v>100</v>
      </c>
      <c r="T44" s="1507" t="s">
        <v>8</v>
      </c>
      <c r="U44" s="1508">
        <f t="shared" si="11"/>
        <v>100</v>
      </c>
      <c r="V44" s="1507" t="s">
        <v>8</v>
      </c>
      <c r="W44" s="1508">
        <f t="shared" si="12"/>
        <v>100</v>
      </c>
      <c r="X44" s="1501"/>
      <c r="Y44" s="3667"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667"/>
      <c r="Q45" s="1506">
        <f t="shared" si="14"/>
        <v>111</v>
      </c>
      <c r="R45" s="1507" t="s">
        <v>8</v>
      </c>
      <c r="S45" s="1508">
        <f t="shared" si="10"/>
        <v>100</v>
      </c>
      <c r="T45" s="1507" t="s">
        <v>8</v>
      </c>
      <c r="U45" s="1508">
        <f t="shared" si="11"/>
        <v>100</v>
      </c>
      <c r="V45" s="1507" t="s">
        <v>8</v>
      </c>
      <c r="W45" s="1508">
        <f t="shared" si="12"/>
        <v>100</v>
      </c>
      <c r="X45" s="1501"/>
      <c r="Y45" s="3667"/>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667"/>
      <c r="Q46" s="1506">
        <f t="shared" si="14"/>
        <v>111</v>
      </c>
      <c r="R46" s="1507" t="s">
        <v>8</v>
      </c>
      <c r="S46" s="1508">
        <f t="shared" si="10"/>
        <v>100</v>
      </c>
      <c r="T46" s="1507" t="s">
        <v>8</v>
      </c>
      <c r="U46" s="1508">
        <f t="shared" si="11"/>
        <v>100</v>
      </c>
      <c r="V46" s="1507" t="s">
        <v>8</v>
      </c>
      <c r="W46" s="1508">
        <f t="shared" si="12"/>
        <v>100</v>
      </c>
      <c r="X46" s="1501"/>
      <c r="Y46" s="3667"/>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667"/>
      <c r="Q47" s="1506">
        <f t="shared" si="14"/>
        <v>111</v>
      </c>
      <c r="R47" s="1511" t="s">
        <v>8</v>
      </c>
      <c r="S47" s="1512">
        <f t="shared" si="10"/>
        <v>100</v>
      </c>
      <c r="T47" s="1511" t="s">
        <v>8</v>
      </c>
      <c r="U47" s="1512">
        <f t="shared" si="11"/>
        <v>100</v>
      </c>
      <c r="V47" s="1511" t="s">
        <v>8</v>
      </c>
      <c r="W47" s="1512">
        <f t="shared" si="12"/>
        <v>100</v>
      </c>
      <c r="X47" s="1513"/>
      <c r="Y47" s="3667"/>
      <c r="Z47" s="1514">
        <f t="shared" si="13"/>
        <v>111</v>
      </c>
      <c r="AA47" s="1510">
        <f t="shared" si="3"/>
        <v>1</v>
      </c>
      <c r="AB47" s="1510">
        <f t="shared" si="4"/>
        <v>1</v>
      </c>
      <c r="AC47" s="1510">
        <f t="shared" si="5"/>
        <v>1</v>
      </c>
    </row>
    <row r="48" spans="1:29" ht="20.25">
      <c r="A48" s="601" t="s">
        <v>550</v>
      </c>
      <c r="B48" s="602" t="s">
        <v>3310</v>
      </c>
      <c r="C48" s="603" t="s">
        <v>1</v>
      </c>
      <c r="D48" s="604"/>
      <c r="E48" s="605">
        <v>1870</v>
      </c>
      <c r="F48" s="606"/>
      <c r="G48" s="607">
        <v>1877</v>
      </c>
      <c r="H48" s="608"/>
      <c r="I48" s="605">
        <v>2109</v>
      </c>
      <c r="J48" s="608"/>
      <c r="K48" s="1293"/>
      <c r="L48" s="2026"/>
      <c r="M48" s="2014"/>
      <c r="N48" s="2014"/>
      <c r="O48" s="2027"/>
      <c r="P48" s="3630" t="str">
        <f>A48</f>
        <v>成交单价</v>
      </c>
      <c r="Q48" s="3630"/>
      <c r="R48" s="3631">
        <f>E48</f>
        <v>1870</v>
      </c>
      <c r="S48" s="3631"/>
      <c r="T48" s="3631">
        <f>G48</f>
        <v>1877</v>
      </c>
      <c r="U48" s="3631"/>
      <c r="V48" s="3631">
        <f>I48</f>
        <v>2109</v>
      </c>
      <c r="W48" s="3631"/>
      <c r="X48" s="1496"/>
      <c r="Y48" s="1515"/>
      <c r="Z48" s="1496"/>
      <c r="AA48" s="1496"/>
      <c r="AB48" s="1496"/>
      <c r="AC48" s="1496"/>
    </row>
    <row r="49" spans="1:29" ht="21" thickBot="1">
      <c r="A49" s="609" t="s">
        <v>2673</v>
      </c>
      <c r="B49" s="610"/>
      <c r="C49" s="611">
        <f>R50</f>
        <v>1957</v>
      </c>
      <c r="D49" s="3013" t="s">
        <v>2963</v>
      </c>
      <c r="E49" s="611">
        <f>R49</f>
        <v>1834</v>
      </c>
      <c r="F49" s="3014"/>
      <c r="G49" s="612">
        <f>T49</f>
        <v>1870</v>
      </c>
      <c r="H49" s="3014"/>
      <c r="I49" s="611">
        <f>V49</f>
        <v>2166</v>
      </c>
      <c r="J49" s="3014"/>
      <c r="K49" s="3015">
        <f>F49+H49+J49</f>
        <v>0</v>
      </c>
      <c r="L49" s="2026"/>
      <c r="M49" s="2014"/>
      <c r="N49" s="2014"/>
      <c r="O49" s="2027"/>
      <c r="P49" s="3630" t="str">
        <f>A49</f>
        <v>比较价格（元/平方米）</v>
      </c>
      <c r="Q49" s="3630"/>
      <c r="R49" s="3632">
        <f>ROUND(PRODUCT(R48,AA9:AA47),0)</f>
        <v>1834</v>
      </c>
      <c r="S49" s="3632"/>
      <c r="T49" s="3632">
        <f>ROUND(PRODUCT(T48,AB9:AB47),0)</f>
        <v>1870</v>
      </c>
      <c r="U49" s="3632"/>
      <c r="V49" s="3632">
        <f>ROUND(PRODUCT(V48,AC9:AC47),0)</f>
        <v>2166</v>
      </c>
      <c r="W49" s="3632"/>
      <c r="X49" s="1496"/>
      <c r="Y49" s="1496"/>
      <c r="Z49" s="1496"/>
      <c r="AA49" s="1496"/>
      <c r="AB49" s="1496"/>
      <c r="AC49" s="1496"/>
    </row>
    <row r="50" spans="1:29" ht="21" thickBot="1">
      <c r="A50" s="613" t="s">
        <v>2895</v>
      </c>
      <c r="B50" s="614"/>
      <c r="C50" s="615">
        <f>R50</f>
        <v>1957</v>
      </c>
      <c r="D50" s="615"/>
      <c r="E50" s="615"/>
      <c r="F50" s="615"/>
      <c r="G50" s="615"/>
      <c r="H50" s="615"/>
      <c r="I50" s="615"/>
      <c r="J50" s="615"/>
      <c r="K50" s="1294"/>
      <c r="L50" s="2026"/>
      <c r="M50" s="2014"/>
      <c r="N50" s="2014"/>
      <c r="O50" s="2027"/>
      <c r="P50" s="3627" t="str">
        <f>A50</f>
        <v>估价对象XX用房的比较价格（楼面单价，元/平方米）</v>
      </c>
      <c r="Q50" s="3628"/>
      <c r="R50" s="3629">
        <f>ROUND(IF(D49="简单平均",AVERAGE(R49:W49),R49*F49+T49*H49+V49*J49),0)</f>
        <v>1957</v>
      </c>
      <c r="S50" s="3629"/>
      <c r="T50" s="3629"/>
      <c r="U50" s="3629"/>
      <c r="V50" s="3629"/>
      <c r="W50" s="3629"/>
      <c r="X50" s="1496"/>
      <c r="Y50" s="1496"/>
      <c r="Z50" s="1496"/>
      <c r="AA50" s="1496"/>
      <c r="AB50" s="1496"/>
      <c r="AC50" s="1496"/>
    </row>
    <row r="51" spans="1:29" ht="20.25">
      <c r="A51" s="3212"/>
      <c r="B51" s="3212"/>
      <c r="C51" s="3212"/>
      <c r="D51" s="3212"/>
      <c r="E51" s="3212"/>
      <c r="F51" s="3212"/>
      <c r="G51" s="3214"/>
      <c r="H51" s="3212"/>
      <c r="I51" s="3212"/>
      <c r="J51" s="3212"/>
      <c r="K51" s="3215"/>
      <c r="L51" s="2031"/>
      <c r="M51" s="2014"/>
      <c r="N51" s="2014"/>
      <c r="O51" s="2027"/>
      <c r="P51" s="2027"/>
      <c r="Q51" s="2027"/>
      <c r="R51" s="2027"/>
      <c r="S51" s="2027"/>
      <c r="T51" s="2027"/>
      <c r="U51" s="2027"/>
      <c r="V51" s="2027"/>
      <c r="W51" s="2027"/>
      <c r="X51" s="2027"/>
      <c r="Y51" s="2027"/>
      <c r="Z51" s="2027"/>
      <c r="AA51" s="2027"/>
      <c r="AB51" s="2027"/>
      <c r="AC51" s="2027"/>
    </row>
    <row r="52" spans="1:29" ht="20.25">
      <c r="A52" s="3212"/>
      <c r="B52" s="3212"/>
      <c r="C52" s="3212"/>
      <c r="D52" s="3212"/>
      <c r="E52" s="3212"/>
      <c r="F52" s="3212"/>
      <c r="G52" s="3212"/>
      <c r="H52" s="3212"/>
      <c r="I52" s="3212"/>
      <c r="J52" s="3212"/>
      <c r="K52" s="3215"/>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f>IF(E48&lt;E49,E49/E48-1,E48/E49-1)</f>
        <v>1.9629225736095934E-2</v>
      </c>
      <c r="F53" s="619" t="str">
        <f>IF(OR(E53&gt;=0.3,E53&lt;=-0.3),"超过30%","")</f>
        <v/>
      </c>
      <c r="G53" s="618">
        <f>IF(G48&lt;G49,G49/G48-1,G48/G49-1)</f>
        <v>3.7433155080213165E-3</v>
      </c>
      <c r="H53" s="619" t="str">
        <f>IF(OR(G53&gt;=0.3,G53&lt;=-0.3),"超过30%","")</f>
        <v/>
      </c>
      <c r="I53" s="618">
        <f>IF(I48&lt;I49,I49/I48-1,I48/I49-1)</f>
        <v>2.7027027027026973E-2</v>
      </c>
      <c r="J53" s="619" t="str">
        <f>IF(OR(I53&gt;=0.3,I53&lt;=-0.3),"超过30%","")</f>
        <v/>
      </c>
      <c r="K53" s="3215"/>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f>IF(E49&lt;G49,G49/E49-1,E49/G49-1)</f>
        <v>1.9629225736095934E-2</v>
      </c>
      <c r="F54" s="619" t="str">
        <f>IF(OR(E54&gt;=0.2,E54&lt;=-0.2),"超过20%","")</f>
        <v/>
      </c>
      <c r="G54" s="618">
        <f>IF(G49&lt;I49,I49/G49-1,G49/I49-1)</f>
        <v>0.15828877005347586</v>
      </c>
      <c r="H54" s="619" t="str">
        <f>IF(OR(G54&gt;=0.2,G54&lt;=-0.2),"超过20%","")</f>
        <v/>
      </c>
      <c r="I54" s="618">
        <f>IF(I49&lt;E49,E49/I49-1,I49/E49-1)</f>
        <v>0.18102508178844046</v>
      </c>
      <c r="J54" s="619" t="str">
        <f>IF(OR(I54&gt;=0.2,I54&lt;=-0.2),"超过20%","")</f>
        <v/>
      </c>
      <c r="K54" s="3215"/>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3"/>
      <c r="B55" s="3213"/>
      <c r="C55" s="616" t="s">
        <v>553</v>
      </c>
      <c r="D55" s="620"/>
      <c r="E55" s="618">
        <f>IF(E48&lt;G48,G48/E48-1,E48/G48-1)</f>
        <v>3.7433155080213165E-3</v>
      </c>
      <c r="F55" s="619" t="str">
        <f>IF(OR(E55&gt;=0.3,E55&lt;=-0.3),"超过30%","")</f>
        <v/>
      </c>
      <c r="G55" s="618">
        <f>IF(G48&lt;I48,I48/G48-1,G48/I48-1)</f>
        <v>0.12360149174214174</v>
      </c>
      <c r="H55" s="619" t="str">
        <f>IF(OR(G55&gt;=0.3,G55&lt;=-0.3),"超过30%","")</f>
        <v/>
      </c>
      <c r="I55" s="618">
        <f>IF(I48&lt;E48,E48/I48-1,I48/E48-1)</f>
        <v>0.12780748663101593</v>
      </c>
      <c r="J55" s="619" t="str">
        <f>IF(OR(I55&gt;=0.3,I55&lt;=-0.3),"超过30%","")</f>
        <v/>
      </c>
      <c r="K55" s="3216"/>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6"/>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656" t="s">
        <v>2268</v>
      </c>
      <c r="H57" s="3657"/>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1957</v>
      </c>
      <c r="C58" s="627">
        <v>1</v>
      </c>
      <c r="D58" s="2108">
        <v>1</v>
      </c>
      <c r="E58" s="627">
        <f>'数据-汇总表'!E8+'数据-汇总表'!E9</f>
        <v>161781.29999999999</v>
      </c>
      <c r="F58" s="628">
        <f t="shared" ref="F58:F67" si="15">ROUND(B58*E58/10000,0)</f>
        <v>31661</v>
      </c>
      <c r="G58" s="3658"/>
      <c r="H58" s="3659"/>
      <c r="I58" s="1494">
        <v>1</v>
      </c>
      <c r="J58" s="1494">
        <v>1</v>
      </c>
      <c r="K58" s="3217"/>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660" t="s">
        <v>2269</v>
      </c>
      <c r="H59" s="1862">
        <f>项目基本情况!B43</f>
        <v>0</v>
      </c>
      <c r="I59" s="1494">
        <f>SUMIF(修正!$A$45:$A$56,H59,修正!B45:B56)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660"/>
      <c r="H60" s="1862">
        <f>项目基本情况!B43</f>
        <v>0</v>
      </c>
      <c r="I60" s="1494">
        <f>SUMIF(修正!$A$45:$A$56,H60,修正!C45:C56)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660"/>
      <c r="H61" s="1862">
        <f>项目基本情况!B43</f>
        <v>0</v>
      </c>
      <c r="I61" s="1494">
        <f>SUMIF(修正!$A$45:$A$56,H61,修正!D45:D56)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660"/>
      <c r="H62" s="1862">
        <f>项目基本情况!B43</f>
        <v>0</v>
      </c>
      <c r="I62" s="1494">
        <f>SUMIF(修正!$A$45:$A$56,H62,修正!E45:E56)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7"/>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7"/>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56623.46</v>
      </c>
      <c r="F65" s="628">
        <f t="shared" si="15"/>
        <v>0</v>
      </c>
      <c r="G65" s="1860" t="s">
        <v>913</v>
      </c>
      <c r="H65" s="1858">
        <f>IF(G65="商业",项目基本情况!B43,IF(G65="办公",项目基本情况!C43,IF(G65="住宅",项目基本情况!D43,项目基本情况!E43)))</f>
        <v>0</v>
      </c>
      <c r="I65" s="1494">
        <f>SUMIF(修正!$A$45:$A$56,H65,修正!H45:H56)</f>
        <v>0</v>
      </c>
      <c r="J65" s="1495"/>
      <c r="K65" s="3217"/>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7"/>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7"/>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218404.75999999998</v>
      </c>
      <c r="F68" s="636">
        <f>IF(B48="楼面地价",SUM(F58:F67),ROUND(C50*E68/10000,0))</f>
        <v>31661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2020-11-1</v>
      </c>
      <c r="D70" s="2516">
        <f>EDATE(C70,-3)</f>
        <v>44044</v>
      </c>
      <c r="E70" s="2516">
        <f t="shared" ref="E70:N70" si="18">EDATE(D70,-3)</f>
        <v>43952</v>
      </c>
      <c r="F70" s="2516">
        <f t="shared" si="18"/>
        <v>43862</v>
      </c>
      <c r="G70" s="2516">
        <f t="shared" si="18"/>
        <v>43770</v>
      </c>
      <c r="H70" s="2516">
        <f t="shared" si="18"/>
        <v>43678</v>
      </c>
      <c r="I70" s="2516">
        <f t="shared" si="18"/>
        <v>43586</v>
      </c>
      <c r="J70" s="2516">
        <f t="shared" si="18"/>
        <v>43497</v>
      </c>
      <c r="K70" s="2516">
        <f t="shared" si="18"/>
        <v>43405</v>
      </c>
      <c r="L70" s="2516">
        <f t="shared" si="18"/>
        <v>43313</v>
      </c>
      <c r="M70" s="2516">
        <f t="shared" si="18"/>
        <v>43221</v>
      </c>
      <c r="N70" s="2516">
        <f t="shared" si="18"/>
        <v>43132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北京市平均增长率1.73%</v>
      </c>
      <c r="C73" s="882">
        <v>100</v>
      </c>
      <c r="D73" s="3425">
        <f>C73-$C$74</f>
        <v>99.5</v>
      </c>
      <c r="E73" s="3425">
        <f t="shared" ref="E73:N73" si="20">D73-$C$74</f>
        <v>99</v>
      </c>
      <c r="F73" s="3425">
        <f t="shared" si="20"/>
        <v>98.5</v>
      </c>
      <c r="G73" s="3425">
        <f t="shared" si="20"/>
        <v>98</v>
      </c>
      <c r="H73" s="3425">
        <f t="shared" si="20"/>
        <v>97.5</v>
      </c>
      <c r="I73" s="3425">
        <f t="shared" si="20"/>
        <v>97</v>
      </c>
      <c r="J73" s="3425">
        <f t="shared" si="20"/>
        <v>96.5</v>
      </c>
      <c r="K73" s="3425">
        <f t="shared" si="20"/>
        <v>96</v>
      </c>
      <c r="L73" s="3425">
        <f t="shared" si="20"/>
        <v>95.5</v>
      </c>
      <c r="M73" s="3425">
        <f t="shared" si="20"/>
        <v>95</v>
      </c>
      <c r="N73" s="3425">
        <f t="shared" si="20"/>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v>0.5</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426" t="s">
        <v>3300</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0.5</v>
      </c>
      <c r="E82" s="535">
        <v>1</v>
      </c>
      <c r="F82" s="535">
        <v>1.5</v>
      </c>
      <c r="G82" s="535">
        <v>2</v>
      </c>
      <c r="H82" s="535">
        <v>2.5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2">IF($B$48="单位面积地价",D83+$K13,D83-$K13)</f>
        <v>98</v>
      </c>
      <c r="F83" s="671">
        <f t="shared" si="22"/>
        <v>97</v>
      </c>
      <c r="G83" s="671">
        <f t="shared" si="22"/>
        <v>96</v>
      </c>
      <c r="H83" s="671">
        <f t="shared" si="22"/>
        <v>95</v>
      </c>
      <c r="I83" s="671">
        <f t="shared" si="22"/>
        <v>94</v>
      </c>
      <c r="J83" s="671">
        <f t="shared" si="22"/>
        <v>93</v>
      </c>
      <c r="K83" s="671">
        <f t="shared" si="22"/>
        <v>92</v>
      </c>
      <c r="L83" s="671">
        <f t="shared" si="22"/>
        <v>91</v>
      </c>
      <c r="M83" s="671">
        <f t="shared" si="22"/>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98</v>
      </c>
      <c r="E93" s="671">
        <f>D93-$K19</f>
        <v>96</v>
      </c>
      <c r="F93" s="671">
        <f>E93-$K19</f>
        <v>94</v>
      </c>
      <c r="G93" s="671">
        <f>F93-$K19</f>
        <v>92</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99</v>
      </c>
      <c r="E107" s="671">
        <f t="shared" ref="E107:M107" si="23">D107-$K33</f>
        <v>98</v>
      </c>
      <c r="F107" s="671">
        <f t="shared" si="23"/>
        <v>97</v>
      </c>
      <c r="G107" s="671">
        <f t="shared" si="23"/>
        <v>96</v>
      </c>
      <c r="H107" s="671">
        <f t="shared" si="23"/>
        <v>95</v>
      </c>
      <c r="I107" s="671">
        <f t="shared" si="23"/>
        <v>94</v>
      </c>
      <c r="J107" s="671">
        <f t="shared" si="23"/>
        <v>93</v>
      </c>
      <c r="K107" s="671">
        <f t="shared" si="23"/>
        <v>92</v>
      </c>
      <c r="L107" s="671">
        <f t="shared" si="23"/>
        <v>91</v>
      </c>
      <c r="M107" s="671">
        <f t="shared" si="23"/>
        <v>90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428" t="s">
        <v>3336</v>
      </c>
      <c r="D108" s="3428" t="s">
        <v>3337</v>
      </c>
      <c r="E108" s="3428" t="s">
        <v>3338</v>
      </c>
      <c r="F108" s="3428" t="s">
        <v>3339</v>
      </c>
      <c r="G108" s="3428" t="s">
        <v>3340</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98</v>
      </c>
      <c r="E109" s="671">
        <f t="shared" ref="E109:M109" si="24">D109-$K34</f>
        <v>96</v>
      </c>
      <c r="F109" s="671">
        <f t="shared" si="24"/>
        <v>94</v>
      </c>
      <c r="G109" s="671">
        <f t="shared" si="24"/>
        <v>92</v>
      </c>
      <c r="H109" s="671">
        <f t="shared" si="24"/>
        <v>90</v>
      </c>
      <c r="I109" s="671">
        <f t="shared" si="24"/>
        <v>88</v>
      </c>
      <c r="J109" s="671">
        <f t="shared" si="24"/>
        <v>86</v>
      </c>
      <c r="K109" s="671">
        <f t="shared" si="24"/>
        <v>84</v>
      </c>
      <c r="L109" s="671">
        <f t="shared" si="24"/>
        <v>82</v>
      </c>
      <c r="M109" s="671">
        <f t="shared" si="24"/>
        <v>80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30000</v>
      </c>
      <c r="E119" s="722">
        <v>60000</v>
      </c>
      <c r="F119" s="722">
        <v>90000</v>
      </c>
      <c r="G119" s="722">
        <v>120000</v>
      </c>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427" t="s">
        <v>3304</v>
      </c>
      <c r="D121" s="3427" t="s">
        <v>3306</v>
      </c>
      <c r="E121" s="3427" t="s">
        <v>3307</v>
      </c>
      <c r="F121" s="3427" t="s">
        <v>3308</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t="s">
        <v>3343</v>
      </c>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428" t="s">
        <v>3309</v>
      </c>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98</v>
      </c>
      <c r="E128" s="671">
        <f t="shared" si="30"/>
        <v>96</v>
      </c>
      <c r="F128" s="671">
        <f t="shared" si="30"/>
        <v>94</v>
      </c>
      <c r="G128" s="671">
        <f t="shared" si="30"/>
        <v>92</v>
      </c>
      <c r="H128" s="671">
        <f t="shared" si="30"/>
        <v>90</v>
      </c>
      <c r="I128" s="671">
        <f t="shared" si="30"/>
        <v>88</v>
      </c>
      <c r="J128" s="671">
        <f t="shared" si="30"/>
        <v>86</v>
      </c>
      <c r="K128" s="671">
        <f t="shared" si="30"/>
        <v>84</v>
      </c>
      <c r="L128" s="671">
        <f t="shared" si="30"/>
        <v>82</v>
      </c>
      <c r="M128" s="672">
        <f t="shared" si="30"/>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80"/>
  <sheetViews>
    <sheetView topLeftCell="E34" zoomScaleNormal="100" workbookViewId="0">
      <selection activeCell="M17" sqref="M17"/>
    </sheetView>
  </sheetViews>
  <sheetFormatPr defaultRowHeight="12.75"/>
  <cols>
    <col min="1" max="1" width="18.25" style="3436" customWidth="1"/>
    <col min="2" max="2" width="6.25" style="3436" customWidth="1"/>
    <col min="3" max="3" width="9.25" style="3436" customWidth="1"/>
    <col min="4" max="4" width="11.625" style="3436" customWidth="1"/>
    <col min="5" max="5" width="12.5" style="3436" customWidth="1"/>
    <col min="6" max="6" width="19.125" style="3436" customWidth="1"/>
    <col min="7" max="7" width="7.875" style="3436" customWidth="1"/>
    <col min="8" max="8" width="11" style="3436" customWidth="1"/>
    <col min="9" max="10" width="9" style="3436" customWidth="1"/>
    <col min="11" max="12" width="10.625" style="3436" customWidth="1"/>
    <col min="13" max="14" width="14.375" style="3436" customWidth="1"/>
    <col min="15" max="15" width="6.25" style="3436" customWidth="1"/>
    <col min="16" max="16" width="27.75" style="3436" customWidth="1"/>
    <col min="17" max="17" width="7.875" style="3436" customWidth="1"/>
    <col min="18" max="257" width="9" style="3436"/>
    <col min="258" max="258" width="51.5" style="3436" customWidth="1"/>
    <col min="259" max="259" width="6.25" style="3436" customWidth="1"/>
    <col min="260" max="262" width="13.875" style="3436" customWidth="1"/>
    <col min="263" max="263" width="19.125" style="3436" customWidth="1"/>
    <col min="264" max="264" width="7.875" style="3436" customWidth="1"/>
    <col min="265" max="265" width="21.625" style="3436" customWidth="1"/>
    <col min="266" max="267" width="9" style="3436" customWidth="1"/>
    <col min="268" max="269" width="10.625" style="3436" customWidth="1"/>
    <col min="270" max="270" width="14.375" style="3436" customWidth="1"/>
    <col min="271" max="271" width="6.25" style="3436" customWidth="1"/>
    <col min="272" max="272" width="27.75" style="3436" customWidth="1"/>
    <col min="273" max="273" width="7.875" style="3436" customWidth="1"/>
    <col min="274" max="513" width="9" style="3436"/>
    <col min="514" max="514" width="51.5" style="3436" customWidth="1"/>
    <col min="515" max="515" width="6.25" style="3436" customWidth="1"/>
    <col min="516" max="518" width="13.875" style="3436" customWidth="1"/>
    <col min="519" max="519" width="19.125" style="3436" customWidth="1"/>
    <col min="520" max="520" width="7.875" style="3436" customWidth="1"/>
    <col min="521" max="521" width="21.625" style="3436" customWidth="1"/>
    <col min="522" max="523" width="9" style="3436" customWidth="1"/>
    <col min="524" max="525" width="10.625" style="3436" customWidth="1"/>
    <col min="526" max="526" width="14.375" style="3436" customWidth="1"/>
    <col min="527" max="527" width="6.25" style="3436" customWidth="1"/>
    <col min="528" max="528" width="27.75" style="3436" customWidth="1"/>
    <col min="529" max="529" width="7.875" style="3436" customWidth="1"/>
    <col min="530" max="769" width="9" style="3436"/>
    <col min="770" max="770" width="51.5" style="3436" customWidth="1"/>
    <col min="771" max="771" width="6.25" style="3436" customWidth="1"/>
    <col min="772" max="774" width="13.875" style="3436" customWidth="1"/>
    <col min="775" max="775" width="19.125" style="3436" customWidth="1"/>
    <col min="776" max="776" width="7.875" style="3436" customWidth="1"/>
    <col min="777" max="777" width="21.625" style="3436" customWidth="1"/>
    <col min="778" max="779" width="9" style="3436" customWidth="1"/>
    <col min="780" max="781" width="10.625" style="3436" customWidth="1"/>
    <col min="782" max="782" width="14.375" style="3436" customWidth="1"/>
    <col min="783" max="783" width="6.25" style="3436" customWidth="1"/>
    <col min="784" max="784" width="27.75" style="3436" customWidth="1"/>
    <col min="785" max="785" width="7.875" style="3436" customWidth="1"/>
    <col min="786" max="1025" width="9" style="3436"/>
    <col min="1026" max="1026" width="51.5" style="3436" customWidth="1"/>
    <col min="1027" max="1027" width="6.25" style="3436" customWidth="1"/>
    <col min="1028" max="1030" width="13.875" style="3436" customWidth="1"/>
    <col min="1031" max="1031" width="19.125" style="3436" customWidth="1"/>
    <col min="1032" max="1032" width="7.875" style="3436" customWidth="1"/>
    <col min="1033" max="1033" width="21.625" style="3436" customWidth="1"/>
    <col min="1034" max="1035" width="9" style="3436" customWidth="1"/>
    <col min="1036" max="1037" width="10.625" style="3436" customWidth="1"/>
    <col min="1038" max="1038" width="14.375" style="3436" customWidth="1"/>
    <col min="1039" max="1039" width="6.25" style="3436" customWidth="1"/>
    <col min="1040" max="1040" width="27.75" style="3436" customWidth="1"/>
    <col min="1041" max="1041" width="7.875" style="3436" customWidth="1"/>
    <col min="1042" max="1281" width="9" style="3436"/>
    <col min="1282" max="1282" width="51.5" style="3436" customWidth="1"/>
    <col min="1283" max="1283" width="6.25" style="3436" customWidth="1"/>
    <col min="1284" max="1286" width="13.875" style="3436" customWidth="1"/>
    <col min="1287" max="1287" width="19.125" style="3436" customWidth="1"/>
    <col min="1288" max="1288" width="7.875" style="3436" customWidth="1"/>
    <col min="1289" max="1289" width="21.625" style="3436" customWidth="1"/>
    <col min="1290" max="1291" width="9" style="3436" customWidth="1"/>
    <col min="1292" max="1293" width="10.625" style="3436" customWidth="1"/>
    <col min="1294" max="1294" width="14.375" style="3436" customWidth="1"/>
    <col min="1295" max="1295" width="6.25" style="3436" customWidth="1"/>
    <col min="1296" max="1296" width="27.75" style="3436" customWidth="1"/>
    <col min="1297" max="1297" width="7.875" style="3436" customWidth="1"/>
    <col min="1298" max="1537" width="9" style="3436"/>
    <col min="1538" max="1538" width="51.5" style="3436" customWidth="1"/>
    <col min="1539" max="1539" width="6.25" style="3436" customWidth="1"/>
    <col min="1540" max="1542" width="13.875" style="3436" customWidth="1"/>
    <col min="1543" max="1543" width="19.125" style="3436" customWidth="1"/>
    <col min="1544" max="1544" width="7.875" style="3436" customWidth="1"/>
    <col min="1545" max="1545" width="21.625" style="3436" customWidth="1"/>
    <col min="1546" max="1547" width="9" style="3436" customWidth="1"/>
    <col min="1548" max="1549" width="10.625" style="3436" customWidth="1"/>
    <col min="1550" max="1550" width="14.375" style="3436" customWidth="1"/>
    <col min="1551" max="1551" width="6.25" style="3436" customWidth="1"/>
    <col min="1552" max="1552" width="27.75" style="3436" customWidth="1"/>
    <col min="1553" max="1553" width="7.875" style="3436" customWidth="1"/>
    <col min="1554" max="1793" width="9" style="3436"/>
    <col min="1794" max="1794" width="51.5" style="3436" customWidth="1"/>
    <col min="1795" max="1795" width="6.25" style="3436" customWidth="1"/>
    <col min="1796" max="1798" width="13.875" style="3436" customWidth="1"/>
    <col min="1799" max="1799" width="19.125" style="3436" customWidth="1"/>
    <col min="1800" max="1800" width="7.875" style="3436" customWidth="1"/>
    <col min="1801" max="1801" width="21.625" style="3436" customWidth="1"/>
    <col min="1802" max="1803" width="9" style="3436" customWidth="1"/>
    <col min="1804" max="1805" width="10.625" style="3436" customWidth="1"/>
    <col min="1806" max="1806" width="14.375" style="3436" customWidth="1"/>
    <col min="1807" max="1807" width="6.25" style="3436" customWidth="1"/>
    <col min="1808" max="1808" width="27.75" style="3436" customWidth="1"/>
    <col min="1809" max="1809" width="7.875" style="3436" customWidth="1"/>
    <col min="1810" max="2049" width="9" style="3436"/>
    <col min="2050" max="2050" width="51.5" style="3436" customWidth="1"/>
    <col min="2051" max="2051" width="6.25" style="3436" customWidth="1"/>
    <col min="2052" max="2054" width="13.875" style="3436" customWidth="1"/>
    <col min="2055" max="2055" width="19.125" style="3436" customWidth="1"/>
    <col min="2056" max="2056" width="7.875" style="3436" customWidth="1"/>
    <col min="2057" max="2057" width="21.625" style="3436" customWidth="1"/>
    <col min="2058" max="2059" width="9" style="3436" customWidth="1"/>
    <col min="2060" max="2061" width="10.625" style="3436" customWidth="1"/>
    <col min="2062" max="2062" width="14.375" style="3436" customWidth="1"/>
    <col min="2063" max="2063" width="6.25" style="3436" customWidth="1"/>
    <col min="2064" max="2064" width="27.75" style="3436" customWidth="1"/>
    <col min="2065" max="2065" width="7.875" style="3436" customWidth="1"/>
    <col min="2066" max="2305" width="9" style="3436"/>
    <col min="2306" max="2306" width="51.5" style="3436" customWidth="1"/>
    <col min="2307" max="2307" width="6.25" style="3436" customWidth="1"/>
    <col min="2308" max="2310" width="13.875" style="3436" customWidth="1"/>
    <col min="2311" max="2311" width="19.125" style="3436" customWidth="1"/>
    <col min="2312" max="2312" width="7.875" style="3436" customWidth="1"/>
    <col min="2313" max="2313" width="21.625" style="3436" customWidth="1"/>
    <col min="2314" max="2315" width="9" style="3436" customWidth="1"/>
    <col min="2316" max="2317" width="10.625" style="3436" customWidth="1"/>
    <col min="2318" max="2318" width="14.375" style="3436" customWidth="1"/>
    <col min="2319" max="2319" width="6.25" style="3436" customWidth="1"/>
    <col min="2320" max="2320" width="27.75" style="3436" customWidth="1"/>
    <col min="2321" max="2321" width="7.875" style="3436" customWidth="1"/>
    <col min="2322" max="2561" width="9" style="3436"/>
    <col min="2562" max="2562" width="51.5" style="3436" customWidth="1"/>
    <col min="2563" max="2563" width="6.25" style="3436" customWidth="1"/>
    <col min="2564" max="2566" width="13.875" style="3436" customWidth="1"/>
    <col min="2567" max="2567" width="19.125" style="3436" customWidth="1"/>
    <col min="2568" max="2568" width="7.875" style="3436" customWidth="1"/>
    <col min="2569" max="2569" width="21.625" style="3436" customWidth="1"/>
    <col min="2570" max="2571" width="9" style="3436" customWidth="1"/>
    <col min="2572" max="2573" width="10.625" style="3436" customWidth="1"/>
    <col min="2574" max="2574" width="14.375" style="3436" customWidth="1"/>
    <col min="2575" max="2575" width="6.25" style="3436" customWidth="1"/>
    <col min="2576" max="2576" width="27.75" style="3436" customWidth="1"/>
    <col min="2577" max="2577" width="7.875" style="3436" customWidth="1"/>
    <col min="2578" max="2817" width="9" style="3436"/>
    <col min="2818" max="2818" width="51.5" style="3436" customWidth="1"/>
    <col min="2819" max="2819" width="6.25" style="3436" customWidth="1"/>
    <col min="2820" max="2822" width="13.875" style="3436" customWidth="1"/>
    <col min="2823" max="2823" width="19.125" style="3436" customWidth="1"/>
    <col min="2824" max="2824" width="7.875" style="3436" customWidth="1"/>
    <col min="2825" max="2825" width="21.625" style="3436" customWidth="1"/>
    <col min="2826" max="2827" width="9" style="3436" customWidth="1"/>
    <col min="2828" max="2829" width="10.625" style="3436" customWidth="1"/>
    <col min="2830" max="2830" width="14.375" style="3436" customWidth="1"/>
    <col min="2831" max="2831" width="6.25" style="3436" customWidth="1"/>
    <col min="2832" max="2832" width="27.75" style="3436" customWidth="1"/>
    <col min="2833" max="2833" width="7.875" style="3436" customWidth="1"/>
    <col min="2834" max="3073" width="9" style="3436"/>
    <col min="3074" max="3074" width="51.5" style="3436" customWidth="1"/>
    <col min="3075" max="3075" width="6.25" style="3436" customWidth="1"/>
    <col min="3076" max="3078" width="13.875" style="3436" customWidth="1"/>
    <col min="3079" max="3079" width="19.125" style="3436" customWidth="1"/>
    <col min="3080" max="3080" width="7.875" style="3436" customWidth="1"/>
    <col min="3081" max="3081" width="21.625" style="3436" customWidth="1"/>
    <col min="3082" max="3083" width="9" style="3436" customWidth="1"/>
    <col min="3084" max="3085" width="10.625" style="3436" customWidth="1"/>
    <col min="3086" max="3086" width="14.375" style="3436" customWidth="1"/>
    <col min="3087" max="3087" width="6.25" style="3436" customWidth="1"/>
    <col min="3088" max="3088" width="27.75" style="3436" customWidth="1"/>
    <col min="3089" max="3089" width="7.875" style="3436" customWidth="1"/>
    <col min="3090" max="3329" width="9" style="3436"/>
    <col min="3330" max="3330" width="51.5" style="3436" customWidth="1"/>
    <col min="3331" max="3331" width="6.25" style="3436" customWidth="1"/>
    <col min="3332" max="3334" width="13.875" style="3436" customWidth="1"/>
    <col min="3335" max="3335" width="19.125" style="3436" customWidth="1"/>
    <col min="3336" max="3336" width="7.875" style="3436" customWidth="1"/>
    <col min="3337" max="3337" width="21.625" style="3436" customWidth="1"/>
    <col min="3338" max="3339" width="9" style="3436" customWidth="1"/>
    <col min="3340" max="3341" width="10.625" style="3436" customWidth="1"/>
    <col min="3342" max="3342" width="14.375" style="3436" customWidth="1"/>
    <col min="3343" max="3343" width="6.25" style="3436" customWidth="1"/>
    <col min="3344" max="3344" width="27.75" style="3436" customWidth="1"/>
    <col min="3345" max="3345" width="7.875" style="3436" customWidth="1"/>
    <col min="3346" max="3585" width="9" style="3436"/>
    <col min="3586" max="3586" width="51.5" style="3436" customWidth="1"/>
    <col min="3587" max="3587" width="6.25" style="3436" customWidth="1"/>
    <col min="3588" max="3590" width="13.875" style="3436" customWidth="1"/>
    <col min="3591" max="3591" width="19.125" style="3436" customWidth="1"/>
    <col min="3592" max="3592" width="7.875" style="3436" customWidth="1"/>
    <col min="3593" max="3593" width="21.625" style="3436" customWidth="1"/>
    <col min="3594" max="3595" width="9" style="3436" customWidth="1"/>
    <col min="3596" max="3597" width="10.625" style="3436" customWidth="1"/>
    <col min="3598" max="3598" width="14.375" style="3436" customWidth="1"/>
    <col min="3599" max="3599" width="6.25" style="3436" customWidth="1"/>
    <col min="3600" max="3600" width="27.75" style="3436" customWidth="1"/>
    <col min="3601" max="3601" width="7.875" style="3436" customWidth="1"/>
    <col min="3602" max="3841" width="9" style="3436"/>
    <col min="3842" max="3842" width="51.5" style="3436" customWidth="1"/>
    <col min="3843" max="3843" width="6.25" style="3436" customWidth="1"/>
    <col min="3844" max="3846" width="13.875" style="3436" customWidth="1"/>
    <col min="3847" max="3847" width="19.125" style="3436" customWidth="1"/>
    <col min="3848" max="3848" width="7.875" style="3436" customWidth="1"/>
    <col min="3849" max="3849" width="21.625" style="3436" customWidth="1"/>
    <col min="3850" max="3851" width="9" style="3436" customWidth="1"/>
    <col min="3852" max="3853" width="10.625" style="3436" customWidth="1"/>
    <col min="3854" max="3854" width="14.375" style="3436" customWidth="1"/>
    <col min="3855" max="3855" width="6.25" style="3436" customWidth="1"/>
    <col min="3856" max="3856" width="27.75" style="3436" customWidth="1"/>
    <col min="3857" max="3857" width="7.875" style="3436" customWidth="1"/>
    <col min="3858" max="4097" width="9" style="3436"/>
    <col min="4098" max="4098" width="51.5" style="3436" customWidth="1"/>
    <col min="4099" max="4099" width="6.25" style="3436" customWidth="1"/>
    <col min="4100" max="4102" width="13.875" style="3436" customWidth="1"/>
    <col min="4103" max="4103" width="19.125" style="3436" customWidth="1"/>
    <col min="4104" max="4104" width="7.875" style="3436" customWidth="1"/>
    <col min="4105" max="4105" width="21.625" style="3436" customWidth="1"/>
    <col min="4106" max="4107" width="9" style="3436" customWidth="1"/>
    <col min="4108" max="4109" width="10.625" style="3436" customWidth="1"/>
    <col min="4110" max="4110" width="14.375" style="3436" customWidth="1"/>
    <col min="4111" max="4111" width="6.25" style="3436" customWidth="1"/>
    <col min="4112" max="4112" width="27.75" style="3436" customWidth="1"/>
    <col min="4113" max="4113" width="7.875" style="3436" customWidth="1"/>
    <col min="4114" max="4353" width="9" style="3436"/>
    <col min="4354" max="4354" width="51.5" style="3436" customWidth="1"/>
    <col min="4355" max="4355" width="6.25" style="3436" customWidth="1"/>
    <col min="4356" max="4358" width="13.875" style="3436" customWidth="1"/>
    <col min="4359" max="4359" width="19.125" style="3436" customWidth="1"/>
    <col min="4360" max="4360" width="7.875" style="3436" customWidth="1"/>
    <col min="4361" max="4361" width="21.625" style="3436" customWidth="1"/>
    <col min="4362" max="4363" width="9" style="3436" customWidth="1"/>
    <col min="4364" max="4365" width="10.625" style="3436" customWidth="1"/>
    <col min="4366" max="4366" width="14.375" style="3436" customWidth="1"/>
    <col min="4367" max="4367" width="6.25" style="3436" customWidth="1"/>
    <col min="4368" max="4368" width="27.75" style="3436" customWidth="1"/>
    <col min="4369" max="4369" width="7.875" style="3436" customWidth="1"/>
    <col min="4370" max="4609" width="9" style="3436"/>
    <col min="4610" max="4610" width="51.5" style="3436" customWidth="1"/>
    <col min="4611" max="4611" width="6.25" style="3436" customWidth="1"/>
    <col min="4612" max="4614" width="13.875" style="3436" customWidth="1"/>
    <col min="4615" max="4615" width="19.125" style="3436" customWidth="1"/>
    <col min="4616" max="4616" width="7.875" style="3436" customWidth="1"/>
    <col min="4617" max="4617" width="21.625" style="3436" customWidth="1"/>
    <col min="4618" max="4619" width="9" style="3436" customWidth="1"/>
    <col min="4620" max="4621" width="10.625" style="3436" customWidth="1"/>
    <col min="4622" max="4622" width="14.375" style="3436" customWidth="1"/>
    <col min="4623" max="4623" width="6.25" style="3436" customWidth="1"/>
    <col min="4624" max="4624" width="27.75" style="3436" customWidth="1"/>
    <col min="4625" max="4625" width="7.875" style="3436" customWidth="1"/>
    <col min="4626" max="4865" width="9" style="3436"/>
    <col min="4866" max="4866" width="51.5" style="3436" customWidth="1"/>
    <col min="4867" max="4867" width="6.25" style="3436" customWidth="1"/>
    <col min="4868" max="4870" width="13.875" style="3436" customWidth="1"/>
    <col min="4871" max="4871" width="19.125" style="3436" customWidth="1"/>
    <col min="4872" max="4872" width="7.875" style="3436" customWidth="1"/>
    <col min="4873" max="4873" width="21.625" style="3436" customWidth="1"/>
    <col min="4874" max="4875" width="9" style="3436" customWidth="1"/>
    <col min="4876" max="4877" width="10.625" style="3436" customWidth="1"/>
    <col min="4878" max="4878" width="14.375" style="3436" customWidth="1"/>
    <col min="4879" max="4879" width="6.25" style="3436" customWidth="1"/>
    <col min="4880" max="4880" width="27.75" style="3436" customWidth="1"/>
    <col min="4881" max="4881" width="7.875" style="3436" customWidth="1"/>
    <col min="4882" max="5121" width="9" style="3436"/>
    <col min="5122" max="5122" width="51.5" style="3436" customWidth="1"/>
    <col min="5123" max="5123" width="6.25" style="3436" customWidth="1"/>
    <col min="5124" max="5126" width="13.875" style="3436" customWidth="1"/>
    <col min="5127" max="5127" width="19.125" style="3436" customWidth="1"/>
    <col min="5128" max="5128" width="7.875" style="3436" customWidth="1"/>
    <col min="5129" max="5129" width="21.625" style="3436" customWidth="1"/>
    <col min="5130" max="5131" width="9" style="3436" customWidth="1"/>
    <col min="5132" max="5133" width="10.625" style="3436" customWidth="1"/>
    <col min="5134" max="5134" width="14.375" style="3436" customWidth="1"/>
    <col min="5135" max="5135" width="6.25" style="3436" customWidth="1"/>
    <col min="5136" max="5136" width="27.75" style="3436" customWidth="1"/>
    <col min="5137" max="5137" width="7.875" style="3436" customWidth="1"/>
    <col min="5138" max="5377" width="9" style="3436"/>
    <col min="5378" max="5378" width="51.5" style="3436" customWidth="1"/>
    <col min="5379" max="5379" width="6.25" style="3436" customWidth="1"/>
    <col min="5380" max="5382" width="13.875" style="3436" customWidth="1"/>
    <col min="5383" max="5383" width="19.125" style="3436" customWidth="1"/>
    <col min="5384" max="5384" width="7.875" style="3436" customWidth="1"/>
    <col min="5385" max="5385" width="21.625" style="3436" customWidth="1"/>
    <col min="5386" max="5387" width="9" style="3436" customWidth="1"/>
    <col min="5388" max="5389" width="10.625" style="3436" customWidth="1"/>
    <col min="5390" max="5390" width="14.375" style="3436" customWidth="1"/>
    <col min="5391" max="5391" width="6.25" style="3436" customWidth="1"/>
    <col min="5392" max="5392" width="27.75" style="3436" customWidth="1"/>
    <col min="5393" max="5393" width="7.875" style="3436" customWidth="1"/>
    <col min="5394" max="5633" width="9" style="3436"/>
    <col min="5634" max="5634" width="51.5" style="3436" customWidth="1"/>
    <col min="5635" max="5635" width="6.25" style="3436" customWidth="1"/>
    <col min="5636" max="5638" width="13.875" style="3436" customWidth="1"/>
    <col min="5639" max="5639" width="19.125" style="3436" customWidth="1"/>
    <col min="5640" max="5640" width="7.875" style="3436" customWidth="1"/>
    <col min="5641" max="5641" width="21.625" style="3436" customWidth="1"/>
    <col min="5642" max="5643" width="9" style="3436" customWidth="1"/>
    <col min="5644" max="5645" width="10.625" style="3436" customWidth="1"/>
    <col min="5646" max="5646" width="14.375" style="3436" customWidth="1"/>
    <col min="5647" max="5647" width="6.25" style="3436" customWidth="1"/>
    <col min="5648" max="5648" width="27.75" style="3436" customWidth="1"/>
    <col min="5649" max="5649" width="7.875" style="3436" customWidth="1"/>
    <col min="5650" max="5889" width="9" style="3436"/>
    <col min="5890" max="5890" width="51.5" style="3436" customWidth="1"/>
    <col min="5891" max="5891" width="6.25" style="3436" customWidth="1"/>
    <col min="5892" max="5894" width="13.875" style="3436" customWidth="1"/>
    <col min="5895" max="5895" width="19.125" style="3436" customWidth="1"/>
    <col min="5896" max="5896" width="7.875" style="3436" customWidth="1"/>
    <col min="5897" max="5897" width="21.625" style="3436" customWidth="1"/>
    <col min="5898" max="5899" width="9" style="3436" customWidth="1"/>
    <col min="5900" max="5901" width="10.625" style="3436" customWidth="1"/>
    <col min="5902" max="5902" width="14.375" style="3436" customWidth="1"/>
    <col min="5903" max="5903" width="6.25" style="3436" customWidth="1"/>
    <col min="5904" max="5904" width="27.75" style="3436" customWidth="1"/>
    <col min="5905" max="5905" width="7.875" style="3436" customWidth="1"/>
    <col min="5906" max="6145" width="9" style="3436"/>
    <col min="6146" max="6146" width="51.5" style="3436" customWidth="1"/>
    <col min="6147" max="6147" width="6.25" style="3436" customWidth="1"/>
    <col min="6148" max="6150" width="13.875" style="3436" customWidth="1"/>
    <col min="6151" max="6151" width="19.125" style="3436" customWidth="1"/>
    <col min="6152" max="6152" width="7.875" style="3436" customWidth="1"/>
    <col min="6153" max="6153" width="21.625" style="3436" customWidth="1"/>
    <col min="6154" max="6155" width="9" style="3436" customWidth="1"/>
    <col min="6156" max="6157" width="10.625" style="3436" customWidth="1"/>
    <col min="6158" max="6158" width="14.375" style="3436" customWidth="1"/>
    <col min="6159" max="6159" width="6.25" style="3436" customWidth="1"/>
    <col min="6160" max="6160" width="27.75" style="3436" customWidth="1"/>
    <col min="6161" max="6161" width="7.875" style="3436" customWidth="1"/>
    <col min="6162" max="6401" width="9" style="3436"/>
    <col min="6402" max="6402" width="51.5" style="3436" customWidth="1"/>
    <col min="6403" max="6403" width="6.25" style="3436" customWidth="1"/>
    <col min="6404" max="6406" width="13.875" style="3436" customWidth="1"/>
    <col min="6407" max="6407" width="19.125" style="3436" customWidth="1"/>
    <col min="6408" max="6408" width="7.875" style="3436" customWidth="1"/>
    <col min="6409" max="6409" width="21.625" style="3436" customWidth="1"/>
    <col min="6410" max="6411" width="9" style="3436" customWidth="1"/>
    <col min="6412" max="6413" width="10.625" style="3436" customWidth="1"/>
    <col min="6414" max="6414" width="14.375" style="3436" customWidth="1"/>
    <col min="6415" max="6415" width="6.25" style="3436" customWidth="1"/>
    <col min="6416" max="6416" width="27.75" style="3436" customWidth="1"/>
    <col min="6417" max="6417" width="7.875" style="3436" customWidth="1"/>
    <col min="6418" max="6657" width="9" style="3436"/>
    <col min="6658" max="6658" width="51.5" style="3436" customWidth="1"/>
    <col min="6659" max="6659" width="6.25" style="3436" customWidth="1"/>
    <col min="6660" max="6662" width="13.875" style="3436" customWidth="1"/>
    <col min="6663" max="6663" width="19.125" style="3436" customWidth="1"/>
    <col min="6664" max="6664" width="7.875" style="3436" customWidth="1"/>
    <col min="6665" max="6665" width="21.625" style="3436" customWidth="1"/>
    <col min="6666" max="6667" width="9" style="3436" customWidth="1"/>
    <col min="6668" max="6669" width="10.625" style="3436" customWidth="1"/>
    <col min="6670" max="6670" width="14.375" style="3436" customWidth="1"/>
    <col min="6671" max="6671" width="6.25" style="3436" customWidth="1"/>
    <col min="6672" max="6672" width="27.75" style="3436" customWidth="1"/>
    <col min="6673" max="6673" width="7.875" style="3436" customWidth="1"/>
    <col min="6674" max="6913" width="9" style="3436"/>
    <col min="6914" max="6914" width="51.5" style="3436" customWidth="1"/>
    <col min="6915" max="6915" width="6.25" style="3436" customWidth="1"/>
    <col min="6916" max="6918" width="13.875" style="3436" customWidth="1"/>
    <col min="6919" max="6919" width="19.125" style="3436" customWidth="1"/>
    <col min="6920" max="6920" width="7.875" style="3436" customWidth="1"/>
    <col min="6921" max="6921" width="21.625" style="3436" customWidth="1"/>
    <col min="6922" max="6923" width="9" style="3436" customWidth="1"/>
    <col min="6924" max="6925" width="10.625" style="3436" customWidth="1"/>
    <col min="6926" max="6926" width="14.375" style="3436" customWidth="1"/>
    <col min="6927" max="6927" width="6.25" style="3436" customWidth="1"/>
    <col min="6928" max="6928" width="27.75" style="3436" customWidth="1"/>
    <col min="6929" max="6929" width="7.875" style="3436" customWidth="1"/>
    <col min="6930" max="7169" width="9" style="3436"/>
    <col min="7170" max="7170" width="51.5" style="3436" customWidth="1"/>
    <col min="7171" max="7171" width="6.25" style="3436" customWidth="1"/>
    <col min="7172" max="7174" width="13.875" style="3436" customWidth="1"/>
    <col min="7175" max="7175" width="19.125" style="3436" customWidth="1"/>
    <col min="7176" max="7176" width="7.875" style="3436" customWidth="1"/>
    <col min="7177" max="7177" width="21.625" style="3436" customWidth="1"/>
    <col min="7178" max="7179" width="9" style="3436" customWidth="1"/>
    <col min="7180" max="7181" width="10.625" style="3436" customWidth="1"/>
    <col min="7182" max="7182" width="14.375" style="3436" customWidth="1"/>
    <col min="7183" max="7183" width="6.25" style="3436" customWidth="1"/>
    <col min="7184" max="7184" width="27.75" style="3436" customWidth="1"/>
    <col min="7185" max="7185" width="7.875" style="3436" customWidth="1"/>
    <col min="7186" max="7425" width="9" style="3436"/>
    <col min="7426" max="7426" width="51.5" style="3436" customWidth="1"/>
    <col min="7427" max="7427" width="6.25" style="3436" customWidth="1"/>
    <col min="7428" max="7430" width="13.875" style="3436" customWidth="1"/>
    <col min="7431" max="7431" width="19.125" style="3436" customWidth="1"/>
    <col min="7432" max="7432" width="7.875" style="3436" customWidth="1"/>
    <col min="7433" max="7433" width="21.625" style="3436" customWidth="1"/>
    <col min="7434" max="7435" width="9" style="3436" customWidth="1"/>
    <col min="7436" max="7437" width="10.625" style="3436" customWidth="1"/>
    <col min="7438" max="7438" width="14.375" style="3436" customWidth="1"/>
    <col min="7439" max="7439" width="6.25" style="3436" customWidth="1"/>
    <col min="7440" max="7440" width="27.75" style="3436" customWidth="1"/>
    <col min="7441" max="7441" width="7.875" style="3436" customWidth="1"/>
    <col min="7442" max="7681" width="9" style="3436"/>
    <col min="7682" max="7682" width="51.5" style="3436" customWidth="1"/>
    <col min="7683" max="7683" width="6.25" style="3436" customWidth="1"/>
    <col min="7684" max="7686" width="13.875" style="3436" customWidth="1"/>
    <col min="7687" max="7687" width="19.125" style="3436" customWidth="1"/>
    <col min="7688" max="7688" width="7.875" style="3436" customWidth="1"/>
    <col min="7689" max="7689" width="21.625" style="3436" customWidth="1"/>
    <col min="7690" max="7691" width="9" style="3436" customWidth="1"/>
    <col min="7692" max="7693" width="10.625" style="3436" customWidth="1"/>
    <col min="7694" max="7694" width="14.375" style="3436" customWidth="1"/>
    <col min="7695" max="7695" width="6.25" style="3436" customWidth="1"/>
    <col min="7696" max="7696" width="27.75" style="3436" customWidth="1"/>
    <col min="7697" max="7697" width="7.875" style="3436" customWidth="1"/>
    <col min="7698" max="7937" width="9" style="3436"/>
    <col min="7938" max="7938" width="51.5" style="3436" customWidth="1"/>
    <col min="7939" max="7939" width="6.25" style="3436" customWidth="1"/>
    <col min="7940" max="7942" width="13.875" style="3436" customWidth="1"/>
    <col min="7943" max="7943" width="19.125" style="3436" customWidth="1"/>
    <col min="7944" max="7944" width="7.875" style="3436" customWidth="1"/>
    <col min="7945" max="7945" width="21.625" style="3436" customWidth="1"/>
    <col min="7946" max="7947" width="9" style="3436" customWidth="1"/>
    <col min="7948" max="7949" width="10.625" style="3436" customWidth="1"/>
    <col min="7950" max="7950" width="14.375" style="3436" customWidth="1"/>
    <col min="7951" max="7951" width="6.25" style="3436" customWidth="1"/>
    <col min="7952" max="7952" width="27.75" style="3436" customWidth="1"/>
    <col min="7953" max="7953" width="7.875" style="3436" customWidth="1"/>
    <col min="7954" max="8193" width="9" style="3436"/>
    <col min="8194" max="8194" width="51.5" style="3436" customWidth="1"/>
    <col min="8195" max="8195" width="6.25" style="3436" customWidth="1"/>
    <col min="8196" max="8198" width="13.875" style="3436" customWidth="1"/>
    <col min="8199" max="8199" width="19.125" style="3436" customWidth="1"/>
    <col min="8200" max="8200" width="7.875" style="3436" customWidth="1"/>
    <col min="8201" max="8201" width="21.625" style="3436" customWidth="1"/>
    <col min="8202" max="8203" width="9" style="3436" customWidth="1"/>
    <col min="8204" max="8205" width="10.625" style="3436" customWidth="1"/>
    <col min="8206" max="8206" width="14.375" style="3436" customWidth="1"/>
    <col min="8207" max="8207" width="6.25" style="3436" customWidth="1"/>
    <col min="8208" max="8208" width="27.75" style="3436" customWidth="1"/>
    <col min="8209" max="8209" width="7.875" style="3436" customWidth="1"/>
    <col min="8210" max="8449" width="9" style="3436"/>
    <col min="8450" max="8450" width="51.5" style="3436" customWidth="1"/>
    <col min="8451" max="8451" width="6.25" style="3436" customWidth="1"/>
    <col min="8452" max="8454" width="13.875" style="3436" customWidth="1"/>
    <col min="8455" max="8455" width="19.125" style="3436" customWidth="1"/>
    <col min="8456" max="8456" width="7.875" style="3436" customWidth="1"/>
    <col min="8457" max="8457" width="21.625" style="3436" customWidth="1"/>
    <col min="8458" max="8459" width="9" style="3436" customWidth="1"/>
    <col min="8460" max="8461" width="10.625" style="3436" customWidth="1"/>
    <col min="8462" max="8462" width="14.375" style="3436" customWidth="1"/>
    <col min="8463" max="8463" width="6.25" style="3436" customWidth="1"/>
    <col min="8464" max="8464" width="27.75" style="3436" customWidth="1"/>
    <col min="8465" max="8465" width="7.875" style="3436" customWidth="1"/>
    <col min="8466" max="8705" width="9" style="3436"/>
    <col min="8706" max="8706" width="51.5" style="3436" customWidth="1"/>
    <col min="8707" max="8707" width="6.25" style="3436" customWidth="1"/>
    <col min="8708" max="8710" width="13.875" style="3436" customWidth="1"/>
    <col min="8711" max="8711" width="19.125" style="3436" customWidth="1"/>
    <col min="8712" max="8712" width="7.875" style="3436" customWidth="1"/>
    <col min="8713" max="8713" width="21.625" style="3436" customWidth="1"/>
    <col min="8714" max="8715" width="9" style="3436" customWidth="1"/>
    <col min="8716" max="8717" width="10.625" style="3436" customWidth="1"/>
    <col min="8718" max="8718" width="14.375" style="3436" customWidth="1"/>
    <col min="8719" max="8719" width="6.25" style="3436" customWidth="1"/>
    <col min="8720" max="8720" width="27.75" style="3436" customWidth="1"/>
    <col min="8721" max="8721" width="7.875" style="3436" customWidth="1"/>
    <col min="8722" max="8961" width="9" style="3436"/>
    <col min="8962" max="8962" width="51.5" style="3436" customWidth="1"/>
    <col min="8963" max="8963" width="6.25" style="3436" customWidth="1"/>
    <col min="8964" max="8966" width="13.875" style="3436" customWidth="1"/>
    <col min="8967" max="8967" width="19.125" style="3436" customWidth="1"/>
    <col min="8968" max="8968" width="7.875" style="3436" customWidth="1"/>
    <col min="8969" max="8969" width="21.625" style="3436" customWidth="1"/>
    <col min="8970" max="8971" width="9" style="3436" customWidth="1"/>
    <col min="8972" max="8973" width="10.625" style="3436" customWidth="1"/>
    <col min="8974" max="8974" width="14.375" style="3436" customWidth="1"/>
    <col min="8975" max="8975" width="6.25" style="3436" customWidth="1"/>
    <col min="8976" max="8976" width="27.75" style="3436" customWidth="1"/>
    <col min="8977" max="8977" width="7.875" style="3436" customWidth="1"/>
    <col min="8978" max="9217" width="9" style="3436"/>
    <col min="9218" max="9218" width="51.5" style="3436" customWidth="1"/>
    <col min="9219" max="9219" width="6.25" style="3436" customWidth="1"/>
    <col min="9220" max="9222" width="13.875" style="3436" customWidth="1"/>
    <col min="9223" max="9223" width="19.125" style="3436" customWidth="1"/>
    <col min="9224" max="9224" width="7.875" style="3436" customWidth="1"/>
    <col min="9225" max="9225" width="21.625" style="3436" customWidth="1"/>
    <col min="9226" max="9227" width="9" style="3436" customWidth="1"/>
    <col min="9228" max="9229" width="10.625" style="3436" customWidth="1"/>
    <col min="9230" max="9230" width="14.375" style="3436" customWidth="1"/>
    <col min="9231" max="9231" width="6.25" style="3436" customWidth="1"/>
    <col min="9232" max="9232" width="27.75" style="3436" customWidth="1"/>
    <col min="9233" max="9233" width="7.875" style="3436" customWidth="1"/>
    <col min="9234" max="9473" width="9" style="3436"/>
    <col min="9474" max="9474" width="51.5" style="3436" customWidth="1"/>
    <col min="9475" max="9475" width="6.25" style="3436" customWidth="1"/>
    <col min="9476" max="9478" width="13.875" style="3436" customWidth="1"/>
    <col min="9479" max="9479" width="19.125" style="3436" customWidth="1"/>
    <col min="9480" max="9480" width="7.875" style="3436" customWidth="1"/>
    <col min="9481" max="9481" width="21.625" style="3436" customWidth="1"/>
    <col min="9482" max="9483" width="9" style="3436" customWidth="1"/>
    <col min="9484" max="9485" width="10.625" style="3436" customWidth="1"/>
    <col min="9486" max="9486" width="14.375" style="3436" customWidth="1"/>
    <col min="9487" max="9487" width="6.25" style="3436" customWidth="1"/>
    <col min="9488" max="9488" width="27.75" style="3436" customWidth="1"/>
    <col min="9489" max="9489" width="7.875" style="3436" customWidth="1"/>
    <col min="9490" max="9729" width="9" style="3436"/>
    <col min="9730" max="9730" width="51.5" style="3436" customWidth="1"/>
    <col min="9731" max="9731" width="6.25" style="3436" customWidth="1"/>
    <col min="9732" max="9734" width="13.875" style="3436" customWidth="1"/>
    <col min="9735" max="9735" width="19.125" style="3436" customWidth="1"/>
    <col min="9736" max="9736" width="7.875" style="3436" customWidth="1"/>
    <col min="9737" max="9737" width="21.625" style="3436" customWidth="1"/>
    <col min="9738" max="9739" width="9" style="3436" customWidth="1"/>
    <col min="9740" max="9741" width="10.625" style="3436" customWidth="1"/>
    <col min="9742" max="9742" width="14.375" style="3436" customWidth="1"/>
    <col min="9743" max="9743" width="6.25" style="3436" customWidth="1"/>
    <col min="9744" max="9744" width="27.75" style="3436" customWidth="1"/>
    <col min="9745" max="9745" width="7.875" style="3436" customWidth="1"/>
    <col min="9746" max="9985" width="9" style="3436"/>
    <col min="9986" max="9986" width="51.5" style="3436" customWidth="1"/>
    <col min="9987" max="9987" width="6.25" style="3436" customWidth="1"/>
    <col min="9988" max="9990" width="13.875" style="3436" customWidth="1"/>
    <col min="9991" max="9991" width="19.125" style="3436" customWidth="1"/>
    <col min="9992" max="9992" width="7.875" style="3436" customWidth="1"/>
    <col min="9993" max="9993" width="21.625" style="3436" customWidth="1"/>
    <col min="9994" max="9995" width="9" style="3436" customWidth="1"/>
    <col min="9996" max="9997" width="10.625" style="3436" customWidth="1"/>
    <col min="9998" max="9998" width="14.375" style="3436" customWidth="1"/>
    <col min="9999" max="9999" width="6.25" style="3436" customWidth="1"/>
    <col min="10000" max="10000" width="27.75" style="3436" customWidth="1"/>
    <col min="10001" max="10001" width="7.875" style="3436" customWidth="1"/>
    <col min="10002" max="10241" width="9" style="3436"/>
    <col min="10242" max="10242" width="51.5" style="3436" customWidth="1"/>
    <col min="10243" max="10243" width="6.25" style="3436" customWidth="1"/>
    <col min="10244" max="10246" width="13.875" style="3436" customWidth="1"/>
    <col min="10247" max="10247" width="19.125" style="3436" customWidth="1"/>
    <col min="10248" max="10248" width="7.875" style="3436" customWidth="1"/>
    <col min="10249" max="10249" width="21.625" style="3436" customWidth="1"/>
    <col min="10250" max="10251" width="9" style="3436" customWidth="1"/>
    <col min="10252" max="10253" width="10.625" style="3436" customWidth="1"/>
    <col min="10254" max="10254" width="14.375" style="3436" customWidth="1"/>
    <col min="10255" max="10255" width="6.25" style="3436" customWidth="1"/>
    <col min="10256" max="10256" width="27.75" style="3436" customWidth="1"/>
    <col min="10257" max="10257" width="7.875" style="3436" customWidth="1"/>
    <col min="10258" max="10497" width="9" style="3436"/>
    <col min="10498" max="10498" width="51.5" style="3436" customWidth="1"/>
    <col min="10499" max="10499" width="6.25" style="3436" customWidth="1"/>
    <col min="10500" max="10502" width="13.875" style="3436" customWidth="1"/>
    <col min="10503" max="10503" width="19.125" style="3436" customWidth="1"/>
    <col min="10504" max="10504" width="7.875" style="3436" customWidth="1"/>
    <col min="10505" max="10505" width="21.625" style="3436" customWidth="1"/>
    <col min="10506" max="10507" width="9" style="3436" customWidth="1"/>
    <col min="10508" max="10509" width="10.625" style="3436" customWidth="1"/>
    <col min="10510" max="10510" width="14.375" style="3436" customWidth="1"/>
    <col min="10511" max="10511" width="6.25" style="3436" customWidth="1"/>
    <col min="10512" max="10512" width="27.75" style="3436" customWidth="1"/>
    <col min="10513" max="10513" width="7.875" style="3436" customWidth="1"/>
    <col min="10514" max="10753" width="9" style="3436"/>
    <col min="10754" max="10754" width="51.5" style="3436" customWidth="1"/>
    <col min="10755" max="10755" width="6.25" style="3436" customWidth="1"/>
    <col min="10756" max="10758" width="13.875" style="3436" customWidth="1"/>
    <col min="10759" max="10759" width="19.125" style="3436" customWidth="1"/>
    <col min="10760" max="10760" width="7.875" style="3436" customWidth="1"/>
    <col min="10761" max="10761" width="21.625" style="3436" customWidth="1"/>
    <col min="10762" max="10763" width="9" style="3436" customWidth="1"/>
    <col min="10764" max="10765" width="10.625" style="3436" customWidth="1"/>
    <col min="10766" max="10766" width="14.375" style="3436" customWidth="1"/>
    <col min="10767" max="10767" width="6.25" style="3436" customWidth="1"/>
    <col min="10768" max="10768" width="27.75" style="3436" customWidth="1"/>
    <col min="10769" max="10769" width="7.875" style="3436" customWidth="1"/>
    <col min="10770" max="11009" width="9" style="3436"/>
    <col min="11010" max="11010" width="51.5" style="3436" customWidth="1"/>
    <col min="11011" max="11011" width="6.25" style="3436" customWidth="1"/>
    <col min="11012" max="11014" width="13.875" style="3436" customWidth="1"/>
    <col min="11015" max="11015" width="19.125" style="3436" customWidth="1"/>
    <col min="11016" max="11016" width="7.875" style="3436" customWidth="1"/>
    <col min="11017" max="11017" width="21.625" style="3436" customWidth="1"/>
    <col min="11018" max="11019" width="9" style="3436" customWidth="1"/>
    <col min="11020" max="11021" width="10.625" style="3436" customWidth="1"/>
    <col min="11022" max="11022" width="14.375" style="3436" customWidth="1"/>
    <col min="11023" max="11023" width="6.25" style="3436" customWidth="1"/>
    <col min="11024" max="11024" width="27.75" style="3436" customWidth="1"/>
    <col min="11025" max="11025" width="7.875" style="3436" customWidth="1"/>
    <col min="11026" max="11265" width="9" style="3436"/>
    <col min="11266" max="11266" width="51.5" style="3436" customWidth="1"/>
    <col min="11267" max="11267" width="6.25" style="3436" customWidth="1"/>
    <col min="11268" max="11270" width="13.875" style="3436" customWidth="1"/>
    <col min="11271" max="11271" width="19.125" style="3436" customWidth="1"/>
    <col min="11272" max="11272" width="7.875" style="3436" customWidth="1"/>
    <col min="11273" max="11273" width="21.625" style="3436" customWidth="1"/>
    <col min="11274" max="11275" width="9" style="3436" customWidth="1"/>
    <col min="11276" max="11277" width="10.625" style="3436" customWidth="1"/>
    <col min="11278" max="11278" width="14.375" style="3436" customWidth="1"/>
    <col min="11279" max="11279" width="6.25" style="3436" customWidth="1"/>
    <col min="11280" max="11280" width="27.75" style="3436" customWidth="1"/>
    <col min="11281" max="11281" width="7.875" style="3436" customWidth="1"/>
    <col min="11282" max="11521" width="9" style="3436"/>
    <col min="11522" max="11522" width="51.5" style="3436" customWidth="1"/>
    <col min="11523" max="11523" width="6.25" style="3436" customWidth="1"/>
    <col min="11524" max="11526" width="13.875" style="3436" customWidth="1"/>
    <col min="11527" max="11527" width="19.125" style="3436" customWidth="1"/>
    <col min="11528" max="11528" width="7.875" style="3436" customWidth="1"/>
    <col min="11529" max="11529" width="21.625" style="3436" customWidth="1"/>
    <col min="11530" max="11531" width="9" style="3436" customWidth="1"/>
    <col min="11532" max="11533" width="10.625" style="3436" customWidth="1"/>
    <col min="11534" max="11534" width="14.375" style="3436" customWidth="1"/>
    <col min="11535" max="11535" width="6.25" style="3436" customWidth="1"/>
    <col min="11536" max="11536" width="27.75" style="3436" customWidth="1"/>
    <col min="11537" max="11537" width="7.875" style="3436" customWidth="1"/>
    <col min="11538" max="11777" width="9" style="3436"/>
    <col min="11778" max="11778" width="51.5" style="3436" customWidth="1"/>
    <col min="11779" max="11779" width="6.25" style="3436" customWidth="1"/>
    <col min="11780" max="11782" width="13.875" style="3436" customWidth="1"/>
    <col min="11783" max="11783" width="19.125" style="3436" customWidth="1"/>
    <col min="11784" max="11784" width="7.875" style="3436" customWidth="1"/>
    <col min="11785" max="11785" width="21.625" style="3436" customWidth="1"/>
    <col min="11786" max="11787" width="9" style="3436" customWidth="1"/>
    <col min="11788" max="11789" width="10.625" style="3436" customWidth="1"/>
    <col min="11790" max="11790" width="14.375" style="3436" customWidth="1"/>
    <col min="11791" max="11791" width="6.25" style="3436" customWidth="1"/>
    <col min="11792" max="11792" width="27.75" style="3436" customWidth="1"/>
    <col min="11793" max="11793" width="7.875" style="3436" customWidth="1"/>
    <col min="11794" max="12033" width="9" style="3436"/>
    <col min="12034" max="12034" width="51.5" style="3436" customWidth="1"/>
    <col min="12035" max="12035" width="6.25" style="3436" customWidth="1"/>
    <col min="12036" max="12038" width="13.875" style="3436" customWidth="1"/>
    <col min="12039" max="12039" width="19.125" style="3436" customWidth="1"/>
    <col min="12040" max="12040" width="7.875" style="3436" customWidth="1"/>
    <col min="12041" max="12041" width="21.625" style="3436" customWidth="1"/>
    <col min="12042" max="12043" width="9" style="3436" customWidth="1"/>
    <col min="12044" max="12045" width="10.625" style="3436" customWidth="1"/>
    <col min="12046" max="12046" width="14.375" style="3436" customWidth="1"/>
    <col min="12047" max="12047" width="6.25" style="3436" customWidth="1"/>
    <col min="12048" max="12048" width="27.75" style="3436" customWidth="1"/>
    <col min="12049" max="12049" width="7.875" style="3436" customWidth="1"/>
    <col min="12050" max="12289" width="9" style="3436"/>
    <col min="12290" max="12290" width="51.5" style="3436" customWidth="1"/>
    <col min="12291" max="12291" width="6.25" style="3436" customWidth="1"/>
    <col min="12292" max="12294" width="13.875" style="3436" customWidth="1"/>
    <col min="12295" max="12295" width="19.125" style="3436" customWidth="1"/>
    <col min="12296" max="12296" width="7.875" style="3436" customWidth="1"/>
    <col min="12297" max="12297" width="21.625" style="3436" customWidth="1"/>
    <col min="12298" max="12299" width="9" style="3436" customWidth="1"/>
    <col min="12300" max="12301" width="10.625" style="3436" customWidth="1"/>
    <col min="12302" max="12302" width="14.375" style="3436" customWidth="1"/>
    <col min="12303" max="12303" width="6.25" style="3436" customWidth="1"/>
    <col min="12304" max="12304" width="27.75" style="3436" customWidth="1"/>
    <col min="12305" max="12305" width="7.875" style="3436" customWidth="1"/>
    <col min="12306" max="12545" width="9" style="3436"/>
    <col min="12546" max="12546" width="51.5" style="3436" customWidth="1"/>
    <col min="12547" max="12547" width="6.25" style="3436" customWidth="1"/>
    <col min="12548" max="12550" width="13.875" style="3436" customWidth="1"/>
    <col min="12551" max="12551" width="19.125" style="3436" customWidth="1"/>
    <col min="12552" max="12552" width="7.875" style="3436" customWidth="1"/>
    <col min="12553" max="12553" width="21.625" style="3436" customWidth="1"/>
    <col min="12554" max="12555" width="9" style="3436" customWidth="1"/>
    <col min="12556" max="12557" width="10.625" style="3436" customWidth="1"/>
    <col min="12558" max="12558" width="14.375" style="3436" customWidth="1"/>
    <col min="12559" max="12559" width="6.25" style="3436" customWidth="1"/>
    <col min="12560" max="12560" width="27.75" style="3436" customWidth="1"/>
    <col min="12561" max="12561" width="7.875" style="3436" customWidth="1"/>
    <col min="12562" max="12801" width="9" style="3436"/>
    <col min="12802" max="12802" width="51.5" style="3436" customWidth="1"/>
    <col min="12803" max="12803" width="6.25" style="3436" customWidth="1"/>
    <col min="12804" max="12806" width="13.875" style="3436" customWidth="1"/>
    <col min="12807" max="12807" width="19.125" style="3436" customWidth="1"/>
    <col min="12808" max="12808" width="7.875" style="3436" customWidth="1"/>
    <col min="12809" max="12809" width="21.625" style="3436" customWidth="1"/>
    <col min="12810" max="12811" width="9" style="3436" customWidth="1"/>
    <col min="12812" max="12813" width="10.625" style="3436" customWidth="1"/>
    <col min="12814" max="12814" width="14.375" style="3436" customWidth="1"/>
    <col min="12815" max="12815" width="6.25" style="3436" customWidth="1"/>
    <col min="12816" max="12816" width="27.75" style="3436" customWidth="1"/>
    <col min="12817" max="12817" width="7.875" style="3436" customWidth="1"/>
    <col min="12818" max="13057" width="9" style="3436"/>
    <col min="13058" max="13058" width="51.5" style="3436" customWidth="1"/>
    <col min="13059" max="13059" width="6.25" style="3436" customWidth="1"/>
    <col min="13060" max="13062" width="13.875" style="3436" customWidth="1"/>
    <col min="13063" max="13063" width="19.125" style="3436" customWidth="1"/>
    <col min="13064" max="13064" width="7.875" style="3436" customWidth="1"/>
    <col min="13065" max="13065" width="21.625" style="3436" customWidth="1"/>
    <col min="13066" max="13067" width="9" style="3436" customWidth="1"/>
    <col min="13068" max="13069" width="10.625" style="3436" customWidth="1"/>
    <col min="13070" max="13070" width="14.375" style="3436" customWidth="1"/>
    <col min="13071" max="13071" width="6.25" style="3436" customWidth="1"/>
    <col min="13072" max="13072" width="27.75" style="3436" customWidth="1"/>
    <col min="13073" max="13073" width="7.875" style="3436" customWidth="1"/>
    <col min="13074" max="13313" width="9" style="3436"/>
    <col min="13314" max="13314" width="51.5" style="3436" customWidth="1"/>
    <col min="13315" max="13315" width="6.25" style="3436" customWidth="1"/>
    <col min="13316" max="13318" width="13.875" style="3436" customWidth="1"/>
    <col min="13319" max="13319" width="19.125" style="3436" customWidth="1"/>
    <col min="13320" max="13320" width="7.875" style="3436" customWidth="1"/>
    <col min="13321" max="13321" width="21.625" style="3436" customWidth="1"/>
    <col min="13322" max="13323" width="9" style="3436" customWidth="1"/>
    <col min="13324" max="13325" width="10.625" style="3436" customWidth="1"/>
    <col min="13326" max="13326" width="14.375" style="3436" customWidth="1"/>
    <col min="13327" max="13327" width="6.25" style="3436" customWidth="1"/>
    <col min="13328" max="13328" width="27.75" style="3436" customWidth="1"/>
    <col min="13329" max="13329" width="7.875" style="3436" customWidth="1"/>
    <col min="13330" max="13569" width="9" style="3436"/>
    <col min="13570" max="13570" width="51.5" style="3436" customWidth="1"/>
    <col min="13571" max="13571" width="6.25" style="3436" customWidth="1"/>
    <col min="13572" max="13574" width="13.875" style="3436" customWidth="1"/>
    <col min="13575" max="13575" width="19.125" style="3436" customWidth="1"/>
    <col min="13576" max="13576" width="7.875" style="3436" customWidth="1"/>
    <col min="13577" max="13577" width="21.625" style="3436" customWidth="1"/>
    <col min="13578" max="13579" width="9" style="3436" customWidth="1"/>
    <col min="13580" max="13581" width="10.625" style="3436" customWidth="1"/>
    <col min="13582" max="13582" width="14.375" style="3436" customWidth="1"/>
    <col min="13583" max="13583" width="6.25" style="3436" customWidth="1"/>
    <col min="13584" max="13584" width="27.75" style="3436" customWidth="1"/>
    <col min="13585" max="13585" width="7.875" style="3436" customWidth="1"/>
    <col min="13586" max="13825" width="9" style="3436"/>
    <col min="13826" max="13826" width="51.5" style="3436" customWidth="1"/>
    <col min="13827" max="13827" width="6.25" style="3436" customWidth="1"/>
    <col min="13828" max="13830" width="13.875" style="3436" customWidth="1"/>
    <col min="13831" max="13831" width="19.125" style="3436" customWidth="1"/>
    <col min="13832" max="13832" width="7.875" style="3436" customWidth="1"/>
    <col min="13833" max="13833" width="21.625" style="3436" customWidth="1"/>
    <col min="13834" max="13835" width="9" style="3436" customWidth="1"/>
    <col min="13836" max="13837" width="10.625" style="3436" customWidth="1"/>
    <col min="13838" max="13838" width="14.375" style="3436" customWidth="1"/>
    <col min="13839" max="13839" width="6.25" style="3436" customWidth="1"/>
    <col min="13840" max="13840" width="27.75" style="3436" customWidth="1"/>
    <col min="13841" max="13841" width="7.875" style="3436" customWidth="1"/>
    <col min="13842" max="14081" width="9" style="3436"/>
    <col min="14082" max="14082" width="51.5" style="3436" customWidth="1"/>
    <col min="14083" max="14083" width="6.25" style="3436" customWidth="1"/>
    <col min="14084" max="14086" width="13.875" style="3436" customWidth="1"/>
    <col min="14087" max="14087" width="19.125" style="3436" customWidth="1"/>
    <col min="14088" max="14088" width="7.875" style="3436" customWidth="1"/>
    <col min="14089" max="14089" width="21.625" style="3436" customWidth="1"/>
    <col min="14090" max="14091" width="9" style="3436" customWidth="1"/>
    <col min="14092" max="14093" width="10.625" style="3436" customWidth="1"/>
    <col min="14094" max="14094" width="14.375" style="3436" customWidth="1"/>
    <col min="14095" max="14095" width="6.25" style="3436" customWidth="1"/>
    <col min="14096" max="14096" width="27.75" style="3436" customWidth="1"/>
    <col min="14097" max="14097" width="7.875" style="3436" customWidth="1"/>
    <col min="14098" max="14337" width="9" style="3436"/>
    <col min="14338" max="14338" width="51.5" style="3436" customWidth="1"/>
    <col min="14339" max="14339" width="6.25" style="3436" customWidth="1"/>
    <col min="14340" max="14342" width="13.875" style="3436" customWidth="1"/>
    <col min="14343" max="14343" width="19.125" style="3436" customWidth="1"/>
    <col min="14344" max="14344" width="7.875" style="3436" customWidth="1"/>
    <col min="14345" max="14345" width="21.625" style="3436" customWidth="1"/>
    <col min="14346" max="14347" width="9" style="3436" customWidth="1"/>
    <col min="14348" max="14349" width="10.625" style="3436" customWidth="1"/>
    <col min="14350" max="14350" width="14.375" style="3436" customWidth="1"/>
    <col min="14351" max="14351" width="6.25" style="3436" customWidth="1"/>
    <col min="14352" max="14352" width="27.75" style="3436" customWidth="1"/>
    <col min="14353" max="14353" width="7.875" style="3436" customWidth="1"/>
    <col min="14354" max="14593" width="9" style="3436"/>
    <col min="14594" max="14594" width="51.5" style="3436" customWidth="1"/>
    <col min="14595" max="14595" width="6.25" style="3436" customWidth="1"/>
    <col min="14596" max="14598" width="13.875" style="3436" customWidth="1"/>
    <col min="14599" max="14599" width="19.125" style="3436" customWidth="1"/>
    <col min="14600" max="14600" width="7.875" style="3436" customWidth="1"/>
    <col min="14601" max="14601" width="21.625" style="3436" customWidth="1"/>
    <col min="14602" max="14603" width="9" style="3436" customWidth="1"/>
    <col min="14604" max="14605" width="10.625" style="3436" customWidth="1"/>
    <col min="14606" max="14606" width="14.375" style="3436" customWidth="1"/>
    <col min="14607" max="14607" width="6.25" style="3436" customWidth="1"/>
    <col min="14608" max="14608" width="27.75" style="3436" customWidth="1"/>
    <col min="14609" max="14609" width="7.875" style="3436" customWidth="1"/>
    <col min="14610" max="14849" width="9" style="3436"/>
    <col min="14850" max="14850" width="51.5" style="3436" customWidth="1"/>
    <col min="14851" max="14851" width="6.25" style="3436" customWidth="1"/>
    <col min="14852" max="14854" width="13.875" style="3436" customWidth="1"/>
    <col min="14855" max="14855" width="19.125" style="3436" customWidth="1"/>
    <col min="14856" max="14856" width="7.875" style="3436" customWidth="1"/>
    <col min="14857" max="14857" width="21.625" style="3436" customWidth="1"/>
    <col min="14858" max="14859" width="9" style="3436" customWidth="1"/>
    <col min="14860" max="14861" width="10.625" style="3436" customWidth="1"/>
    <col min="14862" max="14862" width="14.375" style="3436" customWidth="1"/>
    <col min="14863" max="14863" width="6.25" style="3436" customWidth="1"/>
    <col min="14864" max="14864" width="27.75" style="3436" customWidth="1"/>
    <col min="14865" max="14865" width="7.875" style="3436" customWidth="1"/>
    <col min="14866" max="15105" width="9" style="3436"/>
    <col min="15106" max="15106" width="51.5" style="3436" customWidth="1"/>
    <col min="15107" max="15107" width="6.25" style="3436" customWidth="1"/>
    <col min="15108" max="15110" width="13.875" style="3436" customWidth="1"/>
    <col min="15111" max="15111" width="19.125" style="3436" customWidth="1"/>
    <col min="15112" max="15112" width="7.875" style="3436" customWidth="1"/>
    <col min="15113" max="15113" width="21.625" style="3436" customWidth="1"/>
    <col min="15114" max="15115" width="9" style="3436" customWidth="1"/>
    <col min="15116" max="15117" width="10.625" style="3436" customWidth="1"/>
    <col min="15118" max="15118" width="14.375" style="3436" customWidth="1"/>
    <col min="15119" max="15119" width="6.25" style="3436" customWidth="1"/>
    <col min="15120" max="15120" width="27.75" style="3436" customWidth="1"/>
    <col min="15121" max="15121" width="7.875" style="3436" customWidth="1"/>
    <col min="15122" max="15361" width="9" style="3436"/>
    <col min="15362" max="15362" width="51.5" style="3436" customWidth="1"/>
    <col min="15363" max="15363" width="6.25" style="3436" customWidth="1"/>
    <col min="15364" max="15366" width="13.875" style="3436" customWidth="1"/>
    <col min="15367" max="15367" width="19.125" style="3436" customWidth="1"/>
    <col min="15368" max="15368" width="7.875" style="3436" customWidth="1"/>
    <col min="15369" max="15369" width="21.625" style="3436" customWidth="1"/>
    <col min="15370" max="15371" width="9" style="3436" customWidth="1"/>
    <col min="15372" max="15373" width="10.625" style="3436" customWidth="1"/>
    <col min="15374" max="15374" width="14.375" style="3436" customWidth="1"/>
    <col min="15375" max="15375" width="6.25" style="3436" customWidth="1"/>
    <col min="15376" max="15376" width="27.75" style="3436" customWidth="1"/>
    <col min="15377" max="15377" width="7.875" style="3436" customWidth="1"/>
    <col min="15378" max="15617" width="9" style="3436"/>
    <col min="15618" max="15618" width="51.5" style="3436" customWidth="1"/>
    <col min="15619" max="15619" width="6.25" style="3436" customWidth="1"/>
    <col min="15620" max="15622" width="13.875" style="3436" customWidth="1"/>
    <col min="15623" max="15623" width="19.125" style="3436" customWidth="1"/>
    <col min="15624" max="15624" width="7.875" style="3436" customWidth="1"/>
    <col min="15625" max="15625" width="21.625" style="3436" customWidth="1"/>
    <col min="15626" max="15627" width="9" style="3436" customWidth="1"/>
    <col min="15628" max="15629" width="10.625" style="3436" customWidth="1"/>
    <col min="15630" max="15630" width="14.375" style="3436" customWidth="1"/>
    <col min="15631" max="15631" width="6.25" style="3436" customWidth="1"/>
    <col min="15632" max="15632" width="27.75" style="3436" customWidth="1"/>
    <col min="15633" max="15633" width="7.875" style="3436" customWidth="1"/>
    <col min="15634" max="15873" width="9" style="3436"/>
    <col min="15874" max="15874" width="51.5" style="3436" customWidth="1"/>
    <col min="15875" max="15875" width="6.25" style="3436" customWidth="1"/>
    <col min="15876" max="15878" width="13.875" style="3436" customWidth="1"/>
    <col min="15879" max="15879" width="19.125" style="3436" customWidth="1"/>
    <col min="15880" max="15880" width="7.875" style="3436" customWidth="1"/>
    <col min="15881" max="15881" width="21.625" style="3436" customWidth="1"/>
    <col min="15882" max="15883" width="9" style="3436" customWidth="1"/>
    <col min="15884" max="15885" width="10.625" style="3436" customWidth="1"/>
    <col min="15886" max="15886" width="14.375" style="3436" customWidth="1"/>
    <col min="15887" max="15887" width="6.25" style="3436" customWidth="1"/>
    <col min="15888" max="15888" width="27.75" style="3436" customWidth="1"/>
    <col min="15889" max="15889" width="7.875" style="3436" customWidth="1"/>
    <col min="15890" max="16129" width="9" style="3436"/>
    <col min="16130" max="16130" width="51.5" style="3436" customWidth="1"/>
    <col min="16131" max="16131" width="6.25" style="3436" customWidth="1"/>
    <col min="16132" max="16134" width="13.875" style="3436" customWidth="1"/>
    <col min="16135" max="16135" width="19.125" style="3436" customWidth="1"/>
    <col min="16136" max="16136" width="7.875" style="3436" customWidth="1"/>
    <col min="16137" max="16137" width="21.625" style="3436" customWidth="1"/>
    <col min="16138" max="16139" width="9" style="3436" customWidth="1"/>
    <col min="16140" max="16141" width="10.625" style="3436" customWidth="1"/>
    <col min="16142" max="16142" width="14.375" style="3436" customWidth="1"/>
    <col min="16143" max="16143" width="6.25" style="3436" customWidth="1"/>
    <col min="16144" max="16144" width="27.75" style="3436" customWidth="1"/>
    <col min="16145" max="16145" width="7.875" style="3436" customWidth="1"/>
    <col min="16146" max="16384" width="9" style="3436"/>
  </cols>
  <sheetData>
    <row r="1" spans="1:17">
      <c r="A1" s="3436" t="s">
        <v>3181</v>
      </c>
      <c r="B1" s="3436" t="s">
        <v>3182</v>
      </c>
      <c r="C1" s="3436" t="s">
        <v>3183</v>
      </c>
      <c r="D1" s="3436" t="s">
        <v>3184</v>
      </c>
      <c r="E1" s="3436" t="s">
        <v>3185</v>
      </c>
      <c r="F1" s="3436" t="s">
        <v>2020</v>
      </c>
      <c r="G1" s="3436" t="s">
        <v>3186</v>
      </c>
      <c r="H1" s="3436" t="s">
        <v>3187</v>
      </c>
      <c r="I1" s="3436" t="s">
        <v>3188</v>
      </c>
      <c r="J1" s="3436" t="s">
        <v>3189</v>
      </c>
      <c r="K1" s="3436" t="s">
        <v>3190</v>
      </c>
      <c r="L1" s="3436" t="s">
        <v>3191</v>
      </c>
      <c r="M1" s="3436" t="s">
        <v>3192</v>
      </c>
      <c r="N1" s="3437" t="s">
        <v>3317</v>
      </c>
      <c r="O1" s="3436" t="s">
        <v>3193</v>
      </c>
      <c r="P1" s="3436" t="s">
        <v>3194</v>
      </c>
      <c r="Q1" s="3436" t="s">
        <v>3195</v>
      </c>
    </row>
    <row r="2" spans="1:17">
      <c r="A2" s="3436" t="s">
        <v>3196</v>
      </c>
      <c r="B2" s="3436" t="s">
        <v>3197</v>
      </c>
      <c r="C2" s="3436" t="s">
        <v>3198</v>
      </c>
      <c r="D2" s="3436">
        <v>50045.48</v>
      </c>
      <c r="E2" s="3436">
        <v>125113.7</v>
      </c>
      <c r="F2" s="3436" t="s">
        <v>3199</v>
      </c>
      <c r="G2" s="3436" t="s">
        <v>3200</v>
      </c>
      <c r="H2" s="3436" t="s">
        <v>3201</v>
      </c>
      <c r="I2" s="3436" t="s">
        <v>3202</v>
      </c>
      <c r="J2" s="3436" t="s">
        <v>3202</v>
      </c>
      <c r="K2" s="3436" t="s">
        <v>2797</v>
      </c>
      <c r="L2" s="3436">
        <v>16215.12</v>
      </c>
      <c r="M2" s="3436">
        <v>1296.02</v>
      </c>
      <c r="N2" s="3436">
        <f>ROUND(L2/(D2/666.67),2)</f>
        <v>216.01</v>
      </c>
      <c r="O2" s="3436" t="s">
        <v>2797</v>
      </c>
      <c r="P2" s="3436" t="s">
        <v>3203</v>
      </c>
      <c r="Q2" s="3436" t="s">
        <v>3204</v>
      </c>
    </row>
    <row r="3" spans="1:17">
      <c r="A3" s="3437" t="s">
        <v>3299</v>
      </c>
      <c r="B3" s="3436" t="s">
        <v>3197</v>
      </c>
      <c r="C3" s="3436" t="s">
        <v>3198</v>
      </c>
      <c r="D3" s="3436">
        <v>21807.34</v>
      </c>
      <c r="E3" s="3436">
        <v>54518.35</v>
      </c>
      <c r="F3" s="3436" t="s">
        <v>3199</v>
      </c>
      <c r="G3" s="3436" t="s">
        <v>3200</v>
      </c>
      <c r="H3" s="3436" t="s">
        <v>3201</v>
      </c>
      <c r="I3" s="3436" t="s">
        <v>3202</v>
      </c>
      <c r="J3" s="3436" t="s">
        <v>3202</v>
      </c>
      <c r="K3" s="3436" t="s">
        <v>2797</v>
      </c>
      <c r="L3" s="3436">
        <v>7065.35</v>
      </c>
      <c r="M3" s="3436">
        <v>1295.96</v>
      </c>
      <c r="N3" s="3436">
        <f t="shared" ref="N3:N66" si="0">ROUND(L3/(D3/666.67),2)</f>
        <v>215.99</v>
      </c>
      <c r="O3" s="3436" t="s">
        <v>2797</v>
      </c>
      <c r="P3" s="3436" t="s">
        <v>3205</v>
      </c>
      <c r="Q3" s="3436" t="s">
        <v>3204</v>
      </c>
    </row>
    <row r="4" spans="1:17">
      <c r="A4" s="3436" t="s">
        <v>3196</v>
      </c>
      <c r="B4" s="3436" t="s">
        <v>3197</v>
      </c>
      <c r="C4" s="3436" t="s">
        <v>3198</v>
      </c>
      <c r="D4" s="3436">
        <v>56190.86</v>
      </c>
      <c r="E4" s="3436">
        <v>140477.15</v>
      </c>
      <c r="F4" s="3436" t="s">
        <v>3199</v>
      </c>
      <c r="G4" s="3436" t="s">
        <v>3200</v>
      </c>
      <c r="H4" s="3436" t="s">
        <v>3201</v>
      </c>
      <c r="I4" s="3436" t="s">
        <v>3202</v>
      </c>
      <c r="J4" s="3436" t="s">
        <v>3202</v>
      </c>
      <c r="K4" s="3436" t="s">
        <v>2797</v>
      </c>
      <c r="L4" s="3436">
        <v>18206.63</v>
      </c>
      <c r="M4" s="3436">
        <v>1296.05</v>
      </c>
      <c r="N4" s="3436">
        <f t="shared" si="0"/>
        <v>216.01</v>
      </c>
      <c r="O4" s="3436" t="s">
        <v>2797</v>
      </c>
      <c r="P4" s="3436" t="s">
        <v>3206</v>
      </c>
      <c r="Q4" s="3436" t="s">
        <v>3204</v>
      </c>
    </row>
    <row r="5" spans="1:17">
      <c r="A5" s="3436" t="s">
        <v>3196</v>
      </c>
      <c r="B5" s="3436" t="s">
        <v>3197</v>
      </c>
      <c r="C5" s="3436" t="s">
        <v>3198</v>
      </c>
      <c r="D5" s="3436">
        <v>54426.77</v>
      </c>
      <c r="E5" s="3436">
        <v>136066.93</v>
      </c>
      <c r="F5" s="3436" t="s">
        <v>3199</v>
      </c>
      <c r="G5" s="3436" t="s">
        <v>3200</v>
      </c>
      <c r="H5" s="3436" t="s">
        <v>3201</v>
      </c>
      <c r="I5" s="3436" t="s">
        <v>3202</v>
      </c>
      <c r="J5" s="3436" t="s">
        <v>3202</v>
      </c>
      <c r="K5" s="3436" t="s">
        <v>2797</v>
      </c>
      <c r="L5" s="3436">
        <v>17634.240000000002</v>
      </c>
      <c r="M5" s="3436">
        <v>1296</v>
      </c>
      <c r="N5" s="3436">
        <f t="shared" si="0"/>
        <v>216</v>
      </c>
      <c r="O5" s="3436" t="s">
        <v>2797</v>
      </c>
      <c r="P5" s="3436" t="s">
        <v>3207</v>
      </c>
      <c r="Q5" s="3436" t="s">
        <v>3204</v>
      </c>
    </row>
    <row r="6" spans="1:17">
      <c r="A6" s="3436" t="s">
        <v>3196</v>
      </c>
      <c r="B6" s="3436" t="s">
        <v>3197</v>
      </c>
      <c r="C6" s="3436" t="s">
        <v>3198</v>
      </c>
      <c r="D6" s="3436">
        <v>37823.839999999997</v>
      </c>
      <c r="E6" s="3436">
        <v>94559.6</v>
      </c>
      <c r="F6" s="3436" t="s">
        <v>3199</v>
      </c>
      <c r="G6" s="3436" t="s">
        <v>3200</v>
      </c>
      <c r="H6" s="3436" t="s">
        <v>3201</v>
      </c>
      <c r="I6" s="3436" t="s">
        <v>3202</v>
      </c>
      <c r="J6" s="3436" t="s">
        <v>3202</v>
      </c>
      <c r="K6" s="3436" t="s">
        <v>2797</v>
      </c>
      <c r="L6" s="3436">
        <v>12255.84</v>
      </c>
      <c r="M6" s="3436">
        <v>1296.0899999999999</v>
      </c>
      <c r="N6" s="3436">
        <f t="shared" si="0"/>
        <v>216.02</v>
      </c>
      <c r="O6" s="3436" t="s">
        <v>2797</v>
      </c>
      <c r="P6" s="3436" t="s">
        <v>3207</v>
      </c>
      <c r="Q6" s="3436" t="s">
        <v>3204</v>
      </c>
    </row>
    <row r="7" spans="1:17">
      <c r="A7" s="3436" t="s">
        <v>3196</v>
      </c>
      <c r="B7" s="3436" t="s">
        <v>3197</v>
      </c>
      <c r="C7" s="3436" t="s">
        <v>3198</v>
      </c>
      <c r="D7" s="3436">
        <v>51201.55</v>
      </c>
      <c r="E7" s="3436">
        <v>128003.88</v>
      </c>
      <c r="F7" s="3436" t="s">
        <v>3199</v>
      </c>
      <c r="G7" s="3436" t="s">
        <v>3200</v>
      </c>
      <c r="H7" s="3436" t="s">
        <v>3201</v>
      </c>
      <c r="I7" s="3436" t="s">
        <v>3202</v>
      </c>
      <c r="J7" s="3436" t="s">
        <v>3202</v>
      </c>
      <c r="K7" s="3436" t="s">
        <v>2797</v>
      </c>
      <c r="L7" s="3436">
        <v>16588.79</v>
      </c>
      <c r="M7" s="3436">
        <v>1295.96</v>
      </c>
      <c r="N7" s="3436">
        <f t="shared" si="0"/>
        <v>215.99</v>
      </c>
      <c r="O7" s="3436" t="s">
        <v>2797</v>
      </c>
      <c r="P7" s="3436" t="s">
        <v>3203</v>
      </c>
      <c r="Q7" s="3436" t="s">
        <v>3204</v>
      </c>
    </row>
    <row r="8" spans="1:17">
      <c r="A8" s="3436" t="s">
        <v>3208</v>
      </c>
      <c r="B8" s="3436" t="s">
        <v>3197</v>
      </c>
      <c r="C8" s="3436" t="s">
        <v>3198</v>
      </c>
      <c r="D8" s="3436">
        <v>45462.29</v>
      </c>
      <c r="E8" s="3436">
        <v>113655.73</v>
      </c>
      <c r="F8" s="3436" t="s">
        <v>3209</v>
      </c>
      <c r="G8" s="3436" t="s">
        <v>3200</v>
      </c>
      <c r="H8" s="3436" t="s">
        <v>3210</v>
      </c>
      <c r="I8" s="3436" t="s">
        <v>3211</v>
      </c>
      <c r="J8" s="3436" t="s">
        <v>3211</v>
      </c>
      <c r="K8" s="3436">
        <v>14389</v>
      </c>
      <c r="L8" s="3436">
        <v>14389</v>
      </c>
      <c r="M8" s="3436">
        <v>1266.01</v>
      </c>
      <c r="N8" s="3436">
        <f t="shared" si="0"/>
        <v>211</v>
      </c>
      <c r="O8" s="3436">
        <v>0</v>
      </c>
      <c r="P8" s="3436" t="s">
        <v>3212</v>
      </c>
      <c r="Q8" s="3436" t="s">
        <v>3204</v>
      </c>
    </row>
    <row r="9" spans="1:17">
      <c r="A9" s="3436" t="s">
        <v>3208</v>
      </c>
      <c r="B9" s="3436" t="s">
        <v>3197</v>
      </c>
      <c r="C9" s="3436" t="s">
        <v>3198</v>
      </c>
      <c r="D9" s="3436">
        <v>39212.269999999997</v>
      </c>
      <c r="E9" s="3436">
        <v>98030.68</v>
      </c>
      <c r="F9" s="3436" t="s">
        <v>3209</v>
      </c>
      <c r="G9" s="3436" t="s">
        <v>3200</v>
      </c>
      <c r="H9" s="3436" t="s">
        <v>3210</v>
      </c>
      <c r="I9" s="3436" t="s">
        <v>3211</v>
      </c>
      <c r="J9" s="3436" t="s">
        <v>3211</v>
      </c>
      <c r="K9" s="3436">
        <v>12412</v>
      </c>
      <c r="L9" s="3436">
        <v>12412</v>
      </c>
      <c r="M9" s="3436">
        <v>1266.1300000000001</v>
      </c>
      <c r="N9" s="3436">
        <f t="shared" si="0"/>
        <v>211.02</v>
      </c>
      <c r="O9" s="3436">
        <v>0</v>
      </c>
      <c r="P9" s="3436" t="s">
        <v>3212</v>
      </c>
      <c r="Q9" s="3436" t="s">
        <v>3204</v>
      </c>
    </row>
    <row r="10" spans="1:17">
      <c r="A10" s="3436" t="s">
        <v>3208</v>
      </c>
      <c r="B10" s="3436" t="s">
        <v>3197</v>
      </c>
      <c r="C10" s="3436" t="s">
        <v>3198</v>
      </c>
      <c r="D10" s="3436">
        <v>27679.02</v>
      </c>
      <c r="E10" s="3436">
        <v>69197.55</v>
      </c>
      <c r="F10" s="3436" t="s">
        <v>3209</v>
      </c>
      <c r="G10" s="3436" t="s">
        <v>3200</v>
      </c>
      <c r="H10" s="3436" t="s">
        <v>3210</v>
      </c>
      <c r="I10" s="3436" t="s">
        <v>3211</v>
      </c>
      <c r="J10" s="3436" t="s">
        <v>3211</v>
      </c>
      <c r="K10" s="3436">
        <v>8761</v>
      </c>
      <c r="L10" s="3436">
        <v>8761</v>
      </c>
      <c r="M10" s="3436">
        <v>1266.08</v>
      </c>
      <c r="N10" s="3436">
        <f t="shared" si="0"/>
        <v>211.02</v>
      </c>
      <c r="O10" s="3436">
        <v>0</v>
      </c>
      <c r="P10" s="3436" t="s">
        <v>3212</v>
      </c>
      <c r="Q10" s="3436" t="s">
        <v>3204</v>
      </c>
    </row>
    <row r="11" spans="1:17">
      <c r="A11" s="3436" t="s">
        <v>3208</v>
      </c>
      <c r="B11" s="3436" t="s">
        <v>3197</v>
      </c>
      <c r="C11" s="3436" t="s">
        <v>3198</v>
      </c>
      <c r="D11" s="3436">
        <v>58818.68</v>
      </c>
      <c r="E11" s="3436">
        <v>147046.70000000001</v>
      </c>
      <c r="F11" s="3436" t="s">
        <v>3209</v>
      </c>
      <c r="G11" s="3436" t="s">
        <v>3200</v>
      </c>
      <c r="H11" s="3436" t="s">
        <v>3210</v>
      </c>
      <c r="I11" s="3436" t="s">
        <v>3211</v>
      </c>
      <c r="J11" s="3436" t="s">
        <v>3211</v>
      </c>
      <c r="K11" s="3436">
        <v>18617</v>
      </c>
      <c r="L11" s="3436">
        <v>18617</v>
      </c>
      <c r="M11" s="3436">
        <v>1266.05</v>
      </c>
      <c r="N11" s="3436">
        <f t="shared" si="0"/>
        <v>211.01</v>
      </c>
      <c r="O11" s="3436">
        <v>0</v>
      </c>
      <c r="P11" s="3436" t="s">
        <v>3212</v>
      </c>
      <c r="Q11" s="3436" t="s">
        <v>3204</v>
      </c>
    </row>
    <row r="12" spans="1:17">
      <c r="A12" s="3436" t="s">
        <v>3208</v>
      </c>
      <c r="B12" s="3436" t="s">
        <v>3197</v>
      </c>
      <c r="C12" s="3436" t="s">
        <v>3198</v>
      </c>
      <c r="D12" s="3436">
        <v>44718.05</v>
      </c>
      <c r="E12" s="3436">
        <v>111795.13</v>
      </c>
      <c r="F12" s="3436" t="s">
        <v>3209</v>
      </c>
      <c r="G12" s="3436" t="s">
        <v>3200</v>
      </c>
      <c r="H12" s="3436" t="s">
        <v>3210</v>
      </c>
      <c r="I12" s="3436" t="s">
        <v>3211</v>
      </c>
      <c r="J12" s="3436" t="s">
        <v>3211</v>
      </c>
      <c r="K12" s="3436">
        <v>14154</v>
      </c>
      <c r="L12" s="3436">
        <v>14154</v>
      </c>
      <c r="M12" s="3436">
        <v>1266.06</v>
      </c>
      <c r="N12" s="3436">
        <f t="shared" si="0"/>
        <v>211.01</v>
      </c>
      <c r="O12" s="3436">
        <v>0</v>
      </c>
      <c r="P12" s="3436" t="s">
        <v>3212</v>
      </c>
      <c r="Q12" s="3436" t="s">
        <v>3204</v>
      </c>
    </row>
    <row r="13" spans="1:17">
      <c r="A13" s="3436" t="s">
        <v>3208</v>
      </c>
      <c r="B13" s="3436" t="s">
        <v>3197</v>
      </c>
      <c r="C13" s="3436" t="s">
        <v>3198</v>
      </c>
      <c r="D13" s="3436">
        <v>14720.75</v>
      </c>
      <c r="E13" s="3436">
        <v>29441.5</v>
      </c>
      <c r="F13" s="3436" t="s">
        <v>3213</v>
      </c>
      <c r="G13" s="3436" t="s">
        <v>3200</v>
      </c>
      <c r="H13" s="3436" t="s">
        <v>3210</v>
      </c>
      <c r="I13" s="3436" t="s">
        <v>3211</v>
      </c>
      <c r="J13" s="3436" t="s">
        <v>3211</v>
      </c>
      <c r="K13" s="3436">
        <v>4659</v>
      </c>
      <c r="L13" s="3436">
        <v>4659</v>
      </c>
      <c r="M13" s="3436">
        <v>1582.46</v>
      </c>
      <c r="N13" s="3436">
        <f t="shared" si="0"/>
        <v>211</v>
      </c>
      <c r="O13" s="3436">
        <v>0</v>
      </c>
      <c r="P13" s="3436" t="s">
        <v>3212</v>
      </c>
      <c r="Q13" s="3436" t="s">
        <v>3204</v>
      </c>
    </row>
    <row r="14" spans="1:17">
      <c r="A14" s="3436" t="s">
        <v>3208</v>
      </c>
      <c r="B14" s="3436" t="s">
        <v>3197</v>
      </c>
      <c r="C14" s="3436" t="s">
        <v>3198</v>
      </c>
      <c r="D14" s="3436">
        <v>53419.22</v>
      </c>
      <c r="E14" s="3436">
        <v>133548.04999999999</v>
      </c>
      <c r="F14" s="3436" t="s">
        <v>3209</v>
      </c>
      <c r="G14" s="3436" t="s">
        <v>3200</v>
      </c>
      <c r="H14" s="3436" t="s">
        <v>3210</v>
      </c>
      <c r="I14" s="3436" t="s">
        <v>3211</v>
      </c>
      <c r="J14" s="3436" t="s">
        <v>3211</v>
      </c>
      <c r="K14" s="3436">
        <v>16908</v>
      </c>
      <c r="L14" s="3436">
        <v>16908</v>
      </c>
      <c r="M14" s="3436">
        <v>1266.05</v>
      </c>
      <c r="N14" s="3436">
        <f t="shared" si="0"/>
        <v>211.01</v>
      </c>
      <c r="O14" s="3436">
        <v>0</v>
      </c>
      <c r="P14" s="3436" t="s">
        <v>3212</v>
      </c>
      <c r="Q14" s="3436" t="s">
        <v>3204</v>
      </c>
    </row>
    <row r="15" spans="1:17">
      <c r="A15" s="3436" t="s">
        <v>3214</v>
      </c>
      <c r="B15" s="3436" t="s">
        <v>3197</v>
      </c>
      <c r="C15" s="3436" t="s">
        <v>3198</v>
      </c>
      <c r="D15" s="3436">
        <v>31619.58</v>
      </c>
      <c r="E15" s="3436">
        <v>94858.74</v>
      </c>
      <c r="F15" s="3436" t="s">
        <v>3215</v>
      </c>
      <c r="G15" s="3436" t="s">
        <v>3200</v>
      </c>
      <c r="H15" s="3436" t="s">
        <v>3210</v>
      </c>
      <c r="I15" s="3436" t="s">
        <v>3216</v>
      </c>
      <c r="J15" s="3436" t="s">
        <v>3216</v>
      </c>
      <c r="K15" s="3436">
        <v>5930</v>
      </c>
      <c r="L15" s="3436">
        <v>5930</v>
      </c>
      <c r="M15" s="3436">
        <v>625.13</v>
      </c>
      <c r="N15" s="3436">
        <f t="shared" si="0"/>
        <v>125.03</v>
      </c>
      <c r="O15" s="3436">
        <v>0</v>
      </c>
      <c r="P15" s="3436" t="s">
        <v>3217</v>
      </c>
      <c r="Q15" s="3436" t="s">
        <v>3204</v>
      </c>
    </row>
    <row r="16" spans="1:17">
      <c r="A16" s="3436" t="s">
        <v>3214</v>
      </c>
      <c r="B16" s="3436" t="s">
        <v>3197</v>
      </c>
      <c r="C16" s="3436" t="s">
        <v>3198</v>
      </c>
      <c r="D16" s="3436">
        <v>44141.71</v>
      </c>
      <c r="E16" s="3436">
        <v>97111.76</v>
      </c>
      <c r="F16" s="3436" t="s">
        <v>3218</v>
      </c>
      <c r="G16" s="3436" t="s">
        <v>3200</v>
      </c>
      <c r="H16" s="3436" t="s">
        <v>3210</v>
      </c>
      <c r="I16" s="3436" t="s">
        <v>3216</v>
      </c>
      <c r="J16" s="3436" t="s">
        <v>3216</v>
      </c>
      <c r="K16" s="3436">
        <v>6070</v>
      </c>
      <c r="L16" s="3436">
        <v>6070</v>
      </c>
      <c r="M16" s="3436">
        <v>625.04</v>
      </c>
      <c r="N16" s="3436">
        <f t="shared" si="0"/>
        <v>91.67</v>
      </c>
      <c r="O16" s="3436">
        <v>0</v>
      </c>
      <c r="P16" s="3436" t="s">
        <v>3217</v>
      </c>
      <c r="Q16" s="3436" t="s">
        <v>3204</v>
      </c>
    </row>
    <row r="17" spans="1:17" s="3438" customFormat="1">
      <c r="A17" s="3438" t="s">
        <v>3219</v>
      </c>
      <c r="B17" s="3438" t="s">
        <v>3197</v>
      </c>
      <c r="C17" s="3438" t="s">
        <v>3198</v>
      </c>
      <c r="D17" s="3438">
        <v>31603</v>
      </c>
      <c r="E17" s="3438">
        <v>63206</v>
      </c>
      <c r="F17" s="3438" t="s">
        <v>3220</v>
      </c>
      <c r="G17" s="3438" t="s">
        <v>3200</v>
      </c>
      <c r="H17" s="3438" t="s">
        <v>3210</v>
      </c>
      <c r="I17" s="3438" t="s">
        <v>3221</v>
      </c>
      <c r="J17" s="3438" t="s">
        <v>3221</v>
      </c>
      <c r="K17" s="3438">
        <v>13272</v>
      </c>
      <c r="L17" s="3438">
        <v>13290</v>
      </c>
      <c r="M17" s="3438">
        <v>2102.65</v>
      </c>
      <c r="N17" s="3438">
        <f>ROUND(L17/(D17/666.67),2)</f>
        <v>280.35000000000002</v>
      </c>
      <c r="O17" s="3438">
        <v>0.14000000000000001</v>
      </c>
      <c r="P17" s="3438" t="s">
        <v>3222</v>
      </c>
      <c r="Q17" s="3438" t="s">
        <v>3204</v>
      </c>
    </row>
    <row r="18" spans="1:17" s="3438" customFormat="1">
      <c r="A18" s="3438" t="s">
        <v>3219</v>
      </c>
      <c r="B18" s="3438" t="s">
        <v>3197</v>
      </c>
      <c r="C18" s="3438" t="s">
        <v>3198</v>
      </c>
      <c r="D18" s="3438">
        <v>45893</v>
      </c>
      <c r="E18" s="3438">
        <v>91786</v>
      </c>
      <c r="F18" s="3438" t="s">
        <v>3220</v>
      </c>
      <c r="G18" s="3438" t="s">
        <v>3200</v>
      </c>
      <c r="H18" s="3438" t="s">
        <v>3210</v>
      </c>
      <c r="I18" s="3438" t="s">
        <v>3221</v>
      </c>
      <c r="J18" s="3438" t="s">
        <v>3221</v>
      </c>
      <c r="K18" s="3438">
        <v>19276</v>
      </c>
      <c r="L18" s="3438">
        <v>19276</v>
      </c>
      <c r="M18" s="3438">
        <v>2100.09</v>
      </c>
      <c r="N18" s="3438">
        <f t="shared" si="0"/>
        <v>280.02</v>
      </c>
      <c r="O18" s="3438">
        <v>0</v>
      </c>
      <c r="P18" s="3438" t="s">
        <v>3222</v>
      </c>
      <c r="Q18" s="3438" t="s">
        <v>3204</v>
      </c>
    </row>
    <row r="19" spans="1:17">
      <c r="A19" s="3436" t="s">
        <v>3223</v>
      </c>
      <c r="B19" s="3436" t="s">
        <v>3197</v>
      </c>
      <c r="C19" s="3436" t="s">
        <v>3224</v>
      </c>
      <c r="D19" s="3436">
        <v>45139.98</v>
      </c>
      <c r="E19" s="3436">
        <v>67709.97</v>
      </c>
      <c r="F19" s="3436" t="s">
        <v>3225</v>
      </c>
      <c r="G19" s="3436" t="s">
        <v>3200</v>
      </c>
      <c r="H19" s="3436" t="s">
        <v>3226</v>
      </c>
      <c r="I19" s="3436" t="s">
        <v>3227</v>
      </c>
      <c r="J19" s="3436" t="s">
        <v>3227</v>
      </c>
      <c r="K19" s="3436">
        <v>18959</v>
      </c>
      <c r="L19" s="3436">
        <v>19670</v>
      </c>
      <c r="M19" s="3436">
        <v>2905.03</v>
      </c>
      <c r="N19" s="3436">
        <f t="shared" si="0"/>
        <v>290.51</v>
      </c>
      <c r="O19" s="3436">
        <v>3.75</v>
      </c>
      <c r="P19" s="3436" t="s">
        <v>3228</v>
      </c>
      <c r="Q19" s="3436" t="s">
        <v>3229</v>
      </c>
    </row>
    <row r="20" spans="1:17">
      <c r="A20" s="3436" t="s">
        <v>3230</v>
      </c>
      <c r="B20" s="3436" t="s">
        <v>3197</v>
      </c>
      <c r="C20" s="3436" t="s">
        <v>3198</v>
      </c>
      <c r="D20" s="3436">
        <v>34345.24</v>
      </c>
      <c r="E20" s="3436">
        <v>68690.48</v>
      </c>
      <c r="F20" s="3436" t="s">
        <v>3220</v>
      </c>
      <c r="G20" s="3436" t="s">
        <v>3200</v>
      </c>
      <c r="H20" s="3436" t="s">
        <v>3210</v>
      </c>
      <c r="I20" s="3436" t="s">
        <v>3231</v>
      </c>
      <c r="J20" s="3436" t="s">
        <v>3231</v>
      </c>
      <c r="K20" s="3436">
        <v>12262</v>
      </c>
      <c r="L20" s="3436">
        <v>13450</v>
      </c>
      <c r="M20" s="3436">
        <v>1958.05</v>
      </c>
      <c r="N20" s="3436">
        <f t="shared" si="0"/>
        <v>261.08</v>
      </c>
      <c r="O20" s="3436">
        <v>9.69</v>
      </c>
      <c r="P20" s="3436" t="s">
        <v>3232</v>
      </c>
      <c r="Q20" s="3436" t="s">
        <v>3233</v>
      </c>
    </row>
    <row r="21" spans="1:17">
      <c r="A21" s="3436" t="s">
        <v>3223</v>
      </c>
      <c r="B21" s="3436" t="s">
        <v>3197</v>
      </c>
      <c r="C21" s="3436" t="s">
        <v>3198</v>
      </c>
      <c r="D21" s="3436">
        <v>65859.02</v>
      </c>
      <c r="E21" s="3436">
        <v>98788.53</v>
      </c>
      <c r="F21" s="3436" t="s">
        <v>3225</v>
      </c>
      <c r="G21" s="3436" t="s">
        <v>3200</v>
      </c>
      <c r="H21" s="3436" t="s">
        <v>3210</v>
      </c>
      <c r="I21" s="3436" t="s">
        <v>3231</v>
      </c>
      <c r="J21" s="3436" t="s">
        <v>3231</v>
      </c>
      <c r="K21" s="3436">
        <v>27662</v>
      </c>
      <c r="L21" s="3436">
        <v>29050</v>
      </c>
      <c r="M21" s="3436">
        <v>2940.61</v>
      </c>
      <c r="N21" s="3436">
        <f t="shared" si="0"/>
        <v>294.06</v>
      </c>
      <c r="O21" s="3436">
        <v>5.0199999999999996</v>
      </c>
      <c r="P21" s="3436" t="s">
        <v>3234</v>
      </c>
      <c r="Q21" s="3436" t="s">
        <v>3235</v>
      </c>
    </row>
    <row r="22" spans="1:17">
      <c r="A22" s="3436" t="s">
        <v>3230</v>
      </c>
      <c r="B22" s="3436" t="s">
        <v>3197</v>
      </c>
      <c r="C22" s="3436" t="s">
        <v>3198</v>
      </c>
      <c r="D22" s="3436">
        <v>45312.160000000003</v>
      </c>
      <c r="E22" s="3436">
        <v>90624.320000000007</v>
      </c>
      <c r="F22" s="3436" t="s">
        <v>3220</v>
      </c>
      <c r="G22" s="3436" t="s">
        <v>3200</v>
      </c>
      <c r="H22" s="3436" t="s">
        <v>3210</v>
      </c>
      <c r="I22" s="3436" t="s">
        <v>3231</v>
      </c>
      <c r="J22" s="3436" t="s">
        <v>3231</v>
      </c>
      <c r="K22" s="3436">
        <v>16177</v>
      </c>
      <c r="L22" s="3436">
        <v>17700</v>
      </c>
      <c r="M22" s="3436">
        <v>1953.11</v>
      </c>
      <c r="N22" s="3436">
        <f t="shared" si="0"/>
        <v>260.42</v>
      </c>
      <c r="O22" s="3436">
        <v>9.41</v>
      </c>
      <c r="P22" s="3436" t="s">
        <v>3236</v>
      </c>
      <c r="Q22" s="3436" t="s">
        <v>3233</v>
      </c>
    </row>
    <row r="23" spans="1:17">
      <c r="A23" s="3436" t="s">
        <v>3237</v>
      </c>
      <c r="B23" s="3436" t="s">
        <v>3197</v>
      </c>
      <c r="C23" s="3436" t="s">
        <v>3198</v>
      </c>
      <c r="D23" s="3436">
        <v>33514.51</v>
      </c>
      <c r="E23" s="3436">
        <v>67029.02</v>
      </c>
      <c r="F23" s="3436" t="s">
        <v>3220</v>
      </c>
      <c r="G23" s="3436" t="s">
        <v>3200</v>
      </c>
      <c r="H23" s="3436" t="s">
        <v>3210</v>
      </c>
      <c r="I23" s="3436" t="s">
        <v>3231</v>
      </c>
      <c r="J23" s="3436" t="s">
        <v>3231</v>
      </c>
      <c r="K23" s="3436">
        <v>13071</v>
      </c>
      <c r="L23" s="3436">
        <v>14150</v>
      </c>
      <c r="M23" s="3436">
        <v>2111.0300000000002</v>
      </c>
      <c r="N23" s="3436">
        <f t="shared" si="0"/>
        <v>281.47000000000003</v>
      </c>
      <c r="O23" s="3436">
        <v>8.25</v>
      </c>
      <c r="P23" s="3436" t="s">
        <v>3236</v>
      </c>
      <c r="Q23" s="3436" t="s">
        <v>3229</v>
      </c>
    </row>
    <row r="24" spans="1:17">
      <c r="A24" s="3436" t="s">
        <v>3238</v>
      </c>
      <c r="B24" s="3436" t="s">
        <v>3197</v>
      </c>
      <c r="C24" s="3436" t="s">
        <v>3198</v>
      </c>
      <c r="D24" s="3436">
        <v>12131.39</v>
      </c>
      <c r="E24" s="3436">
        <v>37000.74</v>
      </c>
      <c r="F24" s="3436" t="s">
        <v>3239</v>
      </c>
      <c r="G24" s="3436" t="s">
        <v>3200</v>
      </c>
      <c r="H24" s="3436" t="s">
        <v>3210</v>
      </c>
      <c r="I24" s="3436" t="s">
        <v>3240</v>
      </c>
      <c r="J24" s="3436" t="s">
        <v>3240</v>
      </c>
      <c r="K24" s="3436">
        <v>5096</v>
      </c>
      <c r="L24" s="3436">
        <v>5106</v>
      </c>
      <c r="M24" s="3436">
        <v>1379.97</v>
      </c>
      <c r="N24" s="3436">
        <f t="shared" si="0"/>
        <v>280.60000000000002</v>
      </c>
      <c r="O24" s="3436">
        <v>0.2</v>
      </c>
      <c r="P24" s="3436" t="s">
        <v>3236</v>
      </c>
      <c r="Q24" s="3436" t="s">
        <v>3229</v>
      </c>
    </row>
    <row r="25" spans="1:17">
      <c r="A25" s="3436" t="s">
        <v>3241</v>
      </c>
      <c r="B25" s="3436" t="s">
        <v>3197</v>
      </c>
      <c r="C25" s="3436" t="s">
        <v>3198</v>
      </c>
      <c r="D25" s="3436">
        <v>28877.77</v>
      </c>
      <c r="E25" s="3436">
        <v>72194.429999999993</v>
      </c>
      <c r="F25" s="3436" t="s">
        <v>3209</v>
      </c>
      <c r="G25" s="3436" t="s">
        <v>3200</v>
      </c>
      <c r="H25" s="3436" t="s">
        <v>3210</v>
      </c>
      <c r="I25" s="3436" t="s">
        <v>3242</v>
      </c>
      <c r="J25" s="3436" t="s">
        <v>3242</v>
      </c>
      <c r="K25" s="3436">
        <v>13200</v>
      </c>
      <c r="L25" s="3436">
        <v>13200</v>
      </c>
      <c r="M25" s="3436">
        <v>1828.4</v>
      </c>
      <c r="N25" s="3436">
        <f t="shared" si="0"/>
        <v>304.73</v>
      </c>
      <c r="O25" s="3436">
        <v>0</v>
      </c>
      <c r="P25" s="3436" t="s">
        <v>3243</v>
      </c>
      <c r="Q25" s="3436" t="s">
        <v>3233</v>
      </c>
    </row>
    <row r="26" spans="1:17" s="3438" customFormat="1">
      <c r="A26" s="3438" t="s">
        <v>3244</v>
      </c>
      <c r="B26" s="3438" t="s">
        <v>3197</v>
      </c>
      <c r="C26" s="3438" t="s">
        <v>3198</v>
      </c>
      <c r="D26" s="3438">
        <v>38976.44</v>
      </c>
      <c r="E26" s="3438">
        <v>93543.46</v>
      </c>
      <c r="F26" s="3438" t="s">
        <v>3245</v>
      </c>
      <c r="G26" s="3438" t="s">
        <v>3200</v>
      </c>
      <c r="H26" s="3438" t="s">
        <v>3210</v>
      </c>
      <c r="I26" s="3438" t="s">
        <v>3246</v>
      </c>
      <c r="J26" s="3438" t="s">
        <v>3246</v>
      </c>
      <c r="K26" s="3438">
        <v>14580</v>
      </c>
      <c r="L26" s="3438">
        <v>14580</v>
      </c>
      <c r="M26" s="3438">
        <v>1558.63</v>
      </c>
      <c r="N26" s="3438">
        <f t="shared" si="0"/>
        <v>249.38</v>
      </c>
      <c r="O26" s="3438">
        <v>0</v>
      </c>
      <c r="P26" s="3438" t="s">
        <v>3247</v>
      </c>
      <c r="Q26" s="3438" t="s">
        <v>3235</v>
      </c>
    </row>
    <row r="27" spans="1:17" s="3438" customFormat="1">
      <c r="A27" s="3438" t="s">
        <v>3244</v>
      </c>
      <c r="B27" s="3438" t="s">
        <v>3197</v>
      </c>
      <c r="C27" s="3438" t="s">
        <v>3198</v>
      </c>
      <c r="D27" s="3438">
        <v>36470.199999999997</v>
      </c>
      <c r="E27" s="3438">
        <v>87528.48</v>
      </c>
      <c r="F27" s="3438" t="s">
        <v>3245</v>
      </c>
      <c r="G27" s="3438" t="s">
        <v>3200</v>
      </c>
      <c r="H27" s="3438" t="s">
        <v>3210</v>
      </c>
      <c r="I27" s="3438" t="s">
        <v>3246</v>
      </c>
      <c r="J27" s="3438" t="s">
        <v>3246</v>
      </c>
      <c r="K27" s="3438">
        <v>13640</v>
      </c>
      <c r="L27" s="3438">
        <v>13640</v>
      </c>
      <c r="M27" s="3438">
        <v>1558.34</v>
      </c>
      <c r="N27" s="3438">
        <f t="shared" si="0"/>
        <v>249.34</v>
      </c>
      <c r="O27" s="3438">
        <v>0</v>
      </c>
      <c r="P27" s="3438" t="s">
        <v>3247</v>
      </c>
      <c r="Q27" s="3438" t="s">
        <v>3235</v>
      </c>
    </row>
    <row r="28" spans="1:17" s="3438" customFormat="1">
      <c r="A28" s="3438" t="s">
        <v>3244</v>
      </c>
      <c r="B28" s="3438" t="s">
        <v>3197</v>
      </c>
      <c r="C28" s="3438" t="s">
        <v>3198</v>
      </c>
      <c r="D28" s="3438">
        <v>34172.800000000003</v>
      </c>
      <c r="E28" s="3438">
        <v>58093.760000000002</v>
      </c>
      <c r="F28" s="3438" t="s">
        <v>3248</v>
      </c>
      <c r="G28" s="3438" t="s">
        <v>3200</v>
      </c>
      <c r="H28" s="3438" t="s">
        <v>3210</v>
      </c>
      <c r="I28" s="3438" t="s">
        <v>3246</v>
      </c>
      <c r="J28" s="3438" t="s">
        <v>3246</v>
      </c>
      <c r="K28" s="3438">
        <v>12780</v>
      </c>
      <c r="L28" s="3438">
        <v>12780</v>
      </c>
      <c r="M28" s="3438">
        <v>2199.88</v>
      </c>
      <c r="N28" s="3438">
        <f t="shared" si="0"/>
        <v>249.32</v>
      </c>
      <c r="O28" s="3438">
        <v>0</v>
      </c>
      <c r="P28" s="3438" t="s">
        <v>3247</v>
      </c>
      <c r="Q28" s="3438" t="s">
        <v>3235</v>
      </c>
    </row>
    <row r="29" spans="1:17" s="3443" customFormat="1">
      <c r="A29" s="3443" t="s">
        <v>3244</v>
      </c>
      <c r="B29" s="3443" t="s">
        <v>3197</v>
      </c>
      <c r="C29" s="3443" t="s">
        <v>3198</v>
      </c>
      <c r="D29" s="3443">
        <v>34518.15</v>
      </c>
      <c r="E29" s="3443">
        <v>69036.3</v>
      </c>
      <c r="F29" s="3443" t="s">
        <v>3220</v>
      </c>
      <c r="G29" s="3443" t="s">
        <v>3200</v>
      </c>
      <c r="H29" s="3443" t="s">
        <v>3210</v>
      </c>
      <c r="I29" s="3443" t="s">
        <v>3246</v>
      </c>
      <c r="J29" s="3443" t="s">
        <v>3246</v>
      </c>
      <c r="K29" s="3443">
        <v>12910</v>
      </c>
      <c r="L29" s="3443">
        <v>12910</v>
      </c>
      <c r="M29" s="3443">
        <v>1870.02</v>
      </c>
      <c r="N29" s="3443">
        <f t="shared" si="0"/>
        <v>249.34</v>
      </c>
      <c r="O29" s="3443">
        <v>0</v>
      </c>
      <c r="P29" s="3443" t="s">
        <v>3249</v>
      </c>
      <c r="Q29" s="3443" t="s">
        <v>3235</v>
      </c>
    </row>
    <row r="30" spans="1:17" s="3438" customFormat="1">
      <c r="A30" s="3438" t="s">
        <v>3244</v>
      </c>
      <c r="B30" s="3438" t="s">
        <v>3197</v>
      </c>
      <c r="C30" s="3438" t="s">
        <v>3198</v>
      </c>
      <c r="D30" s="3438">
        <v>42586.62</v>
      </c>
      <c r="E30" s="3438">
        <v>85173.24</v>
      </c>
      <c r="F30" s="3438" t="s">
        <v>3220</v>
      </c>
      <c r="G30" s="3438" t="s">
        <v>3200</v>
      </c>
      <c r="H30" s="3438" t="s">
        <v>3210</v>
      </c>
      <c r="I30" s="3438" t="s">
        <v>3246</v>
      </c>
      <c r="J30" s="3438" t="s">
        <v>3246</v>
      </c>
      <c r="K30" s="3438">
        <v>15920</v>
      </c>
      <c r="L30" s="3438">
        <v>15920</v>
      </c>
      <c r="M30" s="3438">
        <v>1869.13</v>
      </c>
      <c r="N30" s="3438">
        <f t="shared" si="0"/>
        <v>249.22</v>
      </c>
      <c r="O30" s="3438">
        <v>0</v>
      </c>
      <c r="P30" s="3438" t="s">
        <v>3249</v>
      </c>
      <c r="Q30" s="3438" t="s">
        <v>3235</v>
      </c>
    </row>
    <row r="31" spans="1:17" s="3438" customFormat="1">
      <c r="A31" s="3438" t="s">
        <v>3244</v>
      </c>
      <c r="B31" s="3438" t="s">
        <v>3197</v>
      </c>
      <c r="C31" s="3438" t="s">
        <v>3198</v>
      </c>
      <c r="D31" s="3438">
        <v>43177.36</v>
      </c>
      <c r="E31" s="3438">
        <v>86354.72</v>
      </c>
      <c r="F31" s="3438" t="s">
        <v>3220</v>
      </c>
      <c r="G31" s="3438" t="s">
        <v>3200</v>
      </c>
      <c r="H31" s="3438" t="s">
        <v>3210</v>
      </c>
      <c r="I31" s="3438" t="s">
        <v>3246</v>
      </c>
      <c r="J31" s="3438" t="s">
        <v>3246</v>
      </c>
      <c r="K31" s="3438">
        <v>16150</v>
      </c>
      <c r="L31" s="3438">
        <v>16150</v>
      </c>
      <c r="M31" s="3438">
        <v>1870.19</v>
      </c>
      <c r="N31" s="3438">
        <f t="shared" si="0"/>
        <v>249.36</v>
      </c>
      <c r="O31" s="3438">
        <v>0</v>
      </c>
      <c r="P31" s="3441" t="s">
        <v>3331</v>
      </c>
      <c r="Q31" s="3438" t="s">
        <v>3235</v>
      </c>
    </row>
    <row r="32" spans="1:17" s="3438" customFormat="1">
      <c r="A32" s="3438" t="s">
        <v>3250</v>
      </c>
      <c r="B32" s="3438" t="s">
        <v>3197</v>
      </c>
      <c r="C32" s="3438" t="s">
        <v>3198</v>
      </c>
      <c r="D32" s="3438">
        <v>40879.94</v>
      </c>
      <c r="E32" s="3438">
        <v>102199.85</v>
      </c>
      <c r="F32" s="3438" t="s">
        <v>3199</v>
      </c>
      <c r="G32" s="3438" t="s">
        <v>3200</v>
      </c>
      <c r="H32" s="3438" t="s">
        <v>3210</v>
      </c>
      <c r="I32" s="3438" t="s">
        <v>3246</v>
      </c>
      <c r="J32" s="3438" t="s">
        <v>3246</v>
      </c>
      <c r="K32" s="3438">
        <v>15290</v>
      </c>
      <c r="L32" s="3438">
        <v>15290</v>
      </c>
      <c r="M32" s="3438">
        <v>1496.08</v>
      </c>
      <c r="N32" s="3438">
        <f>ROUND(L32/(D32/666.67),2)</f>
        <v>249.35</v>
      </c>
      <c r="O32" s="3438">
        <v>0</v>
      </c>
      <c r="P32" s="3438" t="s">
        <v>3247</v>
      </c>
      <c r="Q32" s="3438" t="s">
        <v>3235</v>
      </c>
    </row>
    <row r="33" spans="1:17" s="3438" customFormat="1">
      <c r="A33" s="3438" t="s">
        <v>3250</v>
      </c>
      <c r="B33" s="3438" t="s">
        <v>3197</v>
      </c>
      <c r="C33" s="3438" t="s">
        <v>3198</v>
      </c>
      <c r="D33" s="3438">
        <v>44573.86</v>
      </c>
      <c r="E33" s="3438">
        <v>111434.65</v>
      </c>
      <c r="F33" s="3438" t="s">
        <v>3199</v>
      </c>
      <c r="G33" s="3438" t="s">
        <v>3200</v>
      </c>
      <c r="H33" s="3438" t="s">
        <v>3210</v>
      </c>
      <c r="I33" s="3438" t="s">
        <v>3246</v>
      </c>
      <c r="J33" s="3438" t="s">
        <v>3246</v>
      </c>
      <c r="K33" s="3438">
        <v>16670</v>
      </c>
      <c r="L33" s="3438">
        <v>16670</v>
      </c>
      <c r="M33" s="3438">
        <v>1495.94</v>
      </c>
      <c r="N33" s="3438">
        <f t="shared" si="0"/>
        <v>249.33</v>
      </c>
      <c r="O33" s="3438">
        <v>0</v>
      </c>
      <c r="P33" s="3438" t="s">
        <v>3247</v>
      </c>
      <c r="Q33" s="3438" t="s">
        <v>3235</v>
      </c>
    </row>
    <row r="34" spans="1:17" s="3438" customFormat="1">
      <c r="D34" s="3438">
        <f>D26+D27+D28+D29+D30+D31+D32+D33</f>
        <v>315355.37</v>
      </c>
      <c r="E34" s="3438">
        <f>E26+E27+E28+E29+E30+E31+E32+E33</f>
        <v>693364.46</v>
      </c>
      <c r="F34" s="3438">
        <f>E34/D34</f>
        <v>2.1986765597173754</v>
      </c>
      <c r="L34" s="3438">
        <f>L26+L27+L28+L29+L30+L31+L32+L33</f>
        <v>117940</v>
      </c>
      <c r="M34" s="3438">
        <f>L34/E34*10000</f>
        <v>1700.9813280594162</v>
      </c>
      <c r="N34" s="3438">
        <f t="shared" si="0"/>
        <v>249.33</v>
      </c>
    </row>
    <row r="35" spans="1:17">
      <c r="A35" s="3436" t="s">
        <v>3251</v>
      </c>
      <c r="B35" s="3436" t="s">
        <v>3197</v>
      </c>
      <c r="C35" s="3436" t="s">
        <v>3198</v>
      </c>
      <c r="D35" s="3436">
        <v>52601.01</v>
      </c>
      <c r="E35" s="3436">
        <v>156751.01</v>
      </c>
      <c r="F35" s="3436" t="s">
        <v>3252</v>
      </c>
      <c r="G35" s="3436" t="s">
        <v>3200</v>
      </c>
      <c r="H35" s="3436" t="s">
        <v>3210</v>
      </c>
      <c r="I35" s="3436" t="s">
        <v>3253</v>
      </c>
      <c r="J35" s="3436" t="s">
        <v>3253</v>
      </c>
      <c r="K35" s="3436">
        <v>18069</v>
      </c>
      <c r="L35" s="3436">
        <v>20139</v>
      </c>
      <c r="M35" s="3436">
        <v>1284.77</v>
      </c>
      <c r="N35" s="3436">
        <f t="shared" si="0"/>
        <v>255.24</v>
      </c>
      <c r="O35" s="3436">
        <v>11.46</v>
      </c>
      <c r="P35" s="3436" t="s">
        <v>3254</v>
      </c>
      <c r="Q35" s="3436" t="s">
        <v>3235</v>
      </c>
    </row>
    <row r="36" spans="1:17">
      <c r="A36" s="3436" t="s">
        <v>3251</v>
      </c>
      <c r="B36" s="3436" t="s">
        <v>3197</v>
      </c>
      <c r="C36" s="3436" t="s">
        <v>3198</v>
      </c>
      <c r="D36" s="3436">
        <v>26352.44</v>
      </c>
      <c r="E36" s="3436">
        <v>26879.49</v>
      </c>
      <c r="F36" s="3436" t="s">
        <v>3255</v>
      </c>
      <c r="G36" s="3436" t="s">
        <v>3200</v>
      </c>
      <c r="H36" s="3436" t="s">
        <v>3210</v>
      </c>
      <c r="I36" s="3436" t="s">
        <v>3253</v>
      </c>
      <c r="J36" s="3436" t="s">
        <v>3253</v>
      </c>
      <c r="K36" s="3436">
        <v>9053</v>
      </c>
      <c r="L36" s="3436">
        <v>10088</v>
      </c>
      <c r="M36" s="3436">
        <v>3753.05</v>
      </c>
      <c r="N36" s="3436">
        <f t="shared" si="0"/>
        <v>255.21</v>
      </c>
      <c r="O36" s="3436">
        <v>11.43</v>
      </c>
      <c r="P36" s="3436" t="s">
        <v>3254</v>
      </c>
      <c r="Q36" s="3436" t="s">
        <v>3235</v>
      </c>
    </row>
    <row r="37" spans="1:17">
      <c r="A37" s="3436" t="s">
        <v>3256</v>
      </c>
      <c r="B37" s="3436" t="s">
        <v>3197</v>
      </c>
      <c r="C37" s="3436" t="s">
        <v>3198</v>
      </c>
      <c r="D37" s="3436">
        <v>29209.22</v>
      </c>
      <c r="E37" s="3436">
        <v>52576.6</v>
      </c>
      <c r="F37" s="3436" t="s">
        <v>3257</v>
      </c>
      <c r="G37" s="3436" t="s">
        <v>3200</v>
      </c>
      <c r="H37" s="3436" t="s">
        <v>3210</v>
      </c>
      <c r="I37" s="3436" t="s">
        <v>3258</v>
      </c>
      <c r="J37" s="3436" t="s">
        <v>3258</v>
      </c>
      <c r="K37" s="3436">
        <v>9640</v>
      </c>
      <c r="L37" s="3436">
        <v>9840</v>
      </c>
      <c r="M37" s="3436">
        <v>1871.55</v>
      </c>
      <c r="N37" s="3436">
        <f t="shared" si="0"/>
        <v>224.59</v>
      </c>
      <c r="O37" s="3436">
        <v>2.0699999999999998</v>
      </c>
      <c r="P37" s="3436" t="s">
        <v>3259</v>
      </c>
      <c r="Q37" s="3436" t="s">
        <v>3235</v>
      </c>
    </row>
    <row r="38" spans="1:17">
      <c r="A38" s="3436" t="s">
        <v>3256</v>
      </c>
      <c r="B38" s="3436" t="s">
        <v>3197</v>
      </c>
      <c r="C38" s="3436" t="s">
        <v>3198</v>
      </c>
      <c r="D38" s="3436">
        <v>1985.28</v>
      </c>
      <c r="E38" s="3436">
        <v>3970.56</v>
      </c>
      <c r="F38" s="3436" t="s">
        <v>3220</v>
      </c>
      <c r="G38" s="3436" t="s">
        <v>3200</v>
      </c>
      <c r="H38" s="3436" t="s">
        <v>3210</v>
      </c>
      <c r="I38" s="3436" t="s">
        <v>3258</v>
      </c>
      <c r="J38" s="3436" t="s">
        <v>3258</v>
      </c>
      <c r="K38" s="3436">
        <v>660</v>
      </c>
      <c r="L38" s="3436">
        <v>760</v>
      </c>
      <c r="M38" s="3436">
        <v>1914.08</v>
      </c>
      <c r="N38" s="3436">
        <f t="shared" si="0"/>
        <v>255.21</v>
      </c>
      <c r="O38" s="3436">
        <v>15.15</v>
      </c>
      <c r="P38" s="3436" t="s">
        <v>3259</v>
      </c>
      <c r="Q38" s="3436" t="s">
        <v>3235</v>
      </c>
    </row>
    <row r="39" spans="1:17">
      <c r="A39" s="3436" t="s">
        <v>3256</v>
      </c>
      <c r="B39" s="3436" t="s">
        <v>3197</v>
      </c>
      <c r="C39" s="3436" t="s">
        <v>3198</v>
      </c>
      <c r="D39" s="3436">
        <v>9959.77</v>
      </c>
      <c r="E39" s="3436">
        <v>19919.54</v>
      </c>
      <c r="F39" s="3436" t="s">
        <v>3220</v>
      </c>
      <c r="G39" s="3436" t="s">
        <v>3200</v>
      </c>
      <c r="H39" s="3436" t="s">
        <v>3210</v>
      </c>
      <c r="I39" s="3436" t="s">
        <v>3258</v>
      </c>
      <c r="J39" s="3436" t="s">
        <v>3258</v>
      </c>
      <c r="K39" s="3436">
        <v>3290</v>
      </c>
      <c r="L39" s="3436">
        <v>3390</v>
      </c>
      <c r="M39" s="3436">
        <v>1701.84</v>
      </c>
      <c r="N39" s="3436">
        <f t="shared" si="0"/>
        <v>226.91</v>
      </c>
      <c r="O39" s="3436">
        <v>3.04</v>
      </c>
      <c r="P39" s="3436" t="s">
        <v>3259</v>
      </c>
      <c r="Q39" s="3436" t="s">
        <v>3235</v>
      </c>
    </row>
    <row r="40" spans="1:17">
      <c r="A40" s="3436" t="s">
        <v>3256</v>
      </c>
      <c r="B40" s="3436" t="s">
        <v>3197</v>
      </c>
      <c r="C40" s="3436" t="s">
        <v>3198</v>
      </c>
      <c r="D40" s="3436">
        <v>11413.42</v>
      </c>
      <c r="E40" s="3436">
        <v>20544.16</v>
      </c>
      <c r="F40" s="3436" t="s">
        <v>3257</v>
      </c>
      <c r="G40" s="3436" t="s">
        <v>3200</v>
      </c>
      <c r="H40" s="3436" t="s">
        <v>3210</v>
      </c>
      <c r="I40" s="3436" t="s">
        <v>3258</v>
      </c>
      <c r="J40" s="3436" t="s">
        <v>3258</v>
      </c>
      <c r="K40" s="3436">
        <v>3770</v>
      </c>
      <c r="L40" s="3436">
        <v>3870</v>
      </c>
      <c r="M40" s="3436">
        <v>1883.75</v>
      </c>
      <c r="N40" s="3436">
        <f t="shared" si="0"/>
        <v>226.05</v>
      </c>
      <c r="O40" s="3436">
        <v>2.65</v>
      </c>
      <c r="P40" s="3436" t="s">
        <v>3259</v>
      </c>
      <c r="Q40" s="3436" t="s">
        <v>3235</v>
      </c>
    </row>
    <row r="41" spans="1:17">
      <c r="A41" s="3436" t="s">
        <v>3256</v>
      </c>
      <c r="B41" s="3436" t="s">
        <v>3197</v>
      </c>
      <c r="C41" s="3436" t="s">
        <v>3198</v>
      </c>
      <c r="D41" s="3436">
        <v>7495.98</v>
      </c>
      <c r="E41" s="3436">
        <v>22487.94</v>
      </c>
      <c r="F41" s="3436" t="s">
        <v>3260</v>
      </c>
      <c r="G41" s="3436" t="s">
        <v>3200</v>
      </c>
      <c r="H41" s="3436" t="s">
        <v>3210</v>
      </c>
      <c r="I41" s="3436" t="s">
        <v>3258</v>
      </c>
      <c r="J41" s="3436" t="s">
        <v>3258</v>
      </c>
      <c r="K41" s="3436">
        <v>2480</v>
      </c>
      <c r="L41" s="3436">
        <v>2580</v>
      </c>
      <c r="M41" s="3436">
        <v>1147.27</v>
      </c>
      <c r="N41" s="3436">
        <f t="shared" si="0"/>
        <v>229.46</v>
      </c>
      <c r="O41" s="3436">
        <v>4.03</v>
      </c>
      <c r="P41" s="3436" t="s">
        <v>3259</v>
      </c>
      <c r="Q41" s="3436" t="s">
        <v>3235</v>
      </c>
    </row>
    <row r="42" spans="1:17">
      <c r="A42" s="3436" t="s">
        <v>3256</v>
      </c>
      <c r="B42" s="3436" t="s">
        <v>3197</v>
      </c>
      <c r="C42" s="3436" t="s">
        <v>3198</v>
      </c>
      <c r="D42" s="3436">
        <v>11127.4</v>
      </c>
      <c r="E42" s="3436">
        <v>22254.799999999999</v>
      </c>
      <c r="F42" s="3436" t="s">
        <v>3220</v>
      </c>
      <c r="G42" s="3436" t="s">
        <v>3200</v>
      </c>
      <c r="H42" s="3436" t="s">
        <v>3210</v>
      </c>
      <c r="I42" s="3436" t="s">
        <v>3258</v>
      </c>
      <c r="J42" s="3436" t="s">
        <v>3258</v>
      </c>
      <c r="K42" s="3436">
        <v>3680</v>
      </c>
      <c r="L42" s="3436">
        <v>3780</v>
      </c>
      <c r="M42" s="3436">
        <v>1698.5</v>
      </c>
      <c r="N42" s="3436">
        <f t="shared" si="0"/>
        <v>226.47</v>
      </c>
      <c r="O42" s="3436">
        <v>2.72</v>
      </c>
      <c r="P42" s="3436" t="s">
        <v>3259</v>
      </c>
      <c r="Q42" s="3436" t="s">
        <v>3235</v>
      </c>
    </row>
    <row r="43" spans="1:17">
      <c r="A43" s="3436" t="s">
        <v>3256</v>
      </c>
      <c r="B43" s="3436" t="s">
        <v>3197</v>
      </c>
      <c r="C43" s="3436" t="s">
        <v>3198</v>
      </c>
      <c r="D43" s="3436">
        <v>18192.740000000002</v>
      </c>
      <c r="E43" s="3436">
        <v>36385.480000000003</v>
      </c>
      <c r="F43" s="3436" t="s">
        <v>3220</v>
      </c>
      <c r="G43" s="3436" t="s">
        <v>3200</v>
      </c>
      <c r="H43" s="3436" t="s">
        <v>3210</v>
      </c>
      <c r="I43" s="3436" t="s">
        <v>3258</v>
      </c>
      <c r="J43" s="3436" t="s">
        <v>3258</v>
      </c>
      <c r="K43" s="3436">
        <v>6010</v>
      </c>
      <c r="L43" s="3436">
        <v>6110</v>
      </c>
      <c r="M43" s="3436">
        <v>1679.24</v>
      </c>
      <c r="N43" s="3436">
        <f t="shared" si="0"/>
        <v>223.9</v>
      </c>
      <c r="O43" s="3436">
        <v>1.66</v>
      </c>
      <c r="P43" s="3436" t="s">
        <v>3259</v>
      </c>
      <c r="Q43" s="3436" t="s">
        <v>3235</v>
      </c>
    </row>
    <row r="44" spans="1:17">
      <c r="A44" s="3436" t="s">
        <v>3256</v>
      </c>
      <c r="B44" s="3436" t="s">
        <v>3197</v>
      </c>
      <c r="C44" s="3436" t="s">
        <v>3198</v>
      </c>
      <c r="D44" s="3436">
        <v>5657.59</v>
      </c>
      <c r="E44" s="3436">
        <v>10183.66</v>
      </c>
      <c r="F44" s="3436" t="s">
        <v>3257</v>
      </c>
      <c r="G44" s="3436" t="s">
        <v>3200</v>
      </c>
      <c r="H44" s="3436" t="s">
        <v>3210</v>
      </c>
      <c r="I44" s="3436" t="s">
        <v>3258</v>
      </c>
      <c r="J44" s="3436" t="s">
        <v>3258</v>
      </c>
      <c r="K44" s="3436">
        <v>1870</v>
      </c>
      <c r="L44" s="3436">
        <v>1970</v>
      </c>
      <c r="M44" s="3436">
        <v>1934.47</v>
      </c>
      <c r="N44" s="3436">
        <f t="shared" si="0"/>
        <v>232.14</v>
      </c>
      <c r="O44" s="3436">
        <v>5.35</v>
      </c>
      <c r="P44" s="3436" t="s">
        <v>3259</v>
      </c>
      <c r="Q44" s="3436" t="s">
        <v>3235</v>
      </c>
    </row>
    <row r="45" spans="1:17" s="3439" customFormat="1">
      <c r="A45" s="3439" t="s">
        <v>3256</v>
      </c>
      <c r="B45" s="3439" t="s">
        <v>3197</v>
      </c>
      <c r="C45" s="3439" t="s">
        <v>3198</v>
      </c>
      <c r="D45" s="3439">
        <v>62578.68</v>
      </c>
      <c r="E45" s="3439">
        <v>112641.62</v>
      </c>
      <c r="F45" s="3439" t="s">
        <v>3257</v>
      </c>
      <c r="G45" s="3439" t="s">
        <v>3200</v>
      </c>
      <c r="H45" s="3439" t="s">
        <v>3210</v>
      </c>
      <c r="I45" s="3439" t="s">
        <v>3258</v>
      </c>
      <c r="J45" s="3439" t="s">
        <v>3258</v>
      </c>
      <c r="K45" s="3439">
        <v>20660</v>
      </c>
      <c r="L45" s="3439">
        <v>21060</v>
      </c>
      <c r="M45" s="3439">
        <v>1869.65</v>
      </c>
      <c r="N45" s="3439">
        <f t="shared" si="0"/>
        <v>224.36</v>
      </c>
      <c r="O45" s="3439">
        <v>1.94</v>
      </c>
      <c r="P45" s="3442" t="s">
        <v>3332</v>
      </c>
      <c r="Q45" s="3439" t="s">
        <v>3235</v>
      </c>
    </row>
    <row r="46" spans="1:17">
      <c r="A46" s="3436" t="s">
        <v>3256</v>
      </c>
      <c r="B46" s="3436" t="s">
        <v>3197</v>
      </c>
      <c r="C46" s="3436" t="s">
        <v>3198</v>
      </c>
      <c r="D46" s="3436">
        <v>36581.4</v>
      </c>
      <c r="E46" s="3436">
        <v>73162.8</v>
      </c>
      <c r="F46" s="3436" t="s">
        <v>3220</v>
      </c>
      <c r="G46" s="3436" t="s">
        <v>3200</v>
      </c>
      <c r="H46" s="3436" t="s">
        <v>3210</v>
      </c>
      <c r="I46" s="3436" t="s">
        <v>3258</v>
      </c>
      <c r="J46" s="3436" t="s">
        <v>3258</v>
      </c>
      <c r="K46" s="3436">
        <v>12080</v>
      </c>
      <c r="L46" s="3436">
        <v>12280</v>
      </c>
      <c r="M46" s="3436">
        <v>1678.45</v>
      </c>
      <c r="N46" s="3436">
        <f t="shared" si="0"/>
        <v>223.79</v>
      </c>
      <c r="O46" s="3436">
        <v>1.66</v>
      </c>
      <c r="P46" s="3436" t="s">
        <v>3259</v>
      </c>
      <c r="Q46" s="3436" t="s">
        <v>3235</v>
      </c>
    </row>
    <row r="47" spans="1:17">
      <c r="A47" s="3436" t="s">
        <v>3256</v>
      </c>
      <c r="B47" s="3436" t="s">
        <v>3197</v>
      </c>
      <c r="C47" s="3436" t="s">
        <v>3198</v>
      </c>
      <c r="D47" s="3436">
        <v>25325.7</v>
      </c>
      <c r="E47" s="3436">
        <v>50651.4</v>
      </c>
      <c r="F47" s="3436" t="s">
        <v>3220</v>
      </c>
      <c r="G47" s="3436" t="s">
        <v>3200</v>
      </c>
      <c r="H47" s="3436" t="s">
        <v>3210</v>
      </c>
      <c r="I47" s="3436" t="s">
        <v>3258</v>
      </c>
      <c r="J47" s="3436" t="s">
        <v>3258</v>
      </c>
      <c r="K47" s="3436">
        <v>8360</v>
      </c>
      <c r="L47" s="3436">
        <v>8560</v>
      </c>
      <c r="M47" s="3436">
        <v>1689.98</v>
      </c>
      <c r="N47" s="3436">
        <f>ROUND(L47/(D47/666.67),2)</f>
        <v>225.33</v>
      </c>
      <c r="O47" s="3436">
        <v>2.39</v>
      </c>
      <c r="P47" s="3436" t="s">
        <v>3259</v>
      </c>
      <c r="Q47" s="3436" t="s">
        <v>3235</v>
      </c>
    </row>
    <row r="48" spans="1:17">
      <c r="D48" s="3436">
        <f>D37+D38+D39+D40+D41+D42+D43+D44+D45+D46+D47</f>
        <v>219527.18</v>
      </c>
      <c r="E48" s="3436">
        <f>E37+E38+E39+E40+E41+E42+E43+E44+E45+E46+E47</f>
        <v>424778.56</v>
      </c>
      <c r="F48" s="3436">
        <f>E48/D48</f>
        <v>1.9349702392204919</v>
      </c>
      <c r="L48" s="3436">
        <f>L37+L38+L39+L40+L41+L42+L43+L44+L45+L46+L47</f>
        <v>74200</v>
      </c>
      <c r="M48" s="3436">
        <f>L48*10000/E48</f>
        <v>1746.7924934817802</v>
      </c>
      <c r="N48" s="3436">
        <f t="shared" si="0"/>
        <v>225.33</v>
      </c>
    </row>
    <row r="49" spans="1:17">
      <c r="A49" s="3436" t="s">
        <v>3261</v>
      </c>
      <c r="B49" s="3436" t="s">
        <v>3197</v>
      </c>
      <c r="C49" s="3436" t="s">
        <v>3198</v>
      </c>
      <c r="D49" s="3436">
        <v>35117</v>
      </c>
      <c r="E49" s="3436">
        <v>70234</v>
      </c>
      <c r="F49" s="3436" t="s">
        <v>3220</v>
      </c>
      <c r="G49" s="3436" t="s">
        <v>3200</v>
      </c>
      <c r="H49" s="3436" t="s">
        <v>3210</v>
      </c>
      <c r="I49" s="3436" t="s">
        <v>3262</v>
      </c>
      <c r="J49" s="3436" t="s">
        <v>3262</v>
      </c>
      <c r="K49" s="3436">
        <v>14751</v>
      </c>
      <c r="L49" s="3436">
        <v>14811</v>
      </c>
      <c r="M49" s="3436">
        <v>2108.8000000000002</v>
      </c>
      <c r="N49" s="3436">
        <f t="shared" si="0"/>
        <v>281.18</v>
      </c>
      <c r="O49" s="3436">
        <v>0.41</v>
      </c>
      <c r="P49" s="3436" t="s">
        <v>3263</v>
      </c>
      <c r="Q49" s="3436" t="s">
        <v>3235</v>
      </c>
    </row>
    <row r="50" spans="1:17">
      <c r="A50" s="3436" t="s">
        <v>3261</v>
      </c>
      <c r="B50" s="3436" t="s">
        <v>3197</v>
      </c>
      <c r="C50" s="3436" t="s">
        <v>3198</v>
      </c>
      <c r="D50" s="3436">
        <v>64543</v>
      </c>
      <c r="E50" s="3436">
        <v>129086</v>
      </c>
      <c r="F50" s="3436" t="s">
        <v>3220</v>
      </c>
      <c r="G50" s="3436" t="s">
        <v>3200</v>
      </c>
      <c r="H50" s="3436" t="s">
        <v>3210</v>
      </c>
      <c r="I50" s="3436" t="s">
        <v>3262</v>
      </c>
      <c r="J50" s="3436" t="s">
        <v>3262</v>
      </c>
      <c r="K50" s="3436">
        <v>27107</v>
      </c>
      <c r="L50" s="3436">
        <v>27167</v>
      </c>
      <c r="M50" s="3436">
        <v>2104.5700000000002</v>
      </c>
      <c r="N50" s="3436">
        <f t="shared" si="0"/>
        <v>280.61</v>
      </c>
      <c r="O50" s="3436">
        <v>0.22</v>
      </c>
      <c r="P50" s="3436" t="s">
        <v>3263</v>
      </c>
      <c r="Q50" s="3436" t="s">
        <v>3235</v>
      </c>
    </row>
    <row r="51" spans="1:17">
      <c r="A51" s="3436" t="s">
        <v>3261</v>
      </c>
      <c r="B51" s="3436" t="s">
        <v>3197</v>
      </c>
      <c r="C51" s="3436" t="s">
        <v>3198</v>
      </c>
      <c r="D51" s="3436">
        <v>51752</v>
      </c>
      <c r="E51" s="3436">
        <v>103504</v>
      </c>
      <c r="F51" s="3436" t="s">
        <v>3220</v>
      </c>
      <c r="G51" s="3436" t="s">
        <v>3200</v>
      </c>
      <c r="H51" s="3436" t="s">
        <v>3210</v>
      </c>
      <c r="I51" s="3436" t="s">
        <v>3262</v>
      </c>
      <c r="J51" s="3436" t="s">
        <v>3262</v>
      </c>
      <c r="K51" s="3436">
        <v>21737</v>
      </c>
      <c r="L51" s="3436">
        <v>21797</v>
      </c>
      <c r="M51" s="3436">
        <v>2105.9</v>
      </c>
      <c r="N51" s="3436">
        <f t="shared" si="0"/>
        <v>280.79000000000002</v>
      </c>
      <c r="O51" s="3436">
        <v>0.28000000000000003</v>
      </c>
      <c r="P51" s="3436" t="s">
        <v>3263</v>
      </c>
      <c r="Q51" s="3436" t="s">
        <v>3235</v>
      </c>
    </row>
    <row r="52" spans="1:17">
      <c r="A52" s="3436" t="s">
        <v>3264</v>
      </c>
      <c r="B52" s="3436" t="s">
        <v>3197</v>
      </c>
      <c r="C52" s="3436" t="s">
        <v>3198</v>
      </c>
      <c r="D52" s="3436">
        <v>35152.720000000001</v>
      </c>
      <c r="E52" s="3436">
        <v>87881.8</v>
      </c>
      <c r="F52" s="3436" t="s">
        <v>3199</v>
      </c>
      <c r="G52" s="3436" t="s">
        <v>3200</v>
      </c>
      <c r="H52" s="3436" t="s">
        <v>3210</v>
      </c>
      <c r="I52" s="3436" t="s">
        <v>3265</v>
      </c>
      <c r="J52" s="3436" t="s">
        <v>3265</v>
      </c>
      <c r="K52" s="3436">
        <v>5280</v>
      </c>
      <c r="L52" s="3436">
        <v>5500</v>
      </c>
      <c r="M52" s="3436">
        <v>625.84</v>
      </c>
      <c r="N52" s="3436">
        <f t="shared" si="0"/>
        <v>104.31</v>
      </c>
      <c r="O52" s="3436">
        <v>4.17</v>
      </c>
      <c r="P52" s="3436" t="s">
        <v>3266</v>
      </c>
      <c r="Q52" s="3436" t="s">
        <v>3235</v>
      </c>
    </row>
    <row r="53" spans="1:17" s="3438" customFormat="1">
      <c r="A53" s="3438" t="s">
        <v>3267</v>
      </c>
      <c r="B53" s="3438" t="s">
        <v>3197</v>
      </c>
      <c r="C53" s="3438" t="s">
        <v>3198</v>
      </c>
      <c r="D53" s="3438">
        <v>61812.78</v>
      </c>
      <c r="E53" s="3438">
        <v>123625.56</v>
      </c>
      <c r="F53" s="3438" t="s">
        <v>3220</v>
      </c>
      <c r="G53" s="3438" t="s">
        <v>3200</v>
      </c>
      <c r="H53" s="3438" t="s">
        <v>3210</v>
      </c>
      <c r="I53" s="3438" t="s">
        <v>3268</v>
      </c>
      <c r="J53" s="3438" t="s">
        <v>3268</v>
      </c>
      <c r="K53" s="3438">
        <v>27820</v>
      </c>
      <c r="L53" s="3438">
        <v>33800</v>
      </c>
      <c r="M53" s="3438">
        <v>2734.05</v>
      </c>
      <c r="N53" s="3438">
        <f t="shared" si="0"/>
        <v>364.54</v>
      </c>
      <c r="O53" s="3438">
        <v>21.5</v>
      </c>
      <c r="P53" s="3438" t="s">
        <v>3266</v>
      </c>
      <c r="Q53" s="3438" t="s">
        <v>3235</v>
      </c>
    </row>
    <row r="54" spans="1:17" s="3438" customFormat="1">
      <c r="A54" s="3438" t="s">
        <v>3267</v>
      </c>
      <c r="B54" s="3438" t="s">
        <v>3197</v>
      </c>
      <c r="C54" s="3438" t="s">
        <v>3198</v>
      </c>
      <c r="D54" s="3438">
        <v>47295.03</v>
      </c>
      <c r="E54" s="3438">
        <v>85131.05</v>
      </c>
      <c r="F54" s="3438" t="s">
        <v>3257</v>
      </c>
      <c r="G54" s="3438" t="s">
        <v>3200</v>
      </c>
      <c r="H54" s="3438" t="s">
        <v>3210</v>
      </c>
      <c r="I54" s="3438" t="s">
        <v>3268</v>
      </c>
      <c r="J54" s="3438" t="s">
        <v>3268</v>
      </c>
      <c r="K54" s="3438">
        <v>21290</v>
      </c>
      <c r="L54" s="3438">
        <v>25600</v>
      </c>
      <c r="M54" s="3438">
        <v>3007.13</v>
      </c>
      <c r="N54" s="3438">
        <f t="shared" si="0"/>
        <v>360.86</v>
      </c>
      <c r="O54" s="3438">
        <v>20.239999999999998</v>
      </c>
      <c r="P54" s="3438" t="s">
        <v>3266</v>
      </c>
      <c r="Q54" s="3438" t="s">
        <v>3235</v>
      </c>
    </row>
    <row r="55" spans="1:17" s="3438" customFormat="1">
      <c r="A55" s="3438" t="s">
        <v>3264</v>
      </c>
      <c r="B55" s="3438" t="s">
        <v>3197</v>
      </c>
      <c r="C55" s="3438" t="s">
        <v>3198</v>
      </c>
      <c r="D55" s="3438">
        <v>11265.3</v>
      </c>
      <c r="E55" s="3438">
        <v>16897.95</v>
      </c>
      <c r="F55" s="3438" t="s">
        <v>3225</v>
      </c>
      <c r="G55" s="3438" t="s">
        <v>3200</v>
      </c>
      <c r="H55" s="3438" t="s">
        <v>3210</v>
      </c>
      <c r="I55" s="3438" t="s">
        <v>3268</v>
      </c>
      <c r="J55" s="3438" t="s">
        <v>3268</v>
      </c>
      <c r="K55" s="3438">
        <v>3800</v>
      </c>
      <c r="L55" s="3438">
        <v>6000</v>
      </c>
      <c r="M55" s="3438">
        <v>3550.73</v>
      </c>
      <c r="N55" s="3438">
        <f t="shared" si="0"/>
        <v>355.07</v>
      </c>
      <c r="O55" s="3438">
        <v>57.89</v>
      </c>
      <c r="P55" s="3438" t="s">
        <v>3266</v>
      </c>
      <c r="Q55" s="3438" t="s">
        <v>3235</v>
      </c>
    </row>
    <row r="56" spans="1:17">
      <c r="A56" s="3436" t="s">
        <v>3256</v>
      </c>
      <c r="B56" s="3436" t="s">
        <v>3197</v>
      </c>
      <c r="C56" s="3436" t="s">
        <v>3224</v>
      </c>
      <c r="D56" s="3436">
        <v>21595.59</v>
      </c>
      <c r="E56" s="3436">
        <v>43191.18</v>
      </c>
      <c r="F56" s="3436" t="s">
        <v>3269</v>
      </c>
      <c r="G56" s="3436" t="s">
        <v>3200</v>
      </c>
      <c r="H56" s="3436" t="s">
        <v>3270</v>
      </c>
      <c r="I56" s="3436" t="s">
        <v>3271</v>
      </c>
      <c r="J56" s="3436" t="s">
        <v>3271</v>
      </c>
      <c r="K56" s="3436">
        <v>7130</v>
      </c>
      <c r="L56" s="3436">
        <v>7330</v>
      </c>
      <c r="M56" s="3436">
        <v>1697.1</v>
      </c>
      <c r="N56" s="3436">
        <f t="shared" si="0"/>
        <v>226.28</v>
      </c>
      <c r="O56" s="3436">
        <v>2.81</v>
      </c>
      <c r="P56" s="3436" t="s">
        <v>3272</v>
      </c>
      <c r="Q56" s="3436" t="s">
        <v>3235</v>
      </c>
    </row>
    <row r="57" spans="1:17">
      <c r="A57" s="3436" t="s">
        <v>3256</v>
      </c>
      <c r="B57" s="3436" t="s">
        <v>3197</v>
      </c>
      <c r="C57" s="3436" t="s">
        <v>3224</v>
      </c>
      <c r="D57" s="3436">
        <v>39598.58</v>
      </c>
      <c r="E57" s="3436">
        <v>79197.16</v>
      </c>
      <c r="F57" s="3436" t="s">
        <v>3269</v>
      </c>
      <c r="G57" s="3436" t="s">
        <v>3200</v>
      </c>
      <c r="H57" s="3436" t="s">
        <v>3270</v>
      </c>
      <c r="I57" s="3436" t="s">
        <v>3271</v>
      </c>
      <c r="J57" s="3436" t="s">
        <v>3271</v>
      </c>
      <c r="K57" s="3436">
        <v>13070</v>
      </c>
      <c r="L57" s="3436">
        <v>13370</v>
      </c>
      <c r="M57" s="3436">
        <v>1688.19</v>
      </c>
      <c r="N57" s="3436">
        <f t="shared" si="0"/>
        <v>225.09</v>
      </c>
      <c r="O57" s="3436">
        <v>2.2999999999999998</v>
      </c>
      <c r="P57" s="3436" t="s">
        <v>3272</v>
      </c>
      <c r="Q57" s="3436" t="s">
        <v>3235</v>
      </c>
    </row>
    <row r="58" spans="1:17" s="3439" customFormat="1">
      <c r="A58" s="3439" t="s">
        <v>3256</v>
      </c>
      <c r="B58" s="3439" t="s">
        <v>3197</v>
      </c>
      <c r="C58" s="3439" t="s">
        <v>3224</v>
      </c>
      <c r="D58" s="3439">
        <v>64219.97</v>
      </c>
      <c r="E58" s="3439">
        <v>115596</v>
      </c>
      <c r="F58" s="3439" t="s">
        <v>3273</v>
      </c>
      <c r="G58" s="3439" t="s">
        <v>3200</v>
      </c>
      <c r="H58" s="3439" t="s">
        <v>3270</v>
      </c>
      <c r="I58" s="3439" t="s">
        <v>3271</v>
      </c>
      <c r="J58" s="3439" t="s">
        <v>3271</v>
      </c>
      <c r="K58" s="3439">
        <v>21200</v>
      </c>
      <c r="L58" s="3439">
        <v>21700</v>
      </c>
      <c r="M58" s="3439">
        <v>1877.23</v>
      </c>
      <c r="N58" s="3439">
        <f t="shared" si="0"/>
        <v>225.27</v>
      </c>
      <c r="O58" s="3439">
        <v>2.36</v>
      </c>
      <c r="P58" s="3442" t="s">
        <v>3333</v>
      </c>
      <c r="Q58" s="3439" t="s">
        <v>3235</v>
      </c>
    </row>
    <row r="59" spans="1:17">
      <c r="A59" s="3436" t="s">
        <v>3256</v>
      </c>
      <c r="B59" s="3436" t="s">
        <v>3197</v>
      </c>
      <c r="C59" s="3436" t="s">
        <v>3224</v>
      </c>
      <c r="D59" s="3436">
        <v>55674.97</v>
      </c>
      <c r="E59" s="3436">
        <v>100215</v>
      </c>
      <c r="F59" s="3436" t="s">
        <v>3273</v>
      </c>
      <c r="G59" s="3436" t="s">
        <v>3200</v>
      </c>
      <c r="H59" s="3436" t="s">
        <v>3270</v>
      </c>
      <c r="I59" s="3436" t="s">
        <v>3271</v>
      </c>
      <c r="J59" s="3436" t="s">
        <v>3271</v>
      </c>
      <c r="K59" s="3436">
        <v>18380</v>
      </c>
      <c r="L59" s="3436">
        <v>18780</v>
      </c>
      <c r="M59" s="3436">
        <v>1873.97</v>
      </c>
      <c r="N59" s="3436">
        <f t="shared" si="0"/>
        <v>224.88</v>
      </c>
      <c r="O59" s="3436">
        <v>2.1800000000000002</v>
      </c>
      <c r="P59" s="3436" t="s">
        <v>3272</v>
      </c>
      <c r="Q59" s="3436" t="s">
        <v>3235</v>
      </c>
    </row>
    <row r="60" spans="1:17">
      <c r="A60" s="3436" t="s">
        <v>3256</v>
      </c>
      <c r="B60" s="3436" t="s">
        <v>3197</v>
      </c>
      <c r="C60" s="3436" t="s">
        <v>3224</v>
      </c>
      <c r="D60" s="3436">
        <v>40602.769999999997</v>
      </c>
      <c r="E60" s="3436">
        <v>73084.990000000005</v>
      </c>
      <c r="F60" s="3436" t="s">
        <v>3273</v>
      </c>
      <c r="G60" s="3436" t="s">
        <v>3200</v>
      </c>
      <c r="H60" s="3436" t="s">
        <v>3270</v>
      </c>
      <c r="I60" s="3436" t="s">
        <v>3271</v>
      </c>
      <c r="J60" s="3436" t="s">
        <v>3271</v>
      </c>
      <c r="K60" s="3436">
        <v>13400</v>
      </c>
      <c r="L60" s="3436">
        <v>13700</v>
      </c>
      <c r="M60" s="3436">
        <v>1874.52</v>
      </c>
      <c r="N60" s="3436">
        <f t="shared" si="0"/>
        <v>224.94</v>
      </c>
      <c r="O60" s="3436">
        <v>2.2400000000000002</v>
      </c>
      <c r="P60" s="3436" t="s">
        <v>3272</v>
      </c>
      <c r="Q60" s="3436" t="s">
        <v>3235</v>
      </c>
    </row>
    <row r="61" spans="1:17">
      <c r="A61" s="3436" t="s">
        <v>3256</v>
      </c>
      <c r="B61" s="3436" t="s">
        <v>3197</v>
      </c>
      <c r="C61" s="3436" t="s">
        <v>3224</v>
      </c>
      <c r="D61" s="3436">
        <v>28221.9</v>
      </c>
      <c r="E61" s="3436">
        <v>42332.85</v>
      </c>
      <c r="F61" s="3436" t="s">
        <v>3274</v>
      </c>
      <c r="G61" s="3436" t="s">
        <v>3200</v>
      </c>
      <c r="H61" s="3436" t="s">
        <v>3270</v>
      </c>
      <c r="I61" s="3436" t="s">
        <v>3271</v>
      </c>
      <c r="J61" s="3436" t="s">
        <v>3271</v>
      </c>
      <c r="K61" s="3436">
        <v>9320</v>
      </c>
      <c r="L61" s="3436">
        <v>9520</v>
      </c>
      <c r="M61" s="3436">
        <v>2248.84</v>
      </c>
      <c r="N61" s="3436">
        <f t="shared" si="0"/>
        <v>224.89</v>
      </c>
      <c r="O61" s="3436">
        <v>2.15</v>
      </c>
      <c r="P61" s="3436" t="s">
        <v>3272</v>
      </c>
      <c r="Q61" s="3436" t="s">
        <v>3235</v>
      </c>
    </row>
    <row r="62" spans="1:17">
      <c r="D62" s="3436">
        <f>D56+D57+D58+D59+D60+D61</f>
        <v>249913.77999999997</v>
      </c>
      <c r="E62" s="3436">
        <f>E56+E57+E58+E59+E60+E61</f>
        <v>453617.17999999993</v>
      </c>
      <c r="F62" s="3436">
        <f>E62/D62</f>
        <v>1.8150947098635377</v>
      </c>
      <c r="L62" s="3436">
        <f>L56+L57+L58+L59+L60+L61</f>
        <v>84400</v>
      </c>
      <c r="M62" s="3436">
        <f>L62*10000/E62</f>
        <v>1860.5997241991586</v>
      </c>
      <c r="N62" s="3436">
        <f>ROUND(L62/(D62/666.67),2)</f>
        <v>225.15</v>
      </c>
    </row>
    <row r="63" spans="1:17" s="3440" customFormat="1">
      <c r="A63" s="3440" t="s">
        <v>3264</v>
      </c>
      <c r="B63" s="3440" t="s">
        <v>3197</v>
      </c>
      <c r="C63" s="3440" t="s">
        <v>3198</v>
      </c>
      <c r="D63" s="3440">
        <v>52422.49</v>
      </c>
      <c r="E63" s="3440">
        <v>131056.23</v>
      </c>
      <c r="F63" s="3440" t="s">
        <v>3199</v>
      </c>
      <c r="G63" s="3440" t="s">
        <v>3200</v>
      </c>
      <c r="H63" s="3440" t="s">
        <v>3275</v>
      </c>
      <c r="I63" s="3440" t="s">
        <v>3276</v>
      </c>
      <c r="J63" s="3440" t="s">
        <v>3276</v>
      </c>
      <c r="K63" s="3440" t="s">
        <v>2797</v>
      </c>
      <c r="L63" s="3440">
        <v>19185.72</v>
      </c>
      <c r="M63" s="3440">
        <v>1463.93</v>
      </c>
      <c r="N63" s="3440">
        <f t="shared" si="0"/>
        <v>243.99</v>
      </c>
      <c r="O63" s="3440" t="s">
        <v>2797</v>
      </c>
      <c r="P63" s="3440" t="s">
        <v>3277</v>
      </c>
      <c r="Q63" s="3440" t="s">
        <v>3235</v>
      </c>
    </row>
    <row r="64" spans="1:17" s="3440" customFormat="1">
      <c r="A64" s="3440" t="s">
        <v>3264</v>
      </c>
      <c r="B64" s="3440" t="s">
        <v>3197</v>
      </c>
      <c r="C64" s="3440" t="s">
        <v>3198</v>
      </c>
      <c r="D64" s="3440">
        <v>59476.959999999999</v>
      </c>
      <c r="E64" s="3440">
        <v>148692.4</v>
      </c>
      <c r="F64" s="3440" t="s">
        <v>3199</v>
      </c>
      <c r="G64" s="3440" t="s">
        <v>3200</v>
      </c>
      <c r="H64" s="3440" t="s">
        <v>3275</v>
      </c>
      <c r="I64" s="3440" t="s">
        <v>3276</v>
      </c>
      <c r="J64" s="3440" t="s">
        <v>3276</v>
      </c>
      <c r="K64" s="3440" t="s">
        <v>2797</v>
      </c>
      <c r="L64" s="3440">
        <v>21769.68</v>
      </c>
      <c r="M64" s="3440">
        <v>1464.06</v>
      </c>
      <c r="N64" s="3440">
        <f t="shared" si="0"/>
        <v>244.01</v>
      </c>
      <c r="O64" s="3440" t="s">
        <v>2797</v>
      </c>
      <c r="P64" s="3440" t="s">
        <v>3277</v>
      </c>
      <c r="Q64" s="3440" t="s">
        <v>3235</v>
      </c>
    </row>
    <row r="65" spans="1:17">
      <c r="A65" s="3436" t="s">
        <v>3278</v>
      </c>
      <c r="B65" s="3436" t="s">
        <v>3197</v>
      </c>
      <c r="C65" s="3436" t="s">
        <v>3198</v>
      </c>
      <c r="D65" s="3436">
        <v>18336.32</v>
      </c>
      <c r="E65" s="3436">
        <v>36672.639999999999</v>
      </c>
      <c r="F65" s="3436" t="s">
        <v>3220</v>
      </c>
      <c r="G65" s="3436" t="s">
        <v>3200</v>
      </c>
      <c r="H65" s="3436" t="s">
        <v>3275</v>
      </c>
      <c r="I65" s="3436" t="s">
        <v>3279</v>
      </c>
      <c r="J65" s="3436" t="s">
        <v>3279</v>
      </c>
      <c r="K65" s="3436">
        <v>5536</v>
      </c>
      <c r="L65" s="3436">
        <v>5721</v>
      </c>
      <c r="M65" s="3436">
        <v>1560.01</v>
      </c>
      <c r="N65" s="3436">
        <f t="shared" si="0"/>
        <v>208</v>
      </c>
      <c r="O65" s="3436">
        <v>3.34</v>
      </c>
      <c r="P65" s="3436" t="s">
        <v>3280</v>
      </c>
      <c r="Q65" s="3436" t="s">
        <v>3229</v>
      </c>
    </row>
    <row r="66" spans="1:17">
      <c r="A66" s="3436" t="s">
        <v>3281</v>
      </c>
      <c r="B66" s="3436" t="s">
        <v>3197</v>
      </c>
      <c r="C66" s="3436" t="s">
        <v>3198</v>
      </c>
      <c r="D66" s="3436">
        <v>14970.86</v>
      </c>
      <c r="E66" s="3436">
        <v>26947.55</v>
      </c>
      <c r="F66" s="3436" t="s">
        <v>3257</v>
      </c>
      <c r="G66" s="3436" t="s">
        <v>3200</v>
      </c>
      <c r="H66" s="3436" t="s">
        <v>3275</v>
      </c>
      <c r="I66" s="3436" t="s">
        <v>3282</v>
      </c>
      <c r="J66" s="3436" t="s">
        <v>3282</v>
      </c>
      <c r="K66" s="3436">
        <v>5660</v>
      </c>
      <c r="L66" s="3436">
        <v>5682.46</v>
      </c>
      <c r="M66" s="3436">
        <v>2108.71</v>
      </c>
      <c r="N66" s="3436">
        <f t="shared" si="0"/>
        <v>253.05</v>
      </c>
      <c r="O66" s="3436">
        <v>0.4</v>
      </c>
      <c r="P66" s="3436" t="s">
        <v>3283</v>
      </c>
      <c r="Q66" s="3436" t="s">
        <v>3235</v>
      </c>
    </row>
    <row r="67" spans="1:17" s="3439" customFormat="1">
      <c r="A67" s="3442" t="s">
        <v>3334</v>
      </c>
      <c r="B67" s="3439" t="s">
        <v>3197</v>
      </c>
      <c r="C67" s="3439" t="s">
        <v>3198</v>
      </c>
      <c r="D67" s="3439">
        <v>17388.64</v>
      </c>
      <c r="E67" s="3439">
        <v>31299.55</v>
      </c>
      <c r="F67" s="3439" t="s">
        <v>3257</v>
      </c>
      <c r="G67" s="3439" t="s">
        <v>3200</v>
      </c>
      <c r="H67" s="3439" t="s">
        <v>3275</v>
      </c>
      <c r="I67" s="3439" t="s">
        <v>3282</v>
      </c>
      <c r="J67" s="3439" t="s">
        <v>3282</v>
      </c>
      <c r="K67" s="3439">
        <v>6575</v>
      </c>
      <c r="L67" s="3439">
        <v>6601.07</v>
      </c>
      <c r="M67" s="3439">
        <v>2109</v>
      </c>
      <c r="N67" s="3439">
        <f t="shared" ref="N67:N76" si="1">ROUND(L67/(D67/666.67),2)</f>
        <v>253.08</v>
      </c>
      <c r="O67" s="3439">
        <v>0.4</v>
      </c>
      <c r="P67" s="3442" t="s">
        <v>3335</v>
      </c>
      <c r="Q67" s="3439" t="s">
        <v>3235</v>
      </c>
    </row>
    <row r="68" spans="1:17">
      <c r="A68" s="3436" t="s">
        <v>3284</v>
      </c>
      <c r="B68" s="3436" t="s">
        <v>3197</v>
      </c>
      <c r="C68" s="3436" t="s">
        <v>3198</v>
      </c>
      <c r="D68" s="3436">
        <v>39320.660000000003</v>
      </c>
      <c r="E68" s="3436">
        <v>98301.65</v>
      </c>
      <c r="F68" s="3436" t="s">
        <v>3199</v>
      </c>
      <c r="G68" s="3436" t="s">
        <v>3200</v>
      </c>
      <c r="H68" s="3436" t="s">
        <v>3275</v>
      </c>
      <c r="I68" s="3436" t="s">
        <v>3285</v>
      </c>
      <c r="J68" s="3436" t="s">
        <v>3285</v>
      </c>
      <c r="K68" s="3436">
        <v>4720</v>
      </c>
      <c r="L68" s="3436">
        <v>8800</v>
      </c>
      <c r="M68" s="3436">
        <v>895.2</v>
      </c>
      <c r="N68" s="3436">
        <f t="shared" si="1"/>
        <v>149.19999999999999</v>
      </c>
      <c r="O68" s="3436">
        <v>86.44</v>
      </c>
      <c r="P68" s="3436" t="s">
        <v>3286</v>
      </c>
      <c r="Q68" s="3436" t="s">
        <v>3233</v>
      </c>
    </row>
    <row r="69" spans="1:17">
      <c r="A69" s="3436" t="s">
        <v>3287</v>
      </c>
      <c r="B69" s="3436" t="s">
        <v>3197</v>
      </c>
      <c r="C69" s="3436" t="s">
        <v>3198</v>
      </c>
      <c r="D69" s="3436">
        <v>14990.35</v>
      </c>
      <c r="E69" s="3436">
        <v>37475.879999999997</v>
      </c>
      <c r="F69" s="3436" t="s">
        <v>3209</v>
      </c>
      <c r="G69" s="3436" t="s">
        <v>3200</v>
      </c>
      <c r="H69" s="3436" t="s">
        <v>3275</v>
      </c>
      <c r="I69" s="3436" t="s">
        <v>3285</v>
      </c>
      <c r="J69" s="3436" t="s">
        <v>3285</v>
      </c>
      <c r="K69" s="3436">
        <v>2834</v>
      </c>
      <c r="L69" s="3436">
        <v>2834</v>
      </c>
      <c r="M69" s="3436">
        <v>756.22</v>
      </c>
      <c r="N69" s="3436">
        <f t="shared" si="1"/>
        <v>126.04</v>
      </c>
      <c r="O69" s="3436">
        <v>0</v>
      </c>
      <c r="P69" s="3436" t="s">
        <v>3288</v>
      </c>
      <c r="Q69" s="3436" t="s">
        <v>3229</v>
      </c>
    </row>
    <row r="70" spans="1:17">
      <c r="A70" s="3436" t="s">
        <v>3289</v>
      </c>
      <c r="B70" s="3436" t="s">
        <v>3197</v>
      </c>
      <c r="C70" s="3436" t="s">
        <v>3198</v>
      </c>
      <c r="D70" s="3436">
        <v>75346.25</v>
      </c>
      <c r="E70" s="3436">
        <v>188365.6</v>
      </c>
      <c r="F70" s="3436" t="s">
        <v>3199</v>
      </c>
      <c r="G70" s="3436" t="s">
        <v>3200</v>
      </c>
      <c r="H70" s="3436" t="s">
        <v>3275</v>
      </c>
      <c r="I70" s="3436" t="s">
        <v>3285</v>
      </c>
      <c r="J70" s="3436" t="s">
        <v>3285</v>
      </c>
      <c r="K70" s="3436">
        <v>9042</v>
      </c>
      <c r="L70" s="3436">
        <v>17200</v>
      </c>
      <c r="M70" s="3436">
        <v>913.12</v>
      </c>
      <c r="N70" s="3436">
        <f t="shared" si="1"/>
        <v>152.19</v>
      </c>
      <c r="O70" s="3436">
        <v>90.22</v>
      </c>
      <c r="P70" s="3436" t="s">
        <v>3290</v>
      </c>
      <c r="Q70" s="3436" t="s">
        <v>3229</v>
      </c>
    </row>
    <row r="71" spans="1:17">
      <c r="A71" s="3436" t="s">
        <v>3284</v>
      </c>
      <c r="B71" s="3436" t="s">
        <v>3197</v>
      </c>
      <c r="C71" s="3436" t="s">
        <v>3198</v>
      </c>
      <c r="D71" s="3436">
        <v>63926.15</v>
      </c>
      <c r="E71" s="3436">
        <v>159815.4</v>
      </c>
      <c r="F71" s="3436" t="s">
        <v>3199</v>
      </c>
      <c r="G71" s="3436" t="s">
        <v>3200</v>
      </c>
      <c r="H71" s="3436" t="s">
        <v>3275</v>
      </c>
      <c r="I71" s="3436" t="s">
        <v>3285</v>
      </c>
      <c r="J71" s="3436" t="s">
        <v>3285</v>
      </c>
      <c r="K71" s="3436">
        <v>7672</v>
      </c>
      <c r="L71" s="3436">
        <v>15200</v>
      </c>
      <c r="M71" s="3436">
        <v>951.1</v>
      </c>
      <c r="N71" s="3436">
        <f t="shared" si="1"/>
        <v>158.52000000000001</v>
      </c>
      <c r="O71" s="3436">
        <v>98.12</v>
      </c>
      <c r="P71" s="3436" t="s">
        <v>3286</v>
      </c>
      <c r="Q71" s="3436" t="s">
        <v>3229</v>
      </c>
    </row>
    <row r="72" spans="1:17">
      <c r="A72" s="3436" t="s">
        <v>3289</v>
      </c>
      <c r="B72" s="3436" t="s">
        <v>3197</v>
      </c>
      <c r="C72" s="3436" t="s">
        <v>3198</v>
      </c>
      <c r="D72" s="3436">
        <v>51530.81</v>
      </c>
      <c r="E72" s="3436">
        <v>128827</v>
      </c>
      <c r="F72" s="3436" t="s">
        <v>3199</v>
      </c>
      <c r="G72" s="3436" t="s">
        <v>3200</v>
      </c>
      <c r="H72" s="3436" t="s">
        <v>3275</v>
      </c>
      <c r="I72" s="3436" t="s">
        <v>3285</v>
      </c>
      <c r="J72" s="3436" t="s">
        <v>3285</v>
      </c>
      <c r="K72" s="3436">
        <v>6184</v>
      </c>
      <c r="L72" s="3436">
        <v>13200</v>
      </c>
      <c r="M72" s="3436">
        <v>1024.6300000000001</v>
      </c>
      <c r="N72" s="3436">
        <f t="shared" si="1"/>
        <v>170.77</v>
      </c>
      <c r="O72" s="3436">
        <v>113.45</v>
      </c>
      <c r="P72" s="3436" t="s">
        <v>3290</v>
      </c>
      <c r="Q72" s="3436" t="s">
        <v>3229</v>
      </c>
    </row>
    <row r="73" spans="1:17">
      <c r="A73" s="3436" t="s">
        <v>3251</v>
      </c>
      <c r="B73" s="3436" t="s">
        <v>3197</v>
      </c>
      <c r="C73" s="3436" t="s">
        <v>3198</v>
      </c>
      <c r="D73" s="3436">
        <v>63891.71</v>
      </c>
      <c r="E73" s="3436">
        <v>140561.76</v>
      </c>
      <c r="F73" s="3436" t="s">
        <v>3291</v>
      </c>
      <c r="G73" s="3436" t="s">
        <v>3200</v>
      </c>
      <c r="H73" s="3436" t="s">
        <v>3275</v>
      </c>
      <c r="I73" s="3436" t="s">
        <v>3292</v>
      </c>
      <c r="J73" s="3436" t="s">
        <v>3292</v>
      </c>
      <c r="K73" s="3436">
        <v>15830</v>
      </c>
      <c r="L73" s="3436">
        <v>17400</v>
      </c>
      <c r="M73" s="3436">
        <v>1237.8900000000001</v>
      </c>
      <c r="N73" s="3436">
        <f t="shared" si="1"/>
        <v>181.56</v>
      </c>
      <c r="O73" s="3436">
        <v>9.92</v>
      </c>
      <c r="P73" s="3436" t="s">
        <v>3293</v>
      </c>
      <c r="Q73" s="3436" t="s">
        <v>3294</v>
      </c>
    </row>
    <row r="74" spans="1:17">
      <c r="A74" s="3436" t="s">
        <v>3295</v>
      </c>
      <c r="B74" s="3436" t="s">
        <v>3197</v>
      </c>
      <c r="C74" s="3436" t="s">
        <v>3198</v>
      </c>
      <c r="D74" s="3436">
        <v>32466.92</v>
      </c>
      <c r="E74" s="3436">
        <v>81167.3</v>
      </c>
      <c r="F74" s="3436" t="s">
        <v>3199</v>
      </c>
      <c r="G74" s="3436" t="s">
        <v>3200</v>
      </c>
      <c r="H74" s="3436" t="s">
        <v>3296</v>
      </c>
      <c r="I74" s="3436" t="s">
        <v>3297</v>
      </c>
      <c r="J74" s="3436" t="s">
        <v>3297</v>
      </c>
      <c r="K74" s="3436">
        <v>9800</v>
      </c>
      <c r="L74" s="3436">
        <v>22500</v>
      </c>
      <c r="M74" s="3436">
        <v>2772.05</v>
      </c>
      <c r="N74" s="3436">
        <f t="shared" si="1"/>
        <v>462.01</v>
      </c>
      <c r="O74" s="3436">
        <v>129.59</v>
      </c>
      <c r="P74" s="3436" t="s">
        <v>3298</v>
      </c>
      <c r="Q74" s="3436" t="s">
        <v>3235</v>
      </c>
    </row>
    <row r="75" spans="1:17">
      <c r="A75" s="3436" t="s">
        <v>3295</v>
      </c>
      <c r="B75" s="3436" t="s">
        <v>3197</v>
      </c>
      <c r="C75" s="3436" t="s">
        <v>3198</v>
      </c>
      <c r="D75" s="3436">
        <v>68876.45</v>
      </c>
      <c r="E75" s="3436">
        <v>172191.13</v>
      </c>
      <c r="F75" s="3436" t="s">
        <v>3199</v>
      </c>
      <c r="G75" s="3436" t="s">
        <v>3200</v>
      </c>
      <c r="H75" s="3436" t="s">
        <v>3296</v>
      </c>
      <c r="I75" s="3436" t="s">
        <v>3297</v>
      </c>
      <c r="J75" s="3436" t="s">
        <v>3297</v>
      </c>
      <c r="K75" s="3436">
        <v>21000</v>
      </c>
      <c r="L75" s="3436">
        <v>48000</v>
      </c>
      <c r="M75" s="3436">
        <v>2787.59</v>
      </c>
      <c r="N75" s="3436">
        <f t="shared" si="1"/>
        <v>464.6</v>
      </c>
      <c r="O75" s="3436">
        <v>128.57</v>
      </c>
      <c r="P75" s="3436" t="s">
        <v>3298</v>
      </c>
      <c r="Q75" s="3436" t="s">
        <v>3235</v>
      </c>
    </row>
    <row r="76" spans="1:17">
      <c r="A76" s="3436" t="s">
        <v>3295</v>
      </c>
      <c r="B76" s="3436" t="s">
        <v>3197</v>
      </c>
      <c r="C76" s="3436" t="s">
        <v>3198</v>
      </c>
      <c r="D76" s="3436">
        <v>41247.279999999999</v>
      </c>
      <c r="E76" s="3436">
        <v>103118.2</v>
      </c>
      <c r="F76" s="3436" t="s">
        <v>3199</v>
      </c>
      <c r="G76" s="3436" t="s">
        <v>3200</v>
      </c>
      <c r="H76" s="3436" t="s">
        <v>3296</v>
      </c>
      <c r="I76" s="3436" t="s">
        <v>3297</v>
      </c>
      <c r="J76" s="3436" t="s">
        <v>3297</v>
      </c>
      <c r="K76" s="3436">
        <v>12400</v>
      </c>
      <c r="L76" s="3436">
        <v>30000</v>
      </c>
      <c r="M76" s="3436">
        <v>2909.28</v>
      </c>
      <c r="N76" s="3436">
        <f t="shared" si="1"/>
        <v>484.88</v>
      </c>
      <c r="O76" s="3436">
        <v>141.94</v>
      </c>
      <c r="P76" s="3436" t="s">
        <v>3298</v>
      </c>
      <c r="Q76" s="3436" t="s">
        <v>3235</v>
      </c>
    </row>
    <row r="77" spans="1:17">
      <c r="A77" s="3436" t="s">
        <v>3295</v>
      </c>
      <c r="B77" s="3436" t="s">
        <v>3197</v>
      </c>
      <c r="C77" s="3436" t="s">
        <v>3198</v>
      </c>
      <c r="D77" s="3436">
        <v>65163.1</v>
      </c>
      <c r="E77" s="3436">
        <v>162907.75</v>
      </c>
      <c r="F77" s="3436" t="s">
        <v>3199</v>
      </c>
      <c r="G77" s="3436" t="s">
        <v>3200</v>
      </c>
      <c r="H77" s="3436" t="s">
        <v>3296</v>
      </c>
      <c r="I77" s="3436" t="s">
        <v>3297</v>
      </c>
      <c r="J77" s="3436" t="s">
        <v>3297</v>
      </c>
      <c r="K77" s="3436">
        <v>19600</v>
      </c>
      <c r="L77" s="3436">
        <v>45400</v>
      </c>
      <c r="M77" s="3436">
        <v>2786.84</v>
      </c>
      <c r="N77" s="3436">
        <f>ROUND(L77/(D77/666.67),2)</f>
        <v>464.48</v>
      </c>
      <c r="O77" s="3436">
        <v>131.63</v>
      </c>
      <c r="P77" s="3436" t="s">
        <v>3298</v>
      </c>
      <c r="Q77" s="3436" t="s">
        <v>3235</v>
      </c>
    </row>
    <row r="78" spans="1:17">
      <c r="A78" s="3436" t="s">
        <v>3295</v>
      </c>
      <c r="B78" s="3436" t="s">
        <v>3197</v>
      </c>
      <c r="C78" s="3436" t="s">
        <v>3198</v>
      </c>
      <c r="D78" s="3436">
        <v>39926.25</v>
      </c>
      <c r="E78" s="3436">
        <v>99815.63</v>
      </c>
      <c r="F78" s="3436" t="s">
        <v>3199</v>
      </c>
      <c r="G78" s="3436" t="s">
        <v>3200</v>
      </c>
      <c r="H78" s="3436" t="s">
        <v>3296</v>
      </c>
      <c r="I78" s="3436" t="s">
        <v>3297</v>
      </c>
      <c r="J78" s="3436" t="s">
        <v>3297</v>
      </c>
      <c r="K78" s="3436">
        <v>12000</v>
      </c>
      <c r="L78" s="3436">
        <v>30000</v>
      </c>
      <c r="M78" s="3436">
        <v>3005.53</v>
      </c>
      <c r="N78" s="3436">
        <f t="shared" ref="N78:N80" si="2">ROUND(L78/(D78/666.67),2)</f>
        <v>500.93</v>
      </c>
      <c r="O78" s="3436">
        <v>150</v>
      </c>
      <c r="P78" s="3436" t="s">
        <v>3298</v>
      </c>
      <c r="Q78" s="3436" t="s">
        <v>3235</v>
      </c>
    </row>
    <row r="79" spans="1:17">
      <c r="A79" s="3436" t="s">
        <v>3295</v>
      </c>
      <c r="B79" s="3436" t="s">
        <v>3197</v>
      </c>
      <c r="C79" s="3436" t="s">
        <v>3198</v>
      </c>
      <c r="D79" s="3436">
        <v>63740.83</v>
      </c>
      <c r="E79" s="3436">
        <v>159352.07999999999</v>
      </c>
      <c r="F79" s="3436" t="s">
        <v>3199</v>
      </c>
      <c r="G79" s="3436" t="s">
        <v>3200</v>
      </c>
      <c r="H79" s="3436" t="s">
        <v>3296</v>
      </c>
      <c r="I79" s="3436" t="s">
        <v>3297</v>
      </c>
      <c r="J79" s="3436" t="s">
        <v>3297</v>
      </c>
      <c r="K79" s="3436">
        <v>19200</v>
      </c>
      <c r="L79" s="3436">
        <v>45000</v>
      </c>
      <c r="M79" s="3436">
        <v>2823.94</v>
      </c>
      <c r="N79" s="3436">
        <f t="shared" si="2"/>
        <v>470.66</v>
      </c>
      <c r="O79" s="3436">
        <v>134.38</v>
      </c>
      <c r="P79" s="3436" t="s">
        <v>3298</v>
      </c>
      <c r="Q79" s="3436" t="s">
        <v>3235</v>
      </c>
    </row>
    <row r="80" spans="1:17">
      <c r="A80" s="3436" t="s">
        <v>3295</v>
      </c>
      <c r="B80" s="3436" t="s">
        <v>3197</v>
      </c>
      <c r="C80" s="3436" t="s">
        <v>3198</v>
      </c>
      <c r="D80" s="3436">
        <v>53207.12</v>
      </c>
      <c r="E80" s="3436">
        <v>133017.79999999999</v>
      </c>
      <c r="F80" s="3436" t="s">
        <v>3199</v>
      </c>
      <c r="G80" s="3436" t="s">
        <v>3200</v>
      </c>
      <c r="H80" s="3436" t="s">
        <v>3296</v>
      </c>
      <c r="I80" s="3436" t="s">
        <v>3297</v>
      </c>
      <c r="J80" s="3436" t="s">
        <v>3297</v>
      </c>
      <c r="K80" s="3436">
        <v>16000</v>
      </c>
      <c r="L80" s="3436">
        <v>37300</v>
      </c>
      <c r="M80" s="3436">
        <v>2804.13</v>
      </c>
      <c r="N80" s="3436">
        <f t="shared" si="2"/>
        <v>467.36</v>
      </c>
      <c r="O80" s="3436">
        <v>133.13</v>
      </c>
      <c r="P80" s="3436" t="s">
        <v>3298</v>
      </c>
      <c r="Q80" s="3436" t="s">
        <v>3235</v>
      </c>
    </row>
  </sheetData>
  <phoneticPr fontId="228" type="noConversion"/>
  <pageMargins left="0.75" right="0.75" top="1" bottom="1" header="0.5" footer="0.5"/>
  <pageSetup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30" sqref="N3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45079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2064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6966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464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156279</v>
      </c>
      <c r="D6" s="2546"/>
      <c r="E6" s="2546"/>
      <c r="F6" s="2546"/>
      <c r="G6" s="2546"/>
      <c r="H6" s="2546"/>
      <c r="I6" s="2546"/>
      <c r="J6" s="2546"/>
      <c r="K6" s="2548"/>
      <c r="L6" s="3195"/>
      <c r="M6" s="3195"/>
      <c r="N6" s="3195"/>
      <c r="O6" s="3195"/>
      <c r="P6" s="3195"/>
      <c r="Q6" s="3195"/>
      <c r="R6" s="3195"/>
      <c r="S6" s="3195"/>
      <c r="T6" s="3195"/>
      <c r="U6" s="3195"/>
      <c r="V6" s="3195"/>
      <c r="W6" s="3195"/>
      <c r="X6" s="3195"/>
      <c r="Y6" s="3195"/>
      <c r="Z6" s="3195"/>
    </row>
    <row r="7" spans="1:31" s="1995" customFormat="1" ht="15">
      <c r="A7" s="2549" t="s">
        <v>464</v>
      </c>
      <c r="B7" s="2550" t="s">
        <v>465</v>
      </c>
      <c r="C7" s="430" t="s">
        <v>913</v>
      </c>
      <c r="D7" s="430" t="s">
        <v>3023</v>
      </c>
      <c r="E7" s="430"/>
      <c r="F7" s="430"/>
      <c r="G7" s="430"/>
      <c r="H7" s="430"/>
      <c r="I7" s="430"/>
      <c r="J7" s="430"/>
      <c r="K7" s="431"/>
      <c r="L7" s="1995">
        <f ca="1">C6/D16</f>
        <v>0.71554759154516601</v>
      </c>
      <c r="AA7" s="1994"/>
      <c r="AB7" s="1994"/>
      <c r="AC7" s="1994"/>
      <c r="AD7" s="1994"/>
      <c r="AE7" s="1994"/>
    </row>
    <row r="8" spans="1:31" s="1997" customFormat="1" ht="13.5" customHeight="1">
      <c r="A8" s="793" t="s">
        <v>1835</v>
      </c>
      <c r="B8" s="259" t="s">
        <v>466</v>
      </c>
      <c r="C8" s="2551">
        <f>'不动产比较法-住宅'!C48</f>
        <v>9142</v>
      </c>
      <c r="D8" s="2551">
        <f ca="1">不动产收益法!B3</f>
        <v>1480</v>
      </c>
      <c r="E8" s="2551"/>
      <c r="F8" s="2551"/>
      <c r="G8" s="2551"/>
      <c r="H8" s="2551"/>
      <c r="I8" s="2551"/>
      <c r="J8" s="2551"/>
      <c r="K8" s="2552"/>
      <c r="M8" s="1997">
        <f ca="1">D9/D16</f>
        <v>0.25925927621723999</v>
      </c>
      <c r="AA8" s="1996"/>
      <c r="AB8" s="1996"/>
      <c r="AC8" s="1996"/>
      <c r="AD8" s="1996"/>
      <c r="AE8" s="1996"/>
    </row>
    <row r="9" spans="1:31" s="1997" customFormat="1" ht="13.5" customHeight="1">
      <c r="A9" s="793" t="s">
        <v>1836</v>
      </c>
      <c r="B9" s="259" t="s">
        <v>467</v>
      </c>
      <c r="C9" s="435">
        <f>SUMIF('数据-汇总表'!$C19:$C33,'剩余法-待开发'!C7,'数据-汇总表'!$E19:$E33)</f>
        <v>161781.29999999999</v>
      </c>
      <c r="D9" s="435">
        <f>SUMIF('数据-汇总表'!$C19:$C33,'剩余法-待开发'!D7,'数据-汇总表'!$E19:$E33)</f>
        <v>56623.46</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147900</v>
      </c>
      <c r="D10" s="2742">
        <f ca="1">不动产收益法!B2</f>
        <v>8379</v>
      </c>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5"/>
      <c r="M11" s="3195"/>
      <c r="N11" s="3195"/>
      <c r="O11" s="3195"/>
      <c r="P11" s="3195"/>
      <c r="Q11" s="3195"/>
      <c r="R11" s="3195"/>
      <c r="S11" s="3195"/>
      <c r="T11" s="3195"/>
      <c r="U11" s="3195"/>
      <c r="V11" s="3195"/>
      <c r="W11" s="3195"/>
      <c r="X11" s="3195"/>
      <c r="Y11" s="3195"/>
      <c r="Z11" s="3195"/>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6"/>
      <c r="M12" s="3196"/>
      <c r="N12" s="3196"/>
      <c r="O12" s="3196"/>
      <c r="P12" s="3196"/>
      <c r="Q12" s="3196"/>
      <c r="R12" s="3196"/>
      <c r="S12" s="3196"/>
      <c r="T12" s="3196"/>
      <c r="U12" s="3196"/>
      <c r="V12" s="3196"/>
      <c r="W12" s="3196"/>
      <c r="X12" s="3196"/>
      <c r="Y12" s="3196"/>
      <c r="Z12" s="3196"/>
    </row>
    <row r="13" spans="1:31" s="1998" customFormat="1" ht="13.5" customHeight="1">
      <c r="A13" s="2559" t="s">
        <v>1838</v>
      </c>
      <c r="B13" s="2560" t="s">
        <v>473</v>
      </c>
      <c r="C13" s="444">
        <f ca="1">IF(B1="",'数据-取费表'!P16,INDIRECT("'数据-取费表'!p"&amp;$K$1)+INDIRECT("'数据-取费表'!t"&amp;$K$1))</f>
        <v>59859</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1796</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2427</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4368</v>
      </c>
      <c r="D16" s="2561">
        <f ca="1">IF(B1="",'数据-汇总表'!E3,INDIRECT("'数据-取费表'!K"&amp;$K$1)+INDIRECT("'数据-取费表'!S"&amp;$K$1))</f>
        <v>218404.75999999998</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898</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69348</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1966</v>
      </c>
      <c r="D19" s="2571">
        <f ca="1">D16</f>
        <v>218404.75999999998</v>
      </c>
      <c r="E19" s="2525">
        <f>'数据-取费表'!B32</f>
        <v>90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328</v>
      </c>
      <c r="D20" s="2571"/>
      <c r="E20" s="2525"/>
      <c r="F20" s="2572"/>
      <c r="G20" s="2776"/>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243</v>
      </c>
      <c r="D21" s="2561">
        <f ca="1">IF(B1="",'数据-汇总表'!E5,IF(INDIRECT("'数据-取费表'!c"&amp;$K$1)="住宅",INDIRECT("'数据-取费表'!k"&amp;$K$1),0))</f>
        <v>161781.29999999999</v>
      </c>
      <c r="E21" s="53">
        <f>'数据-取费表'!B27</f>
        <v>15</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85</v>
      </c>
      <c r="D22" s="2561">
        <f ca="1">IF(B1="",'数据-汇总表'!E6,IF(INDIRECT("'数据-取费表'!c"&amp;$K$1)="住宅",INDIRECT("'数据-取费表'!s"&amp;$K$1),INDIRECT("'数据-取费表'!k"&amp;$K$1)+INDIRECT("'数据-取费表'!s"&amp;$K$1)))</f>
        <v>56623.459999999992</v>
      </c>
      <c r="E22" s="53">
        <f>'数据-取费表'!B28</f>
        <v>15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2813</v>
      </c>
      <c r="C23" s="2569">
        <f ca="1">ROUND((C18+C19+C20)*F23,0)</f>
        <v>1433</v>
      </c>
      <c r="D23" s="462"/>
      <c r="E23" s="462"/>
      <c r="F23" s="2573">
        <f>'数据-取费表'!B37</f>
        <v>0.02</v>
      </c>
      <c r="G23" s="2529" t="s">
        <v>2414</v>
      </c>
      <c r="H23" s="2530"/>
      <c r="I23" s="2530"/>
      <c r="J23" s="2530"/>
      <c r="K23" s="2531"/>
      <c r="L23" s="3197"/>
      <c r="M23" s="3197"/>
      <c r="N23" s="3197"/>
      <c r="O23" s="1999"/>
      <c r="P23" s="1999"/>
      <c r="Q23" s="1999"/>
      <c r="R23" s="1999"/>
      <c r="S23" s="1999"/>
      <c r="T23" s="1999"/>
      <c r="U23" s="1999"/>
      <c r="V23" s="1999"/>
      <c r="W23" s="1999"/>
      <c r="X23" s="1999"/>
      <c r="Y23" s="1999"/>
      <c r="Z23" s="1999"/>
    </row>
    <row r="24" spans="1:26" s="1998" customFormat="1" ht="13.5" customHeight="1">
      <c r="A24" s="2567" t="s">
        <v>1849</v>
      </c>
      <c r="B24" s="2748" t="s">
        <v>2816</v>
      </c>
      <c r="C24" s="2569">
        <f ca="1">ROUND(C6*F24,0)</f>
        <v>3126</v>
      </c>
      <c r="D24" s="469"/>
      <c r="E24" s="467"/>
      <c r="F24" s="2573">
        <f>'数据-取费表'!B38</f>
        <v>0.02</v>
      </c>
      <c r="G24" s="2538" t="s">
        <v>493</v>
      </c>
      <c r="H24" s="2532"/>
      <c r="I24" s="2532"/>
      <c r="J24" s="2532"/>
      <c r="K24" s="277"/>
      <c r="L24" s="3197"/>
      <c r="M24" s="3197"/>
      <c r="N24" s="3197"/>
      <c r="O24" s="1999"/>
      <c r="P24" s="1999"/>
      <c r="Q24" s="1999"/>
      <c r="R24" s="1999"/>
      <c r="S24" s="1999"/>
      <c r="T24" s="1999"/>
      <c r="U24" s="1999"/>
      <c r="V24" s="1999"/>
      <c r="W24" s="1999"/>
      <c r="X24" s="1999"/>
      <c r="Y24" s="1999"/>
      <c r="Z24" s="1999"/>
    </row>
    <row r="25" spans="1:26" s="2001" customFormat="1" ht="13.5" customHeight="1">
      <c r="A25" s="2567" t="s">
        <v>1850</v>
      </c>
      <c r="B25" s="2748" t="s">
        <v>2814</v>
      </c>
      <c r="C25" s="461">
        <f>ROUND(F25/(1+'数据-取费表'!C42),4)</f>
        <v>3.8600000000000002E-2</v>
      </c>
      <c r="D25" s="456" t="s">
        <v>2808</v>
      </c>
      <c r="E25" s="463"/>
      <c r="F25" s="2573">
        <f>IF(项目基本情况!B8="出让",0,'数据-取费表'!B48+'数据-取费表'!B49)</f>
        <v>4.0500000000000001E-2</v>
      </c>
      <c r="G25" s="2537" t="s">
        <v>2276</v>
      </c>
      <c r="H25" s="2530"/>
      <c r="I25" s="2530"/>
      <c r="J25" s="2530"/>
      <c r="K25" s="2531"/>
      <c r="L25" s="3198"/>
      <c r="M25" s="3198"/>
      <c r="N25" s="3198"/>
      <c r="O25" s="3198"/>
      <c r="P25" s="3198"/>
      <c r="Q25" s="3198"/>
      <c r="R25" s="3198"/>
      <c r="S25" s="3198"/>
      <c r="T25" s="3198"/>
      <c r="U25" s="3198"/>
      <c r="V25" s="3198"/>
      <c r="W25" s="3198"/>
      <c r="X25" s="3198"/>
      <c r="Y25" s="3198"/>
      <c r="Z25" s="3198"/>
    </row>
    <row r="26" spans="1:26" s="2000" customFormat="1" ht="13.5" customHeight="1">
      <c r="A26" s="2567" t="s">
        <v>1851</v>
      </c>
      <c r="B26" s="2749" t="s">
        <v>2815</v>
      </c>
      <c r="C26" s="2574">
        <f ca="1">C28</f>
        <v>4551</v>
      </c>
      <c r="D26" s="461">
        <f ca="1">C27</f>
        <v>0.1278</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7"/>
      <c r="M26" s="3197"/>
      <c r="N26" s="3197"/>
      <c r="O26" s="3197"/>
      <c r="P26" s="3197"/>
      <c r="Q26" s="3197"/>
      <c r="R26" s="3197"/>
      <c r="S26" s="3197"/>
      <c r="T26" s="3197"/>
      <c r="U26" s="3197"/>
      <c r="V26" s="3197"/>
      <c r="W26" s="3197"/>
      <c r="X26" s="3197"/>
      <c r="Y26" s="3197"/>
      <c r="Z26" s="3197"/>
    </row>
    <row r="27" spans="1:26" s="2002" customFormat="1" ht="13.5" customHeight="1">
      <c r="A27" s="793" t="s">
        <v>1846</v>
      </c>
      <c r="B27" s="2575" t="s">
        <v>490</v>
      </c>
      <c r="C27" s="2576">
        <f ca="1">ROUND(IF('数据-取费表'!B22&lt;=1,(1+C25)*F26*'数据-取费表'!B24,(1+C25)*(POWER((1+F26),'数据-取费表'!B24)-1)),4)</f>
        <v>0.1278</v>
      </c>
      <c r="D27" s="466"/>
      <c r="E27" s="467"/>
      <c r="F27" s="468"/>
      <c r="G27" s="2424" t="str">
        <f>IF('数据-取费表'!B22&lt;=1,"（1+取得税费率/(1+5%)）×年利率×建设期","（1+取得税费率）/(1+5%)×((1+年利率)^建设期-1)")</f>
        <v>（1+取得税费率）/(1+5%)×((1+年利率)^建设期-1)</v>
      </c>
      <c r="H27" s="2532"/>
      <c r="I27" s="2532"/>
      <c r="J27" s="2532"/>
      <c r="K27" s="277"/>
      <c r="L27" s="3199"/>
      <c r="M27" s="3199"/>
      <c r="N27" s="3199"/>
      <c r="O27" s="3199"/>
      <c r="P27" s="3199"/>
      <c r="Q27" s="3199"/>
      <c r="R27" s="3199"/>
      <c r="S27" s="3199"/>
      <c r="T27" s="3199"/>
      <c r="U27" s="3199"/>
      <c r="V27" s="3199"/>
      <c r="W27" s="3199"/>
      <c r="X27" s="3199"/>
      <c r="Y27" s="3199"/>
      <c r="Z27" s="3199"/>
    </row>
    <row r="28" spans="1:26" s="2002" customFormat="1" ht="13.5" customHeight="1">
      <c r="A28" s="793" t="s">
        <v>1847</v>
      </c>
      <c r="B28" s="2575" t="s">
        <v>2817</v>
      </c>
      <c r="C28" s="2577">
        <f ca="1">ROUND(IF('数据-取费表'!B22&lt;=1,(C18+C19+C20+C23+C24)*F26*'数据-取费表'!B24/2,(C18+C19+C20+C23+C24)*(POWER((1+F26),'数据-取费表'!B24/2)-1)),0)</f>
        <v>4551</v>
      </c>
      <c r="D28" s="466"/>
      <c r="E28" s="467"/>
      <c r="F28" s="468"/>
      <c r="G28" s="2424" t="str">
        <f>IF('数据-取费表'!B22&lt;=1,"（1）-（4）项×年利率×建设期÷2","（1）-（4）项×((1+年利率)^(建设期÷2)-1)")</f>
        <v>（1）-（4）项×((1+年利率)^(建设期÷2)-1)</v>
      </c>
      <c r="H28" s="2532"/>
      <c r="I28" s="2532"/>
      <c r="J28" s="2532"/>
      <c r="K28" s="277"/>
      <c r="L28" s="3199"/>
      <c r="M28" s="3199"/>
      <c r="N28" s="3199"/>
      <c r="O28" s="3199"/>
      <c r="P28" s="3199"/>
      <c r="Q28" s="3199"/>
      <c r="R28" s="3199"/>
      <c r="S28" s="3199"/>
      <c r="T28" s="3199"/>
      <c r="U28" s="3199"/>
      <c r="V28" s="3199"/>
      <c r="W28" s="3199"/>
      <c r="X28" s="3199"/>
      <c r="Y28" s="3199"/>
      <c r="Z28" s="3199"/>
    </row>
    <row r="29" spans="1:26" s="2002" customFormat="1" ht="13.5" customHeight="1">
      <c r="A29" s="2578" t="s">
        <v>1852</v>
      </c>
      <c r="B29" s="2568" t="s">
        <v>491</v>
      </c>
      <c r="C29" s="2569">
        <f ca="1">ROUND(C6*F29/(1+'数据-取费表'!C42),0)</f>
        <v>8186</v>
      </c>
      <c r="D29" s="462"/>
      <c r="E29" s="462"/>
      <c r="F29" s="2750">
        <f>'数据-取费表'!B41</f>
        <v>5.5000000000000007E-2</v>
      </c>
      <c r="G29" s="2538" t="s">
        <v>492</v>
      </c>
      <c r="H29" s="2530"/>
      <c r="I29" s="2530"/>
      <c r="J29" s="2530"/>
      <c r="K29" s="2531"/>
      <c r="L29" s="3199"/>
      <c r="M29" s="3199"/>
      <c r="N29" s="3199"/>
      <c r="O29" s="3199"/>
      <c r="P29" s="3199"/>
      <c r="Q29" s="3199"/>
      <c r="R29" s="3199"/>
      <c r="S29" s="3199"/>
      <c r="T29" s="3199"/>
      <c r="U29" s="3199"/>
      <c r="V29" s="3199"/>
      <c r="W29" s="3199"/>
      <c r="X29" s="3199"/>
      <c r="Y29" s="3199"/>
      <c r="Z29" s="3199"/>
    </row>
    <row r="30" spans="1:26" s="2003" customFormat="1" ht="13.5" customHeight="1">
      <c r="A30" s="1563" t="s">
        <v>1853</v>
      </c>
      <c r="B30" s="2579" t="s">
        <v>494</v>
      </c>
      <c r="C30" s="2574">
        <f ca="1">C31</f>
        <v>88938</v>
      </c>
      <c r="D30" s="471">
        <f ca="1">C32</f>
        <v>0.16639999999999999</v>
      </c>
      <c r="E30" s="463" t="s">
        <v>489</v>
      </c>
      <c r="F30" s="465"/>
      <c r="G30" s="2537" t="s">
        <v>2928</v>
      </c>
      <c r="H30" s="2530"/>
      <c r="I30" s="2530"/>
      <c r="J30" s="2530"/>
      <c r="K30" s="2531"/>
      <c r="L30" s="3200"/>
      <c r="M30" s="3200"/>
      <c r="N30" s="3200"/>
      <c r="O30" s="3200"/>
      <c r="P30" s="3200"/>
      <c r="Q30" s="3200"/>
      <c r="R30" s="3200"/>
      <c r="S30" s="3200"/>
      <c r="T30" s="3200"/>
      <c r="U30" s="3200"/>
      <c r="V30" s="3200"/>
      <c r="W30" s="3200"/>
      <c r="X30" s="3200"/>
      <c r="Y30" s="3200"/>
      <c r="Z30" s="3200"/>
    </row>
    <row r="31" spans="1:26" s="2002" customFormat="1" ht="13.5" customHeight="1">
      <c r="A31" s="793" t="s">
        <v>1846</v>
      </c>
      <c r="B31" s="2575"/>
      <c r="C31" s="444">
        <f ca="1">C18+C19+C20+C23+C24+C26+C29</f>
        <v>88938</v>
      </c>
      <c r="D31" s="466"/>
      <c r="E31" s="467"/>
      <c r="F31" s="468"/>
      <c r="G31" s="259"/>
      <c r="H31" s="2532"/>
      <c r="I31" s="2532"/>
      <c r="J31" s="2532"/>
      <c r="K31" s="277"/>
      <c r="L31" s="3199"/>
      <c r="M31" s="3199"/>
      <c r="N31" s="3199"/>
      <c r="O31" s="3199"/>
      <c r="P31" s="3199"/>
      <c r="Q31" s="3199"/>
      <c r="R31" s="3199"/>
      <c r="S31" s="3199"/>
      <c r="T31" s="3199"/>
      <c r="U31" s="3199"/>
      <c r="V31" s="3199"/>
      <c r="W31" s="3199"/>
      <c r="X31" s="3199"/>
      <c r="Y31" s="3199"/>
      <c r="Z31" s="3199"/>
    </row>
    <row r="32" spans="1:26" s="2002" customFormat="1" ht="13.5" customHeight="1">
      <c r="A32" s="793" t="s">
        <v>1847</v>
      </c>
      <c r="B32" s="2575"/>
      <c r="C32" s="53">
        <f ca="1">ROUND(C25+D26,4)</f>
        <v>0.16639999999999999</v>
      </c>
      <c r="D32" s="466"/>
      <c r="E32" s="467"/>
      <c r="F32" s="468"/>
      <c r="G32" s="259"/>
      <c r="H32" s="2532"/>
      <c r="I32" s="2532"/>
      <c r="J32" s="2532"/>
      <c r="K32" s="277"/>
      <c r="L32" s="3199"/>
      <c r="M32" s="3199"/>
      <c r="N32" s="3199"/>
      <c r="O32" s="3199"/>
      <c r="P32" s="3199"/>
      <c r="Q32" s="3199"/>
      <c r="R32" s="3199"/>
      <c r="S32" s="3199"/>
      <c r="T32" s="3199"/>
      <c r="U32" s="3199"/>
      <c r="V32" s="3199"/>
      <c r="W32" s="3199"/>
      <c r="X32" s="3199"/>
      <c r="Y32" s="3199"/>
      <c r="Z32" s="3199"/>
    </row>
    <row r="33" spans="1:26" s="2004" customFormat="1" ht="13.5" customHeight="1">
      <c r="A33" s="2747" t="s">
        <v>2812</v>
      </c>
      <c r="B33" s="2745" t="s">
        <v>2810</v>
      </c>
      <c r="C33" s="472">
        <f ca="1">C35</f>
        <v>9144</v>
      </c>
      <c r="D33" s="461">
        <f ca="1">C34</f>
        <v>0.1246</v>
      </c>
      <c r="E33" s="463" t="s">
        <v>489</v>
      </c>
      <c r="F33" s="473">
        <f ca="1">IF(B1="",'数据-取费表'!Q16,INDIRECT("'数据-取费表'!q"&amp;$K$1))</f>
        <v>0.12</v>
      </c>
      <c r="G33" s="2533"/>
      <c r="H33" s="2534"/>
      <c r="I33" s="2534"/>
      <c r="J33" s="2534"/>
      <c r="K33" s="2535"/>
      <c r="L33" s="3201"/>
      <c r="M33" s="3201"/>
      <c r="N33" s="3201"/>
      <c r="O33" s="3201"/>
      <c r="P33" s="3201"/>
      <c r="Q33" s="3201"/>
      <c r="R33" s="3201"/>
      <c r="S33" s="3201"/>
      <c r="T33" s="3201"/>
      <c r="U33" s="3201"/>
      <c r="V33" s="3201"/>
      <c r="W33" s="3201"/>
      <c r="X33" s="3201"/>
      <c r="Y33" s="3201"/>
      <c r="Z33" s="3201"/>
    </row>
    <row r="34" spans="1:26" s="2005" customFormat="1" ht="13.5" customHeight="1">
      <c r="A34" s="369" t="s">
        <v>1846</v>
      </c>
      <c r="B34" s="2580" t="s">
        <v>495</v>
      </c>
      <c r="C34" s="466">
        <f ca="1">ROUND((1+C25)*F33,4)</f>
        <v>0.1246</v>
      </c>
      <c r="D34" s="466"/>
      <c r="E34" s="467"/>
      <c r="F34" s="474"/>
      <c r="G34" s="259" t="s">
        <v>2277</v>
      </c>
      <c r="H34" s="2532"/>
      <c r="I34" s="2532"/>
      <c r="J34" s="2532"/>
      <c r="K34" s="277"/>
      <c r="L34" s="3202"/>
      <c r="M34" s="3202"/>
      <c r="N34" s="3202"/>
      <c r="O34" s="3202"/>
      <c r="P34" s="3202"/>
      <c r="Q34" s="3202"/>
      <c r="R34" s="3202"/>
      <c r="S34" s="3202"/>
      <c r="T34" s="3202"/>
      <c r="U34" s="3202"/>
      <c r="V34" s="3202"/>
      <c r="W34" s="3202"/>
      <c r="X34" s="3202"/>
      <c r="Y34" s="3202"/>
      <c r="Z34" s="3202"/>
    </row>
    <row r="35" spans="1:26" s="2005" customFormat="1" ht="13.5" customHeight="1" thickBot="1">
      <c r="A35" s="1564" t="s">
        <v>1847</v>
      </c>
      <c r="B35" s="2746" t="s">
        <v>2818</v>
      </c>
      <c r="C35" s="1556">
        <f ca="1">ROUND((C18+C19+C20+C23+C24)*F33,0)</f>
        <v>9144</v>
      </c>
      <c r="D35" s="1557"/>
      <c r="E35" s="2581"/>
      <c r="F35" s="1558"/>
      <c r="G35" s="2539"/>
      <c r="H35" s="2540"/>
      <c r="I35" s="2540"/>
      <c r="J35" s="2540"/>
      <c r="K35" s="2541"/>
      <c r="L35" s="3202"/>
      <c r="M35" s="3202"/>
      <c r="N35" s="3202"/>
      <c r="O35" s="3202"/>
      <c r="P35" s="3202"/>
      <c r="Q35" s="3202"/>
      <c r="R35" s="3202"/>
      <c r="S35" s="3202"/>
      <c r="T35" s="3202"/>
      <c r="U35" s="3202"/>
      <c r="V35" s="3202"/>
      <c r="W35" s="3202"/>
      <c r="X35" s="3202"/>
      <c r="Y35" s="3202"/>
      <c r="Z35" s="3202"/>
    </row>
    <row r="36" spans="1:26" s="1967" customFormat="1" ht="13.5" customHeight="1" thickBot="1">
      <c r="A36" s="282" t="s">
        <v>1834</v>
      </c>
      <c r="B36" s="2543"/>
      <c r="C36" s="2582">
        <f ca="1">ROUND((C6-C30-C33)/(1+D30+D33),0)</f>
        <v>45079</v>
      </c>
      <c r="D36" s="2543"/>
      <c r="E36" s="2543"/>
      <c r="F36" s="2543"/>
      <c r="G36" s="2542" t="s">
        <v>2819</v>
      </c>
      <c r="H36" s="2543"/>
      <c r="I36" s="2543"/>
      <c r="J36" s="2543"/>
      <c r="K36" s="2544"/>
      <c r="L36" s="3196"/>
      <c r="M36" s="3196"/>
      <c r="N36" s="3196"/>
      <c r="O36" s="3196"/>
      <c r="P36" s="3196"/>
      <c r="Q36" s="3196"/>
      <c r="R36" s="3196"/>
      <c r="S36" s="3196"/>
      <c r="T36" s="3196"/>
      <c r="U36" s="3196"/>
      <c r="V36" s="3196"/>
      <c r="W36" s="3196"/>
      <c r="X36" s="3196"/>
      <c r="Y36" s="3196"/>
      <c r="Z36" s="3196"/>
    </row>
    <row r="37" spans="1:26" s="1997" customFormat="1">
      <c r="A37" s="3203"/>
      <c r="C37" s="3204"/>
      <c r="E37" s="3203"/>
    </row>
    <row r="38" spans="1:26" s="1997" customFormat="1" ht="12.75" customHeight="1">
      <c r="A38" s="3203"/>
      <c r="C38" s="3204"/>
      <c r="E38" s="3203"/>
    </row>
    <row r="39" spans="1:26" s="1997" customFormat="1">
      <c r="A39" s="3203"/>
      <c r="C39" s="3204"/>
      <c r="E39" s="3203"/>
    </row>
    <row r="40" spans="1:26" s="1997" customFormat="1">
      <c r="A40" s="3203"/>
      <c r="C40" s="3204"/>
      <c r="E40" s="3203"/>
    </row>
    <row r="41" spans="1:26" s="1997" customFormat="1">
      <c r="A41" s="3203"/>
      <c r="C41" s="3204"/>
      <c r="E41" s="3203"/>
    </row>
    <row r="42" spans="1:26" s="1997" customFormat="1">
      <c r="A42" s="3203"/>
      <c r="C42" s="3204"/>
      <c r="E42" s="3203"/>
    </row>
    <row r="43" spans="1:26" s="1997" customFormat="1">
      <c r="A43" s="3203"/>
      <c r="C43" s="3204"/>
      <c r="E43" s="3203"/>
    </row>
    <row r="44" spans="1:26" s="1997" customFormat="1">
      <c r="A44" s="3203"/>
      <c r="C44" s="3204"/>
      <c r="E44" s="3203"/>
    </row>
    <row r="45" spans="1:26" s="1997" customFormat="1">
      <c r="A45" s="3203"/>
      <c r="C45" s="3204"/>
      <c r="E45" s="3203"/>
    </row>
    <row r="46" spans="1:26" s="1997" customFormat="1">
      <c r="A46" s="3203"/>
      <c r="C46" s="3204"/>
      <c r="E46" s="3203"/>
    </row>
    <row r="47" spans="1:26" s="1997" customFormat="1">
      <c r="A47" s="3203"/>
      <c r="C47" s="3204"/>
      <c r="E47" s="3203"/>
    </row>
    <row r="48" spans="1:26"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row r="226" spans="1:5" s="1997" customFormat="1">
      <c r="A226" s="3203"/>
      <c r="C226" s="3204"/>
      <c r="E226" s="3203"/>
    </row>
    <row r="227" spans="1:5" s="1997" customFormat="1">
      <c r="A227" s="3203"/>
      <c r="C227" s="3204"/>
      <c r="E227" s="3203"/>
    </row>
    <row r="228" spans="1:5" s="1997" customFormat="1">
      <c r="A228" s="3203"/>
      <c r="C228" s="3204"/>
      <c r="E228" s="3203"/>
    </row>
    <row r="229" spans="1:5" s="1997" customFormat="1">
      <c r="A229" s="3203"/>
      <c r="C229" s="3204"/>
      <c r="E229" s="3203"/>
    </row>
    <row r="230" spans="1:5" s="1997" customFormat="1">
      <c r="A230" s="3203"/>
      <c r="C230" s="3204"/>
      <c r="E230" s="3203"/>
    </row>
    <row r="231" spans="1:5" s="1997" customFormat="1">
      <c r="A231" s="3203"/>
      <c r="C231" s="3204"/>
      <c r="E231" s="3203"/>
    </row>
    <row r="232" spans="1:5" s="1997" customFormat="1">
      <c r="A232" s="3203"/>
      <c r="C232" s="3204"/>
      <c r="E232" s="3203"/>
    </row>
    <row r="233" spans="1:5" s="1997" customFormat="1">
      <c r="A233" s="3203"/>
      <c r="C233" s="3204"/>
      <c r="E233" s="3203"/>
    </row>
    <row r="234" spans="1:5" s="1997" customFormat="1">
      <c r="A234" s="3203"/>
      <c r="C234" s="3204"/>
      <c r="E234" s="3203"/>
    </row>
    <row r="235" spans="1:5" s="1997" customFormat="1">
      <c r="A235" s="3203"/>
      <c r="C235" s="3204"/>
      <c r="E235" s="3203"/>
    </row>
    <row r="236" spans="1:5" s="1997" customFormat="1">
      <c r="A236" s="3203"/>
      <c r="C236" s="3204"/>
      <c r="E236" s="3203"/>
    </row>
    <row r="237" spans="1:5" s="1997" customFormat="1">
      <c r="A237" s="3203"/>
      <c r="C237" s="3204"/>
      <c r="E237" s="3203"/>
    </row>
    <row r="238" spans="1:5" s="1997" customFormat="1">
      <c r="A238" s="3203"/>
      <c r="C238" s="3204"/>
      <c r="E238" s="3203"/>
    </row>
    <row r="239" spans="1:5" s="1997" customFormat="1">
      <c r="A239" s="3203"/>
      <c r="C239" s="3204"/>
      <c r="E239" s="3203"/>
    </row>
    <row r="240" spans="1:5" s="1997" customFormat="1">
      <c r="A240" s="3203"/>
      <c r="C240" s="3204"/>
      <c r="E240" s="3203"/>
    </row>
    <row r="241" spans="1:5" s="1997" customFormat="1">
      <c r="A241" s="3203"/>
      <c r="C241" s="3204"/>
      <c r="E241" s="3203"/>
    </row>
    <row r="242" spans="1:5" s="1997" customFormat="1">
      <c r="A242" s="3203"/>
      <c r="C242" s="3204"/>
      <c r="E242" s="3203"/>
    </row>
    <row r="243" spans="1:5" s="1997" customFormat="1">
      <c r="A243" s="3203"/>
      <c r="C243" s="3204"/>
      <c r="E243" s="3203"/>
    </row>
    <row r="244" spans="1:5" s="1997" customFormat="1">
      <c r="A244" s="3203"/>
      <c r="C244" s="3204"/>
      <c r="E244" s="3203"/>
    </row>
    <row r="245" spans="1:5" s="1997" customFormat="1">
      <c r="A245" s="3203"/>
      <c r="C245" s="3204"/>
      <c r="E245" s="3203"/>
    </row>
    <row r="246" spans="1:5" s="1997" customFormat="1">
      <c r="A246" s="3203"/>
      <c r="C246" s="3204"/>
      <c r="E246" s="3203"/>
    </row>
    <row r="247" spans="1:5" s="1997" customFormat="1">
      <c r="A247" s="3203"/>
      <c r="C247" s="3204"/>
      <c r="E247" s="3203"/>
    </row>
    <row r="248" spans="1:5" s="1997" customFormat="1">
      <c r="A248" s="3203"/>
      <c r="C248" s="3204"/>
      <c r="E248" s="3203"/>
    </row>
    <row r="249" spans="1:5" s="1997" customFormat="1">
      <c r="A249" s="3203"/>
      <c r="C249" s="3204"/>
      <c r="E249" s="3203"/>
    </row>
    <row r="250" spans="1:5" s="1997" customFormat="1">
      <c r="A250" s="3203"/>
      <c r="C250" s="3204"/>
      <c r="E250" s="3203"/>
    </row>
    <row r="251" spans="1:5" s="1997" customFormat="1">
      <c r="A251" s="3203"/>
      <c r="C251" s="3204"/>
      <c r="E251" s="3203"/>
    </row>
    <row r="252" spans="1:5" s="1997" customFormat="1">
      <c r="A252" s="3203"/>
      <c r="C252" s="3204"/>
      <c r="E252" s="3203"/>
    </row>
    <row r="253" spans="1:5" s="1997" customFormat="1">
      <c r="A253" s="3203"/>
      <c r="C253" s="3204"/>
      <c r="E253" s="3203"/>
    </row>
    <row r="254" spans="1:5" s="1997" customFormat="1">
      <c r="A254" s="3203"/>
      <c r="C254" s="3204"/>
      <c r="E254" s="3203"/>
    </row>
    <row r="255" spans="1:5" s="1997" customFormat="1">
      <c r="A255" s="3203"/>
      <c r="C255" s="3204"/>
      <c r="E255" s="3203"/>
    </row>
    <row r="256" spans="1:5" s="1997" customFormat="1">
      <c r="A256" s="3203"/>
      <c r="C256" s="3204"/>
      <c r="E256" s="3203"/>
    </row>
    <row r="257" spans="1:5" s="1997" customFormat="1">
      <c r="A257" s="3203"/>
      <c r="C257" s="3204"/>
      <c r="E257" s="3203"/>
    </row>
    <row r="258" spans="1:5" s="1997" customFormat="1">
      <c r="A258" s="3203"/>
      <c r="C258" s="3204"/>
      <c r="E258" s="3203"/>
    </row>
    <row r="259" spans="1:5" s="1997" customFormat="1">
      <c r="A259" s="3203"/>
      <c r="C259" s="3204"/>
      <c r="E259" s="3203"/>
    </row>
    <row r="260" spans="1:5" s="1997" customFormat="1">
      <c r="A260" s="3203"/>
      <c r="C260" s="3204"/>
      <c r="E260" s="3203"/>
    </row>
    <row r="261" spans="1:5" s="1997" customFormat="1">
      <c r="A261" s="3203"/>
      <c r="C261" s="3204"/>
      <c r="E261" s="3203"/>
    </row>
    <row r="262" spans="1:5" s="1997" customFormat="1">
      <c r="A262" s="3203"/>
      <c r="C262" s="3204"/>
      <c r="E262" s="3203"/>
    </row>
    <row r="263" spans="1:5" s="1997" customFormat="1">
      <c r="A263" s="3203"/>
      <c r="C263" s="3204"/>
      <c r="E263" s="3203"/>
    </row>
    <row r="264" spans="1:5" s="1997" customFormat="1">
      <c r="A264" s="3203"/>
      <c r="C264" s="3204"/>
      <c r="E264" s="3203"/>
    </row>
    <row r="265" spans="1:5" s="1997" customFormat="1">
      <c r="A265" s="3203"/>
      <c r="C265" s="3204"/>
      <c r="E265" s="3203"/>
    </row>
    <row r="266" spans="1:5" s="1997" customFormat="1">
      <c r="A266" s="3203"/>
      <c r="C266" s="3204"/>
      <c r="E266" s="3203"/>
    </row>
    <row r="267" spans="1:5" s="1997" customFormat="1">
      <c r="A267" s="3203"/>
      <c r="C267" s="3204"/>
      <c r="E267" s="3203"/>
    </row>
    <row r="268" spans="1:5" s="1997" customFormat="1">
      <c r="A268" s="3203"/>
      <c r="C268" s="3204"/>
      <c r="E268" s="3203"/>
    </row>
    <row r="269" spans="1:5" s="1997" customFormat="1">
      <c r="A269" s="3203"/>
      <c r="C269" s="3204"/>
      <c r="E269" s="3203"/>
    </row>
    <row r="270" spans="1:5" s="1997" customFormat="1">
      <c r="A270" s="3203"/>
      <c r="C270" s="3204"/>
      <c r="E270" s="3203"/>
    </row>
    <row r="271" spans="1:5" s="1997" customFormat="1">
      <c r="A271" s="3203"/>
      <c r="C271" s="3204"/>
      <c r="E271" s="3203"/>
    </row>
    <row r="272" spans="1:5" s="1997" customFormat="1">
      <c r="A272" s="3203"/>
      <c r="C272" s="3204"/>
      <c r="E272" s="3203"/>
    </row>
    <row r="273" spans="1:5" s="1997" customFormat="1">
      <c r="A273" s="3203"/>
      <c r="C273" s="3204"/>
      <c r="E273" s="3203"/>
    </row>
    <row r="274" spans="1:5" s="1997" customFormat="1">
      <c r="A274" s="3203"/>
      <c r="C274" s="3204"/>
      <c r="E274" s="3203"/>
    </row>
    <row r="275" spans="1:5" s="1997" customFormat="1">
      <c r="A275" s="3203"/>
      <c r="C275" s="3204"/>
      <c r="E275" s="3203"/>
    </row>
    <row r="276" spans="1:5" s="1997" customFormat="1">
      <c r="A276" s="3203"/>
      <c r="C276" s="3204"/>
      <c r="E276" s="3203"/>
    </row>
    <row r="277" spans="1:5" s="1997" customFormat="1">
      <c r="A277" s="3203"/>
      <c r="C277" s="3204"/>
      <c r="E277" s="3203"/>
    </row>
    <row r="278" spans="1:5" s="1997" customFormat="1">
      <c r="A278" s="3203"/>
      <c r="C278" s="3204"/>
      <c r="E278" s="3203"/>
    </row>
    <row r="279" spans="1:5" s="1997" customFormat="1">
      <c r="A279" s="3203"/>
      <c r="C279" s="3204"/>
      <c r="E279" s="3203"/>
    </row>
    <row r="280" spans="1:5" s="1997" customFormat="1">
      <c r="A280" s="3203"/>
      <c r="C280" s="3204"/>
      <c r="E280" s="3203"/>
    </row>
    <row r="281" spans="1:5" s="1997" customFormat="1">
      <c r="A281" s="3203"/>
      <c r="C281" s="3204"/>
      <c r="E281" s="3203"/>
    </row>
    <row r="282" spans="1:5" s="1997" customFormat="1">
      <c r="A282" s="3203"/>
      <c r="C282" s="3204"/>
      <c r="E282" s="3203"/>
    </row>
    <row r="283" spans="1:5" s="1997" customFormat="1">
      <c r="A283" s="3203"/>
      <c r="C283" s="3204"/>
      <c r="E283" s="3203"/>
    </row>
    <row r="284" spans="1:5" s="1997" customFormat="1">
      <c r="A284" s="3203"/>
      <c r="C284" s="3204"/>
      <c r="E284" s="3203"/>
    </row>
    <row r="285" spans="1:5" s="1997" customFormat="1">
      <c r="A285" s="3203"/>
      <c r="C285" s="3204"/>
      <c r="E285" s="3203"/>
    </row>
    <row r="286" spans="1:5" s="1997" customFormat="1">
      <c r="A286" s="3203"/>
      <c r="C286" s="3204"/>
      <c r="E286" s="3203"/>
    </row>
    <row r="287" spans="1:5" s="1997" customFormat="1">
      <c r="A287" s="3203"/>
      <c r="C287" s="3204"/>
      <c r="E287" s="3203"/>
    </row>
    <row r="288" spans="1:5" s="1997" customFormat="1">
      <c r="A288" s="3203"/>
      <c r="C288" s="3204"/>
      <c r="E288" s="3203"/>
    </row>
    <row r="289" spans="1:5" s="1997" customFormat="1">
      <c r="A289" s="3203"/>
      <c r="C289" s="3204"/>
      <c r="E289" s="3203"/>
    </row>
    <row r="290" spans="1:5" s="1997" customFormat="1">
      <c r="A290" s="3203"/>
      <c r="C290" s="3204"/>
      <c r="E290" s="3203"/>
    </row>
    <row r="291" spans="1:5" s="1997" customFormat="1">
      <c r="A291" s="3203"/>
      <c r="C291" s="3204"/>
      <c r="E291" s="3203"/>
    </row>
    <row r="292" spans="1:5" s="1997" customFormat="1">
      <c r="A292" s="3203"/>
      <c r="C292" s="3204"/>
      <c r="E292" s="3203"/>
    </row>
    <row r="293" spans="1:5" s="1997" customFormat="1">
      <c r="A293" s="3203"/>
      <c r="C293" s="3204"/>
      <c r="E293" s="3203"/>
    </row>
    <row r="294" spans="1:5" s="1997" customFormat="1">
      <c r="A294" s="3203"/>
      <c r="C294" s="3204"/>
      <c r="E294" s="3203"/>
    </row>
    <row r="295" spans="1:5" s="1997" customFormat="1">
      <c r="A295" s="3203"/>
      <c r="C295" s="3204"/>
      <c r="E295" s="3203"/>
    </row>
    <row r="296" spans="1:5" s="1997" customFormat="1">
      <c r="A296" s="3203"/>
      <c r="C296" s="3204"/>
      <c r="E296" s="3203"/>
    </row>
    <row r="297" spans="1:5" s="1997" customFormat="1">
      <c r="A297" s="3203"/>
      <c r="C297" s="3204"/>
      <c r="E297" s="3203"/>
    </row>
    <row r="298" spans="1:5" s="1997" customFormat="1">
      <c r="A298" s="3203"/>
      <c r="C298" s="3204"/>
      <c r="E298" s="3203"/>
    </row>
    <row r="299" spans="1:5" s="1997" customFormat="1">
      <c r="A299" s="3203"/>
      <c r="C299" s="3204"/>
      <c r="E299" s="3203"/>
    </row>
    <row r="300" spans="1:5" s="1997" customFormat="1">
      <c r="A300" s="3203"/>
      <c r="C300" s="3204"/>
      <c r="E300" s="3203"/>
    </row>
    <row r="301" spans="1:5" s="1997" customFormat="1">
      <c r="A301" s="3203"/>
      <c r="C301" s="3204"/>
      <c r="E301" s="3203"/>
    </row>
    <row r="302" spans="1:5" s="1997" customFormat="1">
      <c r="A302" s="3203"/>
      <c r="C302" s="3204"/>
      <c r="E302" s="3203"/>
    </row>
    <row r="303" spans="1:5" s="1997" customFormat="1">
      <c r="A303" s="3203"/>
      <c r="C303" s="3204"/>
      <c r="E303" s="3203"/>
    </row>
    <row r="304" spans="1:5" s="1997" customFormat="1">
      <c r="A304" s="3203"/>
      <c r="C304" s="3204"/>
      <c r="E304" s="3203"/>
    </row>
    <row r="305" spans="1:5" s="1997" customFormat="1">
      <c r="A305" s="3203"/>
      <c r="C305" s="3204"/>
      <c r="E305" s="3203"/>
    </row>
    <row r="306" spans="1:5" s="1997" customFormat="1">
      <c r="A306" s="3203"/>
      <c r="C306" s="3204"/>
      <c r="E306" s="3203"/>
    </row>
    <row r="307" spans="1:5" s="1997" customFormat="1">
      <c r="A307" s="3203"/>
      <c r="C307" s="3204"/>
      <c r="E307" s="3203"/>
    </row>
    <row r="308" spans="1:5" s="1997" customFormat="1">
      <c r="A308" s="3203"/>
      <c r="C308" s="3204"/>
      <c r="E308" s="3203"/>
    </row>
    <row r="309" spans="1:5" s="1997" customFormat="1">
      <c r="A309" s="3203"/>
      <c r="C309" s="3204"/>
      <c r="E309" s="3203"/>
    </row>
    <row r="310" spans="1:5" s="1997" customFormat="1">
      <c r="A310" s="3203"/>
      <c r="C310" s="3204"/>
      <c r="E310" s="3203"/>
    </row>
    <row r="311" spans="1:5" s="1997" customFormat="1">
      <c r="A311" s="3203"/>
      <c r="C311" s="3204"/>
      <c r="E311" s="3203"/>
    </row>
    <row r="312" spans="1:5" s="1997" customFormat="1">
      <c r="A312" s="3203"/>
      <c r="C312" s="3204"/>
      <c r="E312" s="3203"/>
    </row>
    <row r="313" spans="1:5" s="1997" customFormat="1">
      <c r="A313" s="3203"/>
      <c r="C313" s="3204"/>
      <c r="E313" s="3203"/>
    </row>
    <row r="314" spans="1:5" s="1997" customFormat="1">
      <c r="A314" s="3203"/>
      <c r="C314" s="3204"/>
      <c r="E314" s="3203"/>
    </row>
    <row r="315" spans="1:5" s="1997" customFormat="1">
      <c r="A315" s="3203"/>
      <c r="C315" s="3204"/>
      <c r="E315" s="3203"/>
    </row>
    <row r="316" spans="1:5" s="1997" customFormat="1">
      <c r="A316" s="3203"/>
      <c r="C316" s="3204"/>
      <c r="E316" s="3203"/>
    </row>
    <row r="317" spans="1:5" s="1997" customFormat="1">
      <c r="A317" s="3203"/>
      <c r="C317" s="3204"/>
      <c r="E317" s="3203"/>
    </row>
    <row r="318" spans="1:5" s="1997" customFormat="1">
      <c r="A318" s="3203"/>
      <c r="C318" s="3204"/>
      <c r="E318" s="3203"/>
    </row>
    <row r="319" spans="1:5" s="1997" customFormat="1">
      <c r="A319" s="3203"/>
      <c r="C319" s="3204"/>
      <c r="E319" s="3203"/>
    </row>
    <row r="320" spans="1:5" s="1997" customFormat="1">
      <c r="A320" s="3203"/>
      <c r="C320" s="3204"/>
      <c r="E320" s="3203"/>
    </row>
    <row r="321" spans="1:5" s="1997" customFormat="1">
      <c r="A321" s="3203"/>
      <c r="C321" s="3204"/>
      <c r="E321" s="3203"/>
    </row>
    <row r="322" spans="1:5" s="1997" customFormat="1">
      <c r="A322" s="3203"/>
      <c r="C322" s="3204"/>
      <c r="E322" s="3203"/>
    </row>
    <row r="323" spans="1:5" s="1997" customFormat="1">
      <c r="A323" s="3203"/>
      <c r="C323" s="3204"/>
      <c r="E323" s="3203"/>
    </row>
    <row r="324" spans="1:5" s="1997" customFormat="1">
      <c r="A324" s="3203"/>
      <c r="C324" s="3204"/>
      <c r="E324" s="3203"/>
    </row>
    <row r="325" spans="1:5" s="1997" customFormat="1">
      <c r="A325" s="3203"/>
      <c r="C325" s="3204"/>
      <c r="E325" s="3203"/>
    </row>
    <row r="326" spans="1:5" s="1997" customFormat="1">
      <c r="A326" s="3203"/>
      <c r="C326" s="3204"/>
      <c r="E326" s="3203"/>
    </row>
    <row r="327" spans="1:5" s="1997" customFormat="1">
      <c r="A327" s="3203"/>
      <c r="C327" s="3204"/>
      <c r="E327" s="3203"/>
    </row>
    <row r="328" spans="1:5" s="1997" customFormat="1">
      <c r="A328" s="3203"/>
      <c r="C328" s="3204"/>
      <c r="E328" s="3203"/>
    </row>
    <row r="329" spans="1:5" s="1997" customFormat="1">
      <c r="A329" s="3203"/>
      <c r="C329" s="3204"/>
      <c r="E329" s="3203"/>
    </row>
    <row r="330" spans="1:5" s="1997" customFormat="1">
      <c r="A330" s="3203"/>
      <c r="C330" s="3204"/>
      <c r="E330" s="3203"/>
    </row>
    <row r="331" spans="1:5" s="1997" customFormat="1">
      <c r="A331" s="3203"/>
      <c r="C331" s="3204"/>
      <c r="E331" s="3203"/>
    </row>
    <row r="332" spans="1:5" s="1997" customFormat="1">
      <c r="A332" s="3203"/>
      <c r="C332" s="3204"/>
      <c r="E332" s="3203"/>
    </row>
    <row r="333" spans="1:5" s="1997" customFormat="1">
      <c r="A333" s="3203"/>
      <c r="C333" s="3204"/>
      <c r="E333" s="3203"/>
    </row>
    <row r="334" spans="1:5" s="1997" customFormat="1">
      <c r="A334" s="3203"/>
      <c r="C334" s="3204"/>
      <c r="E334" s="3203"/>
    </row>
    <row r="335" spans="1:5" s="1997" customFormat="1">
      <c r="A335" s="3203"/>
      <c r="C335" s="3204"/>
      <c r="E335" s="3203"/>
    </row>
    <row r="336" spans="1:5" s="1997" customFormat="1">
      <c r="A336" s="3203"/>
      <c r="C336" s="3204"/>
      <c r="E336" s="3203"/>
    </row>
    <row r="337" spans="1:5" s="1997" customFormat="1">
      <c r="A337" s="3203"/>
      <c r="C337" s="3204"/>
      <c r="E337" s="3203"/>
    </row>
    <row r="338" spans="1:5" s="1997" customFormat="1">
      <c r="A338" s="3203"/>
      <c r="C338" s="3204"/>
      <c r="E338" s="3203"/>
    </row>
    <row r="339" spans="1:5" s="1997" customFormat="1">
      <c r="A339" s="3203"/>
      <c r="C339" s="3204"/>
      <c r="E339" s="3203"/>
    </row>
    <row r="340" spans="1:5" s="1997" customFormat="1">
      <c r="A340" s="3203"/>
      <c r="C340" s="3204"/>
      <c r="E340" s="3203"/>
    </row>
    <row r="341" spans="1:5" s="1997" customFormat="1">
      <c r="A341" s="3203"/>
      <c r="C341" s="3204"/>
      <c r="E341" s="3203"/>
    </row>
    <row r="342" spans="1:5" s="1997" customFormat="1">
      <c r="A342" s="3203"/>
      <c r="C342" s="3204"/>
      <c r="E342" s="3203"/>
    </row>
    <row r="343" spans="1:5" s="1997" customFormat="1">
      <c r="A343" s="3203"/>
      <c r="C343" s="3204"/>
      <c r="E343" s="3203"/>
    </row>
    <row r="344" spans="1:5" s="1997" customFormat="1">
      <c r="A344" s="3203"/>
      <c r="C344" s="3204"/>
      <c r="E344" s="3203"/>
    </row>
    <row r="345" spans="1:5" s="1997" customFormat="1">
      <c r="A345" s="3203"/>
      <c r="C345" s="3204"/>
      <c r="E345" s="3203"/>
    </row>
    <row r="346" spans="1:5" s="1997" customFormat="1">
      <c r="A346" s="3203"/>
      <c r="C346" s="3204"/>
      <c r="E346" s="3203"/>
    </row>
    <row r="347" spans="1:5" s="1997" customFormat="1">
      <c r="A347" s="3203"/>
      <c r="C347" s="3204"/>
      <c r="E347" s="3203"/>
    </row>
    <row r="348" spans="1:5" s="1997" customFormat="1">
      <c r="A348" s="3203"/>
      <c r="C348" s="3204"/>
      <c r="E348" s="3203"/>
    </row>
    <row r="349" spans="1:5" s="1997" customFormat="1">
      <c r="A349" s="3203"/>
      <c r="C349" s="3204"/>
      <c r="E349" s="3203"/>
    </row>
    <row r="350" spans="1:5" s="1997" customFormat="1">
      <c r="A350" s="3203"/>
      <c r="C350" s="3204"/>
      <c r="E350" s="3203"/>
    </row>
    <row r="351" spans="1:5" s="1997" customFormat="1">
      <c r="A351" s="3203"/>
      <c r="C351" s="3204"/>
      <c r="E351" s="3203"/>
    </row>
    <row r="352" spans="1:5" s="1997" customFormat="1">
      <c r="A352" s="3203"/>
      <c r="C352" s="3204"/>
      <c r="E352" s="3203"/>
    </row>
    <row r="353" spans="1:5" s="1997" customFormat="1">
      <c r="A353" s="3203"/>
      <c r="C353" s="3204"/>
      <c r="E353" s="3203"/>
    </row>
    <row r="354" spans="1:5" s="1997" customFormat="1">
      <c r="A354" s="3203"/>
      <c r="C354" s="3204"/>
      <c r="E354" s="3203"/>
    </row>
    <row r="355" spans="1:5" s="1997" customFormat="1">
      <c r="A355" s="3203"/>
      <c r="C355" s="3204"/>
      <c r="E355" s="3203"/>
    </row>
    <row r="356" spans="1:5" s="1997" customFormat="1">
      <c r="A356" s="3203"/>
      <c r="C356" s="3204"/>
      <c r="E356" s="3203"/>
    </row>
    <row r="357" spans="1:5" s="1997" customFormat="1">
      <c r="A357" s="3203"/>
      <c r="C357" s="3204"/>
      <c r="E357" s="3203"/>
    </row>
    <row r="358" spans="1:5" s="1997" customFormat="1">
      <c r="A358" s="3203"/>
      <c r="C358" s="3204"/>
      <c r="E358" s="3203"/>
    </row>
    <row r="359" spans="1:5" s="1997" customFormat="1">
      <c r="A359" s="3203"/>
      <c r="C359" s="3204"/>
      <c r="E359" s="3203"/>
    </row>
    <row r="360" spans="1:5" s="1997" customFormat="1">
      <c r="A360" s="3203"/>
      <c r="C360" s="3204"/>
      <c r="E360" s="3203"/>
    </row>
    <row r="361" spans="1:5" s="1997" customFormat="1">
      <c r="A361" s="3203"/>
      <c r="C361" s="3204"/>
      <c r="E361" s="3203"/>
    </row>
    <row r="362" spans="1:5" s="1997" customFormat="1">
      <c r="A362" s="3203"/>
      <c r="C362" s="3204"/>
      <c r="E362" s="3203"/>
    </row>
    <row r="363" spans="1:5" s="1997" customFormat="1">
      <c r="A363" s="3203"/>
      <c r="C363" s="3204"/>
      <c r="E363" s="3203"/>
    </row>
    <row r="364" spans="1:5" s="1997" customFormat="1">
      <c r="A364" s="3203"/>
      <c r="C364" s="3204"/>
      <c r="E364" s="3203"/>
    </row>
    <row r="365" spans="1:5" s="1997" customFormat="1">
      <c r="A365" s="3203"/>
      <c r="C365" s="3204"/>
      <c r="E365" s="3203"/>
    </row>
    <row r="366" spans="1:5" s="1997" customFormat="1">
      <c r="A366" s="3203"/>
      <c r="C366" s="3204"/>
      <c r="E366" s="3203"/>
    </row>
    <row r="367" spans="1:5" s="1997" customFormat="1">
      <c r="A367" s="3203"/>
      <c r="C367" s="3204"/>
      <c r="E367" s="3203"/>
    </row>
    <row r="368" spans="1:5" s="1997" customFormat="1">
      <c r="A368" s="3203"/>
      <c r="C368" s="3204"/>
      <c r="E368" s="3203"/>
    </row>
    <row r="369" spans="1:5" s="1997" customFormat="1">
      <c r="A369" s="3203"/>
      <c r="C369" s="3204"/>
      <c r="E369" s="3203"/>
    </row>
    <row r="370" spans="1:5" s="1997" customFormat="1">
      <c r="A370" s="3203"/>
      <c r="C370" s="3204"/>
      <c r="E370" s="3203"/>
    </row>
    <row r="371" spans="1:5" s="1997" customFormat="1">
      <c r="A371" s="3203"/>
      <c r="C371" s="3204"/>
      <c r="E371" s="3203"/>
    </row>
    <row r="372" spans="1:5" s="1997" customFormat="1">
      <c r="A372" s="3203"/>
      <c r="C372" s="3204"/>
      <c r="E372" s="3203"/>
    </row>
    <row r="373" spans="1:5" s="1997" customFormat="1">
      <c r="A373" s="3203"/>
      <c r="C373" s="3204"/>
      <c r="E373" s="3203"/>
    </row>
    <row r="374" spans="1:5" s="1997" customFormat="1">
      <c r="A374" s="3203"/>
      <c r="C374" s="3204"/>
      <c r="E374" s="3203"/>
    </row>
    <row r="375" spans="1:5" s="1997" customFormat="1">
      <c r="A375" s="3203"/>
      <c r="C375" s="3204"/>
      <c r="E375" s="3203"/>
    </row>
    <row r="376" spans="1:5" s="1997" customFormat="1">
      <c r="A376" s="3203"/>
      <c r="C376" s="3204"/>
      <c r="E376" s="3203"/>
    </row>
    <row r="377" spans="1:5" s="1997" customFormat="1">
      <c r="A377" s="3203"/>
      <c r="C377" s="3204"/>
      <c r="E377" s="3203"/>
    </row>
    <row r="378" spans="1:5" s="1997" customFormat="1">
      <c r="A378" s="3203"/>
      <c r="C378" s="3204"/>
      <c r="E378" s="3203"/>
    </row>
    <row r="379" spans="1:5" s="1997" customFormat="1">
      <c r="A379" s="3203"/>
      <c r="C379" s="3204"/>
      <c r="E379" s="3203"/>
    </row>
    <row r="380" spans="1:5" s="1997" customFormat="1">
      <c r="A380" s="3203"/>
      <c r="C380" s="3204"/>
      <c r="E380" s="3203"/>
    </row>
    <row r="381" spans="1:5" s="1997" customFormat="1">
      <c r="A381" s="3203"/>
      <c r="C381" s="3204"/>
      <c r="E381" s="3203"/>
    </row>
    <row r="382" spans="1:5" s="1997" customFormat="1">
      <c r="A382" s="3203"/>
      <c r="C382" s="3204"/>
      <c r="E382" s="3203"/>
    </row>
    <row r="383" spans="1:5" s="1997" customFormat="1">
      <c r="A383" s="3203"/>
      <c r="C383" s="3204"/>
      <c r="E383" s="3203"/>
    </row>
    <row r="384" spans="1:5" s="1997" customFormat="1">
      <c r="A384" s="3203"/>
      <c r="C384" s="3204"/>
      <c r="E384" s="3203"/>
    </row>
    <row r="385" spans="1:5" s="1997" customFormat="1">
      <c r="A385" s="3203"/>
      <c r="C385" s="3204"/>
      <c r="E385" s="3203"/>
    </row>
    <row r="386" spans="1:5" s="1997" customFormat="1">
      <c r="A386" s="3203"/>
      <c r="C386" s="3204"/>
      <c r="E386" s="3203"/>
    </row>
    <row r="387" spans="1:5" s="1997" customFormat="1">
      <c r="A387" s="3203"/>
      <c r="C387" s="3204"/>
      <c r="E387" s="3203"/>
    </row>
    <row r="388" spans="1:5" s="1997" customFormat="1">
      <c r="A388" s="3203"/>
      <c r="C388" s="3204"/>
      <c r="E388" s="3203"/>
    </row>
    <row r="389" spans="1:5" s="1997" customFormat="1">
      <c r="A389" s="3203"/>
      <c r="C389" s="3204"/>
      <c r="E389" s="3203"/>
    </row>
    <row r="390" spans="1:5" s="1997" customFormat="1">
      <c r="A390" s="3203"/>
      <c r="C390" s="3204"/>
      <c r="E390" s="3203"/>
    </row>
    <row r="391" spans="1:5" s="1997" customFormat="1">
      <c r="A391" s="3203"/>
      <c r="C391" s="3204"/>
      <c r="E391" s="3203"/>
    </row>
    <row r="392" spans="1:5" s="1997" customFormat="1">
      <c r="A392" s="3203"/>
      <c r="C392" s="3204"/>
      <c r="E392" s="3203"/>
    </row>
    <row r="393" spans="1:5" s="1997" customFormat="1">
      <c r="A393" s="3203"/>
      <c r="C393" s="3204"/>
      <c r="E393" s="3203"/>
    </row>
    <row r="394" spans="1:5" s="1997" customFormat="1">
      <c r="A394" s="3203"/>
      <c r="C394" s="3204"/>
      <c r="E394" s="3203"/>
    </row>
    <row r="395" spans="1:5" s="1997" customFormat="1">
      <c r="A395" s="3203"/>
      <c r="C395" s="3204"/>
      <c r="E395" s="3203"/>
    </row>
    <row r="396" spans="1:5" s="1997" customFormat="1">
      <c r="A396" s="3203"/>
      <c r="C396" s="3204"/>
      <c r="E396" s="3203"/>
    </row>
    <row r="397" spans="1:5" s="1997" customFormat="1">
      <c r="A397" s="3203"/>
      <c r="C397" s="3204"/>
      <c r="E397" s="3203"/>
    </row>
    <row r="398" spans="1:5" s="1997" customFormat="1">
      <c r="A398" s="3203"/>
      <c r="C398" s="3204"/>
      <c r="E398" s="3203"/>
    </row>
    <row r="399" spans="1:5" s="1997" customFormat="1">
      <c r="A399" s="3203"/>
      <c r="C399" s="3204"/>
      <c r="E399" s="3203"/>
    </row>
    <row r="400" spans="1:5" s="1997" customFormat="1">
      <c r="A400" s="3203"/>
      <c r="C400" s="3204"/>
      <c r="E400" s="3203"/>
    </row>
    <row r="401" spans="1:5" s="1997" customFormat="1">
      <c r="A401" s="3203"/>
      <c r="C401" s="3204"/>
      <c r="E401" s="3203"/>
    </row>
    <row r="402" spans="1:5" s="1997" customFormat="1">
      <c r="A402" s="3203"/>
      <c r="C402" s="3204"/>
      <c r="E402" s="3203"/>
    </row>
    <row r="403" spans="1:5" s="1997" customFormat="1">
      <c r="A403" s="3203"/>
      <c r="C403" s="3204"/>
      <c r="E403" s="3203"/>
    </row>
    <row r="404" spans="1:5" s="1997" customFormat="1">
      <c r="A404" s="3203"/>
      <c r="C404" s="3204"/>
      <c r="E404" s="3203"/>
    </row>
    <row r="405" spans="1:5" s="1997" customFormat="1">
      <c r="A405" s="3203"/>
      <c r="C405" s="3204"/>
      <c r="E405" s="3203"/>
    </row>
    <row r="406" spans="1:5" s="1997" customFormat="1">
      <c r="A406" s="3203"/>
      <c r="C406" s="3204"/>
      <c r="E406" s="3203"/>
    </row>
    <row r="407" spans="1:5" s="1997" customFormat="1">
      <c r="A407" s="3203"/>
      <c r="C407" s="3204"/>
      <c r="E407" s="3203"/>
    </row>
    <row r="408" spans="1:5" s="1997" customFormat="1">
      <c r="A408" s="3203"/>
      <c r="C408" s="3204"/>
      <c r="E408" s="3203"/>
    </row>
    <row r="409" spans="1:5" s="1997" customFormat="1">
      <c r="A409" s="3203"/>
      <c r="C409" s="3204"/>
      <c r="E409" s="3203"/>
    </row>
    <row r="410" spans="1:5" s="1997" customFormat="1">
      <c r="A410" s="3203"/>
      <c r="C410" s="3204"/>
      <c r="E410" s="3203"/>
    </row>
    <row r="411" spans="1:5" s="1997" customFormat="1">
      <c r="A411" s="3203"/>
      <c r="C411" s="3204"/>
      <c r="E411" s="3203"/>
    </row>
    <row r="412" spans="1:5" s="1997" customFormat="1">
      <c r="A412" s="3203"/>
      <c r="C412" s="3204"/>
      <c r="E412" s="3203"/>
    </row>
    <row r="413" spans="1:5" s="1997" customFormat="1">
      <c r="A413" s="3203"/>
      <c r="C413" s="3204"/>
      <c r="E413" s="3203"/>
    </row>
    <row r="414" spans="1:5" s="1997" customFormat="1">
      <c r="A414" s="3203"/>
      <c r="C414" s="3204"/>
      <c r="E414" s="3203"/>
    </row>
    <row r="415" spans="1:5" s="1997" customFormat="1">
      <c r="A415" s="3203"/>
      <c r="C415" s="3204"/>
      <c r="E415" s="3203"/>
    </row>
    <row r="416" spans="1:5" s="1997" customFormat="1">
      <c r="A416" s="3203"/>
      <c r="C416" s="3204"/>
      <c r="E416" s="3203"/>
    </row>
    <row r="417" spans="1:5" s="1997" customFormat="1">
      <c r="A417" s="3203"/>
      <c r="C417" s="3204"/>
      <c r="E417" s="3203"/>
    </row>
    <row r="418" spans="1:5" s="1997" customFormat="1">
      <c r="A418" s="3203"/>
      <c r="C418" s="3204"/>
      <c r="E418" s="3203"/>
    </row>
    <row r="419" spans="1:5" s="1997" customFormat="1">
      <c r="A419" s="3203"/>
      <c r="C419" s="3204"/>
      <c r="E419" s="3203"/>
    </row>
    <row r="420" spans="1:5" s="1997" customFormat="1">
      <c r="A420" s="3203"/>
      <c r="C420" s="3204"/>
      <c r="E420" s="3203"/>
    </row>
    <row r="421" spans="1:5" s="1997" customFormat="1">
      <c r="A421" s="3203"/>
      <c r="C421" s="3204"/>
      <c r="E421" s="3203"/>
    </row>
    <row r="422" spans="1:5" s="1997" customFormat="1">
      <c r="A422" s="3203"/>
      <c r="C422" s="3204"/>
      <c r="E422" s="3203"/>
    </row>
    <row r="423" spans="1:5" s="1997" customFormat="1">
      <c r="A423" s="3203"/>
      <c r="C423" s="3204"/>
      <c r="E423" s="3203"/>
    </row>
    <row r="424" spans="1:5" s="1997" customFormat="1">
      <c r="A424" s="3203"/>
      <c r="C424" s="3204"/>
      <c r="E424" s="3203"/>
    </row>
    <row r="425" spans="1:5" s="1997" customFormat="1">
      <c r="A425" s="3203"/>
      <c r="C425" s="3204"/>
      <c r="E425" s="3203"/>
    </row>
    <row r="426" spans="1:5" s="1997" customFormat="1">
      <c r="A426" s="3203"/>
      <c r="C426" s="3204"/>
      <c r="E426" s="3203"/>
    </row>
    <row r="427" spans="1:5" s="1997" customFormat="1">
      <c r="A427" s="3203"/>
      <c r="C427" s="3204"/>
      <c r="E427" s="3203"/>
    </row>
    <row r="428" spans="1:5" s="1997" customFormat="1">
      <c r="A428" s="3203"/>
      <c r="C428" s="3204"/>
      <c r="E428" s="3203"/>
    </row>
    <row r="429" spans="1:5" s="1997" customFormat="1">
      <c r="A429" s="3203"/>
      <c r="C429" s="3204"/>
      <c r="E429" s="3203"/>
    </row>
    <row r="430" spans="1:5" s="1997" customFormat="1">
      <c r="A430" s="3203"/>
      <c r="C430" s="3204"/>
      <c r="E430" s="3203"/>
    </row>
    <row r="431" spans="1:5" s="1997" customFormat="1">
      <c r="A431" s="3203"/>
      <c r="C431" s="3204"/>
      <c r="E431" s="3203"/>
    </row>
    <row r="432" spans="1:5" s="1997" customFormat="1">
      <c r="A432" s="3203"/>
      <c r="C432" s="3204"/>
      <c r="E432" s="3203"/>
    </row>
    <row r="433" spans="1:5" s="1997" customFormat="1">
      <c r="A433" s="3203"/>
      <c r="C433" s="3204"/>
      <c r="E433" s="3203"/>
    </row>
    <row r="434" spans="1:5" s="1997" customFormat="1">
      <c r="A434" s="3203"/>
      <c r="C434" s="3204"/>
      <c r="E434" s="3203"/>
    </row>
    <row r="435" spans="1:5" s="1997" customFormat="1">
      <c r="A435" s="3203"/>
      <c r="C435" s="3204"/>
      <c r="E435" s="3203"/>
    </row>
    <row r="436" spans="1:5" s="1997" customFormat="1">
      <c r="A436" s="3203"/>
      <c r="C436" s="3204"/>
      <c r="E436" s="3203"/>
    </row>
    <row r="437" spans="1:5" s="1997" customFormat="1">
      <c r="A437" s="3203"/>
      <c r="C437" s="3204"/>
      <c r="E437" s="3203"/>
    </row>
    <row r="438" spans="1:5" s="1997" customFormat="1">
      <c r="A438" s="3203"/>
      <c r="C438" s="3204"/>
      <c r="E438" s="3203"/>
    </row>
    <row r="439" spans="1:5" s="1997" customFormat="1">
      <c r="A439" s="3203"/>
      <c r="C439" s="3204"/>
      <c r="E439" s="3203"/>
    </row>
    <row r="440" spans="1:5" s="1997" customFormat="1">
      <c r="A440" s="3203"/>
      <c r="C440" s="3204"/>
      <c r="E440" s="3203"/>
    </row>
    <row r="441" spans="1:5" s="1997" customFormat="1">
      <c r="A441" s="3203"/>
      <c r="C441" s="3204"/>
      <c r="E441" s="3203"/>
    </row>
    <row r="442" spans="1:5" s="1997" customFormat="1">
      <c r="A442" s="3203"/>
      <c r="C442" s="3204"/>
      <c r="E442" s="3203"/>
    </row>
    <row r="443" spans="1:5" s="1997" customFormat="1">
      <c r="A443" s="3203"/>
      <c r="C443" s="3204"/>
      <c r="E443" s="3203"/>
    </row>
    <row r="444" spans="1:5" s="1997" customFormat="1">
      <c r="A444" s="3203"/>
      <c r="C444" s="3204"/>
      <c r="E444" s="3203"/>
    </row>
    <row r="445" spans="1:5" s="1997" customFormat="1">
      <c r="A445" s="3203"/>
      <c r="C445" s="3204"/>
      <c r="E445" s="3203"/>
    </row>
    <row r="446" spans="1:5" s="1997" customFormat="1">
      <c r="A446" s="3203"/>
      <c r="C446" s="3204"/>
      <c r="E446" s="3203"/>
    </row>
    <row r="447" spans="1:5" s="1997" customFormat="1">
      <c r="A447" s="3203"/>
      <c r="C447" s="3204"/>
      <c r="E447" s="3203"/>
    </row>
    <row r="448" spans="1:5" s="1997" customFormat="1">
      <c r="A448" s="3203"/>
      <c r="C448" s="3204"/>
      <c r="E448" s="3203"/>
    </row>
    <row r="449" spans="1:5" s="1997" customFormat="1">
      <c r="A449" s="3203"/>
      <c r="C449" s="3204"/>
      <c r="E449" s="3203"/>
    </row>
    <row r="450" spans="1:5" s="1997" customFormat="1">
      <c r="A450" s="3203"/>
      <c r="C450" s="3204"/>
      <c r="E450" s="3203"/>
    </row>
    <row r="451" spans="1:5" s="1997" customFormat="1">
      <c r="A451" s="3203"/>
      <c r="C451" s="3204"/>
      <c r="E451" s="3203"/>
    </row>
    <row r="452" spans="1:5" s="1997" customFormat="1">
      <c r="A452" s="3203"/>
      <c r="C452" s="3204"/>
      <c r="E452" s="3203"/>
    </row>
    <row r="453" spans="1:5" s="1997" customFormat="1">
      <c r="A453" s="3203"/>
      <c r="C453" s="3204"/>
      <c r="E453" s="3203"/>
    </row>
    <row r="454" spans="1:5" s="1997" customFormat="1">
      <c r="A454" s="3203"/>
      <c r="C454" s="3204"/>
      <c r="E454" s="3203"/>
    </row>
    <row r="455" spans="1:5" s="1997" customFormat="1">
      <c r="A455" s="3203"/>
      <c r="C455" s="3204"/>
      <c r="E455" s="3203"/>
    </row>
    <row r="456" spans="1:5" s="1997" customFormat="1">
      <c r="A456" s="3203"/>
      <c r="C456" s="3204"/>
      <c r="E456" s="3203"/>
    </row>
    <row r="457" spans="1:5" s="1997" customFormat="1">
      <c r="A457" s="3203"/>
      <c r="C457" s="3204"/>
      <c r="E457" s="3203"/>
    </row>
    <row r="458" spans="1:5" s="1997" customFormat="1">
      <c r="A458" s="3203"/>
      <c r="C458" s="3204"/>
      <c r="E458" s="3203"/>
    </row>
    <row r="459" spans="1:5" s="1997" customFormat="1">
      <c r="A459" s="3203"/>
      <c r="C459" s="3204"/>
      <c r="E459" s="3203"/>
    </row>
    <row r="460" spans="1:5" s="1997" customFormat="1">
      <c r="A460" s="3203"/>
      <c r="C460" s="3204"/>
      <c r="E460" s="3203"/>
    </row>
    <row r="461" spans="1:5" s="1997" customFormat="1">
      <c r="A461" s="3203"/>
      <c r="C461" s="3204"/>
      <c r="E461" s="3203"/>
    </row>
    <row r="462" spans="1:5" s="1997" customFormat="1">
      <c r="A462" s="3203"/>
      <c r="C462" s="3204"/>
      <c r="E462" s="3203"/>
    </row>
    <row r="463" spans="1:5" s="1997" customFormat="1">
      <c r="A463" s="3203"/>
      <c r="C463" s="3204"/>
      <c r="E463" s="3203"/>
    </row>
    <row r="464" spans="1:5" s="1997" customFormat="1">
      <c r="A464" s="3203"/>
      <c r="C464" s="3204"/>
      <c r="E464" s="3203"/>
    </row>
    <row r="465" spans="1:5" s="1997" customFormat="1">
      <c r="A465" s="3203"/>
      <c r="C465" s="3204"/>
      <c r="E465" s="3203"/>
    </row>
    <row r="466" spans="1:5" s="1997" customFormat="1">
      <c r="A466" s="3203"/>
      <c r="C466" s="3204"/>
      <c r="E466" s="3203"/>
    </row>
    <row r="467" spans="1:5" s="1997" customFormat="1">
      <c r="A467" s="3203"/>
      <c r="C467" s="3204"/>
      <c r="E467" s="3203"/>
    </row>
    <row r="468" spans="1:5" s="1997" customFormat="1">
      <c r="A468" s="3203"/>
      <c r="C468" s="3204"/>
      <c r="E468" s="3203"/>
    </row>
    <row r="469" spans="1:5" s="1997" customFormat="1">
      <c r="A469" s="3203"/>
      <c r="C469" s="3204"/>
      <c r="E469" s="3203"/>
    </row>
    <row r="470" spans="1:5" s="1997" customFormat="1">
      <c r="A470" s="3203"/>
      <c r="C470" s="3204"/>
      <c r="E470" s="3203"/>
    </row>
    <row r="471" spans="1:5" s="1997" customFormat="1">
      <c r="A471" s="3203"/>
      <c r="C471" s="3204"/>
      <c r="E471" s="3203"/>
    </row>
    <row r="472" spans="1:5" s="1997" customFormat="1">
      <c r="A472" s="3203"/>
      <c r="C472" s="3204"/>
      <c r="E472" s="3203"/>
    </row>
    <row r="473" spans="1:5" s="1997" customFormat="1">
      <c r="A473" s="3203"/>
      <c r="C473" s="3204"/>
      <c r="E473" s="3203"/>
    </row>
    <row r="474" spans="1:5" s="1997" customFormat="1">
      <c r="A474" s="3203"/>
      <c r="C474" s="3204"/>
      <c r="E474" s="3203"/>
    </row>
    <row r="475" spans="1:5" s="1997" customFormat="1">
      <c r="A475" s="3203"/>
      <c r="C475" s="3204"/>
      <c r="E475" s="3203"/>
    </row>
    <row r="476" spans="1:5" s="1997" customFormat="1">
      <c r="A476" s="3203"/>
      <c r="C476" s="3204"/>
      <c r="E476" s="3203"/>
    </row>
    <row r="477" spans="1:5" s="1997" customFormat="1">
      <c r="A477" s="3203"/>
      <c r="C477" s="3204"/>
      <c r="E477" s="3203"/>
    </row>
    <row r="478" spans="1:5" s="1997" customFormat="1">
      <c r="A478" s="3203"/>
      <c r="C478" s="3204"/>
      <c r="E478" s="3203"/>
    </row>
    <row r="479" spans="1:5" s="1997" customFormat="1">
      <c r="A479" s="3203"/>
      <c r="C479" s="3204"/>
      <c r="E479" s="3203"/>
    </row>
    <row r="480" spans="1:5" s="1997" customFormat="1">
      <c r="A480" s="3203"/>
      <c r="C480" s="3204"/>
      <c r="E480" s="3203"/>
    </row>
    <row r="481" spans="1:5" s="1997" customFormat="1">
      <c r="A481" s="3203"/>
      <c r="C481" s="3204"/>
      <c r="E481" s="3203"/>
    </row>
    <row r="482" spans="1:5" s="1997" customFormat="1">
      <c r="A482" s="3203"/>
      <c r="C482" s="3204"/>
      <c r="E482" s="3203"/>
    </row>
    <row r="483" spans="1:5" s="1997" customFormat="1">
      <c r="A483" s="3203"/>
      <c r="C483" s="3204"/>
      <c r="E483" s="3203"/>
    </row>
    <row r="484" spans="1:5" s="1997" customFormat="1">
      <c r="A484" s="3203"/>
      <c r="C484" s="3204"/>
      <c r="E484" s="3203"/>
    </row>
    <row r="485" spans="1:5" s="1997" customFormat="1">
      <c r="A485" s="3203"/>
      <c r="C485" s="3204"/>
      <c r="E485" s="3203"/>
    </row>
    <row r="486" spans="1:5" s="1997" customFormat="1">
      <c r="A486" s="3203"/>
      <c r="C486" s="3204"/>
      <c r="E486" s="3203"/>
    </row>
    <row r="487" spans="1:5" s="1997" customFormat="1">
      <c r="A487" s="3203"/>
      <c r="C487" s="3204"/>
      <c r="E487" s="3203"/>
    </row>
    <row r="488" spans="1:5" s="1997" customFormat="1">
      <c r="A488" s="3203"/>
      <c r="C488" s="3204"/>
      <c r="E488" s="3203"/>
    </row>
    <row r="489" spans="1:5" s="1997" customFormat="1">
      <c r="A489" s="3203"/>
      <c r="C489" s="3204"/>
      <c r="E489" s="3203"/>
    </row>
    <row r="490" spans="1:5" s="1997"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5"/>
      <c r="M6" s="3195"/>
      <c r="N6" s="3195"/>
      <c r="O6" s="3195"/>
      <c r="P6" s="3195"/>
      <c r="Q6" s="3195"/>
      <c r="R6" s="3195"/>
      <c r="S6" s="3195"/>
      <c r="T6" s="3195"/>
      <c r="U6" s="3195"/>
      <c r="V6" s="3195"/>
      <c r="W6" s="3195"/>
      <c r="X6" s="3195"/>
      <c r="Y6" s="3195"/>
      <c r="Z6" s="3195"/>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7"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8" customFormat="1" ht="13.5" customHeight="1">
      <c r="A13" s="1561" t="s">
        <v>1838</v>
      </c>
      <c r="B13" s="443" t="s">
        <v>473</v>
      </c>
      <c r="C13" s="444">
        <f ca="1">IF(B1="",'数据-取费表'!M16,INDIRECT("'数据-取费表'!M"&amp;$K$1)+INDIRECT("'数据-取费表'!t"&amp;$K$1))</f>
        <v>59859</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1796</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2427</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4368</v>
      </c>
      <c r="D16" s="445">
        <f ca="1">IF(B1="",'数据-汇总表'!E3,INDIRECT("'数据-取费表'!K"&amp;$K$1)+INDIRECT("'数据-取费表'!S"&amp;$K$1))</f>
        <v>218404.75999999998</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898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69348</v>
      </c>
      <c r="D18" s="455"/>
      <c r="E18" s="456"/>
      <c r="F18" s="456"/>
      <c r="G18" s="1280" t="s">
        <v>2415</v>
      </c>
      <c r="H18" s="441"/>
      <c r="I18" s="441"/>
      <c r="J18" s="441"/>
      <c r="K18" s="442"/>
      <c r="L18" s="3198"/>
      <c r="M18" s="3198"/>
      <c r="N18" s="3198"/>
      <c r="O18" s="3198"/>
      <c r="P18" s="3198"/>
      <c r="Q18" s="3198"/>
      <c r="R18" s="3198"/>
      <c r="S18" s="3198"/>
      <c r="T18" s="3198"/>
      <c r="U18" s="3198"/>
      <c r="V18" s="3198"/>
      <c r="W18" s="3198"/>
      <c r="X18" s="3198"/>
      <c r="Y18" s="3198"/>
      <c r="Z18" s="3198"/>
    </row>
    <row r="19" spans="1:26" s="2001" customFormat="1" ht="13.5" customHeight="1">
      <c r="A19" s="1562" t="s">
        <v>1844</v>
      </c>
      <c r="B19" s="453" t="s">
        <v>487</v>
      </c>
      <c r="C19" s="454">
        <f ca="1">ROUND(C18*F19,0)</f>
        <v>1387</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3" customFormat="1" ht="13.5" customHeight="1">
      <c r="A21" s="1562" t="s">
        <v>1848</v>
      </c>
      <c r="B21" s="455" t="s">
        <v>488</v>
      </c>
      <c r="C21" s="464">
        <f ca="1">C22</f>
        <v>4225</v>
      </c>
      <c r="D21" s="461">
        <f ca="1">C23</f>
        <v>1.1999999999999999E-3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6" t="s">
        <v>2436</v>
      </c>
      <c r="M21" s="3207"/>
      <c r="N21" s="3207"/>
      <c r="O21" s="3207"/>
      <c r="P21" s="3207"/>
      <c r="Q21" s="3200"/>
      <c r="R21" s="3200"/>
      <c r="S21" s="3200"/>
      <c r="T21" s="3200"/>
      <c r="U21" s="3200"/>
      <c r="V21" s="3200"/>
      <c r="W21" s="3200"/>
      <c r="X21" s="3200"/>
      <c r="Y21" s="3200"/>
      <c r="Z21" s="3200"/>
    </row>
    <row r="22" spans="1:26" s="2002" customFormat="1" ht="13.5" customHeight="1">
      <c r="A22" s="1561" t="s">
        <v>1838</v>
      </c>
      <c r="B22" s="1281" t="s">
        <v>2418</v>
      </c>
      <c r="C22" s="481">
        <f ca="1">ROUND(IF('数据-取费表'!B22&lt;=1,(C18+C19)*F21*'数据-取费表'!B20/2,(C18+C19)*(POWER((1+F21),'数据-取费表'!B20/2)-1)),0)</f>
        <v>4225</v>
      </c>
      <c r="D22" s="466"/>
      <c r="E22" s="467"/>
      <c r="F22" s="468"/>
      <c r="G22" s="2420"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2" customFormat="1" ht="13.5" customHeight="1">
      <c r="A23" s="1561" t="s">
        <v>1839</v>
      </c>
      <c r="B23" s="1281" t="s">
        <v>502</v>
      </c>
      <c r="C23" s="482">
        <f ca="1">ROUND(IF('数据-取费表'!B22&lt;=1,F20*F21*'数据-取费表'!B20/2,F20*(POWER((1+F21),'数据-取费表'!B20/2)-1)),4)</f>
        <v>1.1999999999999999E-3</v>
      </c>
      <c r="D23" s="466"/>
      <c r="E23" s="467"/>
      <c r="F23" s="468"/>
      <c r="G23" s="2420"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2" customFormat="1" ht="13.5" customHeight="1">
      <c r="A24" s="1562" t="s">
        <v>1849</v>
      </c>
      <c r="B24" s="2745" t="s">
        <v>2811</v>
      </c>
      <c r="C24" s="472">
        <f ca="1">C25</f>
        <v>8488</v>
      </c>
      <c r="D24" s="483">
        <f ca="1">C26</f>
        <v>2.3999999999999998E-3</v>
      </c>
      <c r="E24" s="463" t="s">
        <v>501</v>
      </c>
      <c r="F24" s="473">
        <f ca="1">IF(B1="",'数据-取费表'!Q16,INDIRECT("'数据-取费表'!q"&amp;$K$1))</f>
        <v>0.12</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2" customFormat="1" ht="13.5" customHeight="1">
      <c r="A25" s="1561" t="s">
        <v>1838</v>
      </c>
      <c r="B25" s="1281" t="s">
        <v>2419</v>
      </c>
      <c r="C25" s="484">
        <f ca="1">ROUND((C18+C19)*F24,0)</f>
        <v>8488</v>
      </c>
      <c r="D25" s="466"/>
      <c r="E25" s="467"/>
      <c r="F25" s="474"/>
      <c r="G25" s="1279" t="s">
        <v>2416</v>
      </c>
      <c r="H25" s="451"/>
      <c r="I25" s="451"/>
      <c r="J25" s="451"/>
      <c r="K25" s="452"/>
      <c r="L25" s="3199"/>
      <c r="M25" s="3199"/>
      <c r="N25" s="3199"/>
      <c r="O25" s="3199"/>
      <c r="P25" s="3199"/>
      <c r="Q25" s="3199"/>
      <c r="R25" s="3199"/>
      <c r="S25" s="3199"/>
      <c r="T25" s="3199"/>
      <c r="U25" s="3199"/>
      <c r="V25" s="3199"/>
      <c r="W25" s="3199"/>
      <c r="X25" s="3199"/>
      <c r="Y25" s="3199"/>
      <c r="Z25" s="3199"/>
    </row>
    <row r="26" spans="1:26" s="2002" customFormat="1" ht="13.5" customHeight="1">
      <c r="A26" s="1561" t="s">
        <v>1839</v>
      </c>
      <c r="B26" s="1281" t="s">
        <v>503</v>
      </c>
      <c r="C26" s="485">
        <f ca="1">ROUND(F20*F24,4)</f>
        <v>2.3999999999999998E-3</v>
      </c>
      <c r="D26" s="466"/>
      <c r="E26" s="475"/>
      <c r="F26" s="474"/>
      <c r="G26" s="1279"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2" customFormat="1" ht="13.5" customHeight="1">
      <c r="A27" s="1565" t="s">
        <v>1857</v>
      </c>
      <c r="B27" s="453" t="s">
        <v>505</v>
      </c>
      <c r="C27" s="2744">
        <f>ROUND(F27/(1+'数据-取费表'!C42),4)</f>
        <v>5.2400000000000002E-2</v>
      </c>
      <c r="D27" s="456" t="s">
        <v>2809</v>
      </c>
      <c r="E27" s="456"/>
      <c r="F27" s="460">
        <f>'数据-取费表'!B41</f>
        <v>5.5000000000000007E-2</v>
      </c>
      <c r="G27" s="1874" t="s">
        <v>2278</v>
      </c>
      <c r="H27" s="441"/>
      <c r="I27" s="441"/>
      <c r="J27" s="441"/>
      <c r="K27" s="442"/>
      <c r="L27" s="3199"/>
      <c r="M27" s="3199"/>
      <c r="N27" s="3199"/>
      <c r="O27" s="3199"/>
      <c r="P27" s="3199"/>
      <c r="Q27" s="3199"/>
      <c r="R27" s="3199"/>
      <c r="S27" s="3199"/>
      <c r="T27" s="3199"/>
      <c r="U27" s="3199"/>
      <c r="V27" s="3199"/>
      <c r="W27" s="3199"/>
      <c r="X27" s="3199"/>
      <c r="Y27" s="3199"/>
      <c r="Z27" s="3199"/>
    </row>
    <row r="28" spans="1:26" s="2003" customFormat="1" ht="13.5" customHeight="1">
      <c r="A28" s="1565" t="s">
        <v>1858</v>
      </c>
      <c r="B28" s="470" t="s">
        <v>506</v>
      </c>
      <c r="C28" s="464">
        <f ca="1">ROUND((C18+C19+C21+C24)/(1-C20-D21-D24-C27),0)</f>
        <v>90312</v>
      </c>
      <c r="D28" s="471"/>
      <c r="E28" s="463"/>
      <c r="F28" s="465"/>
      <c r="G28" s="1280" t="s">
        <v>2417</v>
      </c>
      <c r="H28" s="441"/>
      <c r="I28" s="441"/>
      <c r="J28" s="441"/>
      <c r="K28" s="442"/>
      <c r="L28" s="3200"/>
      <c r="M28" s="3200"/>
      <c r="N28" s="3200"/>
      <c r="O28" s="3200"/>
      <c r="P28" s="3200"/>
      <c r="Q28" s="3200"/>
      <c r="R28" s="3200"/>
      <c r="S28" s="3200"/>
      <c r="T28" s="3200"/>
      <c r="U28" s="3200"/>
      <c r="V28" s="3200"/>
      <c r="W28" s="3200"/>
      <c r="X28" s="3200"/>
      <c r="Y28" s="3200"/>
      <c r="Z28" s="3200"/>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3" customFormat="1" ht="13.5" customHeight="1">
      <c r="A30" s="437">
        <v>2</v>
      </c>
      <c r="B30" s="470" t="s">
        <v>508</v>
      </c>
      <c r="C30" s="491">
        <f ca="1">ROUND(C28*C29,0)</f>
        <v>0</v>
      </c>
      <c r="D30" s="487"/>
      <c r="E30" s="492"/>
      <c r="F30" s="493"/>
      <c r="G30" s="1282"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2929</v>
      </c>
      <c r="H32" s="477"/>
      <c r="I32" s="477"/>
      <c r="J32" s="477"/>
      <c r="K32" s="479"/>
      <c r="L32" s="3196"/>
      <c r="M32" s="3196"/>
      <c r="N32" s="3196"/>
      <c r="O32" s="3196"/>
      <c r="P32" s="3196"/>
      <c r="Q32" s="3196"/>
      <c r="R32" s="3196"/>
      <c r="S32" s="3196"/>
      <c r="T32" s="3196"/>
      <c r="U32" s="3196"/>
      <c r="V32" s="3196"/>
      <c r="W32" s="3196"/>
      <c r="X32" s="3196"/>
      <c r="Y32" s="3196"/>
      <c r="Z32" s="3196"/>
    </row>
    <row r="33" spans="1:5" s="1997" customFormat="1">
      <c r="A33" s="3203"/>
      <c r="C33" s="3204"/>
      <c r="E33" s="3203"/>
    </row>
    <row r="34" spans="1:5" s="1997" customFormat="1" ht="12.75" customHeight="1">
      <c r="A34" s="3203"/>
      <c r="C34" s="3204"/>
      <c r="E34" s="3203"/>
    </row>
    <row r="35" spans="1:5" s="1997" customFormat="1">
      <c r="A35" s="3203"/>
      <c r="C35" s="3204"/>
      <c r="E35" s="3203"/>
    </row>
    <row r="36" spans="1:5" s="1997" customFormat="1">
      <c r="A36" s="3203"/>
      <c r="C36" s="3204"/>
      <c r="E36" s="3203"/>
    </row>
    <row r="37" spans="1:5" s="1997" customFormat="1">
      <c r="A37" s="3203"/>
      <c r="C37" s="3204"/>
      <c r="E37" s="3203"/>
    </row>
    <row r="38" spans="1:5" s="1997" customFormat="1">
      <c r="A38" s="3203"/>
      <c r="C38" s="3204"/>
      <c r="E38" s="3203"/>
    </row>
    <row r="39" spans="1:5" s="1997" customFormat="1">
      <c r="A39" s="3203"/>
      <c r="C39" s="3204"/>
      <c r="E39" s="3203"/>
    </row>
    <row r="40" spans="1:5" s="1997" customFormat="1">
      <c r="A40" s="3203"/>
      <c r="C40" s="3204"/>
      <c r="E40" s="3203"/>
    </row>
    <row r="41" spans="1:5" s="1997" customFormat="1">
      <c r="A41" s="3203"/>
      <c r="C41" s="3204"/>
      <c r="E41" s="3203"/>
    </row>
    <row r="42" spans="1:5" s="1997" customFormat="1">
      <c r="A42" s="3203"/>
      <c r="C42" s="3204"/>
      <c r="E42" s="3203"/>
    </row>
    <row r="43" spans="1:5" s="1997" customFormat="1">
      <c r="A43" s="3203"/>
      <c r="C43" s="3204"/>
      <c r="E43" s="3203"/>
    </row>
    <row r="44" spans="1:5" s="1997" customFormat="1">
      <c r="A44" s="3203"/>
      <c r="C44" s="3204"/>
      <c r="E44" s="3203"/>
    </row>
    <row r="45" spans="1:5" s="1997" customFormat="1">
      <c r="A45" s="3203"/>
      <c r="C45" s="3204"/>
      <c r="E45" s="3203"/>
    </row>
    <row r="46" spans="1:5" s="1997" customFormat="1">
      <c r="A46" s="3203"/>
      <c r="C46" s="3204"/>
      <c r="E46" s="3203"/>
    </row>
    <row r="47" spans="1:5" s="1997" customFormat="1">
      <c r="A47" s="3203"/>
      <c r="C47" s="3204"/>
      <c r="E47" s="3203"/>
    </row>
    <row r="48" spans="1:5"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461</v>
      </c>
      <c r="B2" s="502" t="e">
        <f>F63</f>
        <v>#DIV/0!</v>
      </c>
      <c r="C2" s="3220"/>
      <c r="D2" s="3220"/>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c r="A3" s="1331" t="s">
        <v>1675</v>
      </c>
      <c r="B3" s="504" t="e">
        <f>ROUND(B2*10000/'数据-汇总表'!E3,0)</f>
        <v>#DIV/0!</v>
      </c>
      <c r="C3" s="3219"/>
      <c r="D3" s="3219"/>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19"/>
      <c r="D4" s="3219"/>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3211"/>
      <c r="AC5" s="1944"/>
    </row>
    <row r="6" spans="1:29" ht="15">
      <c r="A6" s="506" t="s">
        <v>515</v>
      </c>
      <c r="B6" s="507"/>
      <c r="C6" s="3636" t="s">
        <v>516</v>
      </c>
      <c r="D6" s="3637"/>
      <c r="E6" s="3670" t="s">
        <v>517</v>
      </c>
      <c r="F6" s="3671"/>
      <c r="G6" s="3636" t="s">
        <v>518</v>
      </c>
      <c r="H6" s="3637"/>
      <c r="I6" s="3636" t="s">
        <v>519</v>
      </c>
      <c r="J6" s="3637"/>
      <c r="K6" s="508" t="s">
        <v>520</v>
      </c>
      <c r="L6" s="2015"/>
      <c r="M6" s="2016"/>
      <c r="N6" s="2016"/>
      <c r="O6" s="2016"/>
      <c r="P6" s="3638" t="s">
        <v>521</v>
      </c>
      <c r="Q6" s="3639"/>
      <c r="R6" s="3644" t="s">
        <v>517</v>
      </c>
      <c r="S6" s="3645"/>
      <c r="T6" s="3644" t="s">
        <v>518</v>
      </c>
      <c r="U6" s="3645"/>
      <c r="V6" s="3631" t="s">
        <v>519</v>
      </c>
      <c r="W6" s="3631"/>
      <c r="X6" s="1501"/>
      <c r="Y6" s="3644" t="s">
        <v>521</v>
      </c>
      <c r="Z6" s="3645"/>
      <c r="AA6" s="3633" t="s">
        <v>517</v>
      </c>
      <c r="AB6" s="3634" t="s">
        <v>518</v>
      </c>
      <c r="AC6" s="3633" t="s">
        <v>519</v>
      </c>
    </row>
    <row r="7" spans="1:29" ht="15">
      <c r="A7" s="509"/>
      <c r="B7" s="510"/>
      <c r="C7" s="3652" t="s">
        <v>2889</v>
      </c>
      <c r="D7" s="3653"/>
      <c r="E7" s="3672" t="s">
        <v>2890</v>
      </c>
      <c r="F7" s="3673"/>
      <c r="G7" s="3652" t="s">
        <v>2891</v>
      </c>
      <c r="H7" s="3653"/>
      <c r="I7" s="3652" t="s">
        <v>2892</v>
      </c>
      <c r="J7" s="3653"/>
      <c r="K7" s="508"/>
      <c r="L7" s="2015"/>
      <c r="M7" s="2016"/>
      <c r="N7" s="2016"/>
      <c r="O7" s="2016"/>
      <c r="P7" s="3640"/>
      <c r="Q7" s="3641"/>
      <c r="R7" s="3646"/>
      <c r="S7" s="3647"/>
      <c r="T7" s="3646"/>
      <c r="U7" s="3647"/>
      <c r="V7" s="3631"/>
      <c r="W7" s="3631"/>
      <c r="X7" s="1501"/>
      <c r="Y7" s="3646"/>
      <c r="Z7" s="3647"/>
      <c r="AA7" s="3634"/>
      <c r="AB7" s="3634"/>
      <c r="AC7" s="3634"/>
    </row>
    <row r="8" spans="1:29" ht="15.75" thickBot="1">
      <c r="A8" s="511"/>
      <c r="B8" s="512"/>
      <c r="C8" s="3650" t="s">
        <v>2893</v>
      </c>
      <c r="D8" s="3651"/>
      <c r="E8" s="3668" t="s">
        <v>2893</v>
      </c>
      <c r="F8" s="3669"/>
      <c r="G8" s="3650" t="s">
        <v>2893</v>
      </c>
      <c r="H8" s="3651"/>
      <c r="I8" s="3650" t="s">
        <v>2893</v>
      </c>
      <c r="J8" s="3651"/>
      <c r="K8" s="508" t="s">
        <v>522</v>
      </c>
      <c r="L8" s="2015"/>
      <c r="M8" s="2016"/>
      <c r="N8" s="2016"/>
      <c r="O8" s="2016"/>
      <c r="P8" s="3642"/>
      <c r="Q8" s="3643"/>
      <c r="R8" s="3646"/>
      <c r="S8" s="3647"/>
      <c r="T8" s="3648"/>
      <c r="U8" s="3649"/>
      <c r="V8" s="3631"/>
      <c r="W8" s="3631"/>
      <c r="X8" s="1501"/>
      <c r="Y8" s="3648"/>
      <c r="Z8" s="3649"/>
      <c r="AA8" s="3635"/>
      <c r="AB8" s="3635"/>
      <c r="AC8" s="3635"/>
    </row>
    <row r="9" spans="1:29" s="1202" customFormat="1" ht="15.75" thickBot="1">
      <c r="A9" s="2629"/>
      <c r="B9" s="2636" t="s">
        <v>523</v>
      </c>
      <c r="C9" s="513">
        <f>'数据-取费表'!B2</f>
        <v>44139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661" t="s">
        <v>524</v>
      </c>
      <c r="Q9" s="3663"/>
      <c r="R9" s="1502" t="s">
        <v>8</v>
      </c>
      <c r="S9" s="1503">
        <f t="shared" ref="S9:S17" si="0">F9</f>
        <v>0</v>
      </c>
      <c r="T9" s="1502" t="s">
        <v>8</v>
      </c>
      <c r="U9" s="1503">
        <f t="shared" ref="U9:U17" si="1">H9</f>
        <v>0</v>
      </c>
      <c r="V9" s="1502" t="s">
        <v>8</v>
      </c>
      <c r="W9" s="1503">
        <f t="shared" ref="W9:W17" si="2">J9</f>
        <v>0</v>
      </c>
      <c r="X9" s="1504"/>
      <c r="Y9" s="3661" t="s">
        <v>524</v>
      </c>
      <c r="Z9" s="3662"/>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661" t="s">
        <v>527</v>
      </c>
      <c r="Q10" s="3662"/>
      <c r="R10" s="1502" t="s">
        <v>8</v>
      </c>
      <c r="S10" s="1503">
        <f t="shared" si="0"/>
        <v>0</v>
      </c>
      <c r="T10" s="1502" t="s">
        <v>8</v>
      </c>
      <c r="U10" s="1503">
        <f t="shared" si="1"/>
        <v>0</v>
      </c>
      <c r="V10" s="1502" t="s">
        <v>8</v>
      </c>
      <c r="W10" s="1503">
        <f t="shared" si="2"/>
        <v>0</v>
      </c>
      <c r="X10" s="1504"/>
      <c r="Y10" s="3661" t="s">
        <v>527</v>
      </c>
      <c r="Z10" s="3662"/>
      <c r="AA10" s="1505" t="e">
        <f t="shared" ref="AA10:AA42" si="3">D10/F10</f>
        <v>#DIV/0!</v>
      </c>
      <c r="AB10" s="1505" t="e">
        <f t="shared" ref="AB10:AB42" si="4">D10/H10</f>
        <v>#DIV/0!</v>
      </c>
      <c r="AC10" s="1505" t="e">
        <f t="shared" ref="AC10:AC42" si="5">D10/J10</f>
        <v>#DIV/0!</v>
      </c>
    </row>
    <row r="11" spans="1:29" s="1202"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630" t="s">
        <v>529</v>
      </c>
      <c r="Q11" s="1133" t="str">
        <f t="shared" ref="Q11:Q17" si="6">B11</f>
        <v>用途</v>
      </c>
      <c r="R11" s="1502" t="s">
        <v>8</v>
      </c>
      <c r="S11" s="1503">
        <f t="shared" si="0"/>
        <v>100</v>
      </c>
      <c r="T11" s="1502" t="s">
        <v>8</v>
      </c>
      <c r="U11" s="1503">
        <f t="shared" si="1"/>
        <v>100</v>
      </c>
      <c r="V11" s="1502" t="s">
        <v>8</v>
      </c>
      <c r="W11" s="1503">
        <f t="shared" si="2"/>
        <v>100</v>
      </c>
      <c r="X11" s="1504"/>
      <c r="Y11" s="3576" t="s">
        <v>530</v>
      </c>
      <c r="Z11" s="1132" t="str">
        <f t="shared" ref="Z11:Z17" si="7">Q11</f>
        <v>用途</v>
      </c>
      <c r="AA11" s="1505">
        <f t="shared" si="3"/>
        <v>1</v>
      </c>
      <c r="AB11" s="1505">
        <f t="shared" si="4"/>
        <v>1</v>
      </c>
      <c r="AC11" s="1505">
        <f t="shared" si="5"/>
        <v>1</v>
      </c>
    </row>
    <row r="12" spans="1:29" s="1291"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630"/>
      <c r="Q12" s="1133" t="str">
        <f t="shared" si="6"/>
        <v>土地使用年限（年）</v>
      </c>
      <c r="R12" s="1502" t="s">
        <v>8</v>
      </c>
      <c r="S12" s="1503">
        <f t="shared" si="0"/>
        <v>100</v>
      </c>
      <c r="T12" s="1502" t="s">
        <v>8</v>
      </c>
      <c r="U12" s="1503">
        <f t="shared" si="1"/>
        <v>100</v>
      </c>
      <c r="V12" s="1502" t="s">
        <v>8</v>
      </c>
      <c r="W12" s="1503">
        <f t="shared" si="2"/>
        <v>100</v>
      </c>
      <c r="X12" s="1504"/>
      <c r="Y12" s="3576"/>
      <c r="Z12" s="1132" t="str">
        <f t="shared" si="7"/>
        <v>土地使用年限（年）</v>
      </c>
      <c r="AA12" s="1505">
        <f t="shared" si="3"/>
        <v>1</v>
      </c>
      <c r="AB12" s="1505">
        <f t="shared" si="4"/>
        <v>1</v>
      </c>
      <c r="AC12" s="1505">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630"/>
      <c r="Q13" s="1133" t="str">
        <f t="shared" si="6"/>
        <v>容积率</v>
      </c>
      <c r="R13" s="1502" t="s">
        <v>8</v>
      </c>
      <c r="S13" s="1503" t="e">
        <f t="shared" si="0"/>
        <v>#N/A</v>
      </c>
      <c r="T13" s="1502" t="s">
        <v>8</v>
      </c>
      <c r="U13" s="1503" t="e">
        <f t="shared" si="1"/>
        <v>#N/A</v>
      </c>
      <c r="V13" s="1502" t="s">
        <v>8</v>
      </c>
      <c r="W13" s="1503" t="e">
        <f t="shared" si="2"/>
        <v>#N/A</v>
      </c>
      <c r="X13" s="1504"/>
      <c r="Y13" s="3576"/>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630"/>
      <c r="Q14" s="1133">
        <f t="shared" si="6"/>
        <v>111</v>
      </c>
      <c r="R14" s="1502" t="s">
        <v>8</v>
      </c>
      <c r="S14" s="1503">
        <f t="shared" si="0"/>
        <v>100</v>
      </c>
      <c r="T14" s="1502" t="s">
        <v>8</v>
      </c>
      <c r="U14" s="1503">
        <f t="shared" si="1"/>
        <v>100</v>
      </c>
      <c r="V14" s="1502" t="s">
        <v>8</v>
      </c>
      <c r="W14" s="1503">
        <f t="shared" si="2"/>
        <v>100</v>
      </c>
      <c r="X14" s="1504"/>
      <c r="Y14" s="3576"/>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630"/>
      <c r="Q15" s="1133">
        <f t="shared" si="6"/>
        <v>111</v>
      </c>
      <c r="R15" s="1502" t="s">
        <v>8</v>
      </c>
      <c r="S15" s="1503">
        <f t="shared" si="0"/>
        <v>100</v>
      </c>
      <c r="T15" s="1502" t="s">
        <v>8</v>
      </c>
      <c r="U15" s="1503">
        <f t="shared" si="1"/>
        <v>100</v>
      </c>
      <c r="V15" s="1502" t="s">
        <v>8</v>
      </c>
      <c r="W15" s="1503">
        <f t="shared" si="2"/>
        <v>100</v>
      </c>
      <c r="X15" s="1504"/>
      <c r="Y15" s="3576"/>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630"/>
      <c r="Q16" s="1133">
        <f t="shared" si="6"/>
        <v>111</v>
      </c>
      <c r="R16" s="1502" t="s">
        <v>8</v>
      </c>
      <c r="S16" s="1503">
        <f t="shared" si="0"/>
        <v>100</v>
      </c>
      <c r="T16" s="1502" t="s">
        <v>8</v>
      </c>
      <c r="U16" s="1503">
        <f t="shared" si="1"/>
        <v>100</v>
      </c>
      <c r="V16" s="1502" t="s">
        <v>8</v>
      </c>
      <c r="W16" s="1503">
        <f t="shared" si="2"/>
        <v>100</v>
      </c>
      <c r="X16" s="1504"/>
      <c r="Y16" s="3576"/>
      <c r="Z16" s="1132">
        <f t="shared" si="7"/>
        <v>111</v>
      </c>
      <c r="AA16" s="1505">
        <f t="shared" si="3"/>
        <v>1</v>
      </c>
      <c r="AB16" s="1505">
        <f t="shared" si="4"/>
        <v>1</v>
      </c>
      <c r="AC16" s="1505">
        <f t="shared" si="5"/>
        <v>1</v>
      </c>
    </row>
    <row r="17" spans="1:29" ht="57">
      <c r="A17" s="2627"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664" t="s">
        <v>534</v>
      </c>
      <c r="Q17" s="1506" t="str">
        <f t="shared" si="6"/>
        <v>产业集聚程度</v>
      </c>
      <c r="R17" s="1507" t="s">
        <v>8</v>
      </c>
      <c r="S17" s="1508">
        <f t="shared" si="0"/>
        <v>100</v>
      </c>
      <c r="T17" s="1507" t="s">
        <v>8</v>
      </c>
      <c r="U17" s="1508">
        <f t="shared" si="1"/>
        <v>100</v>
      </c>
      <c r="V17" s="1507" t="s">
        <v>8</v>
      </c>
      <c r="W17" s="1508">
        <f t="shared" si="2"/>
        <v>100</v>
      </c>
      <c r="X17" s="1501"/>
      <c r="Y17" s="3664"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665"/>
      <c r="Q18" s="1506"/>
      <c r="R18" s="1507"/>
      <c r="S18" s="1508"/>
      <c r="T18" s="1507"/>
      <c r="U18" s="1508"/>
      <c r="V18" s="1507"/>
      <c r="W18" s="1508"/>
      <c r="X18" s="1501"/>
      <c r="Y18" s="3665"/>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665"/>
      <c r="Q19" s="1506" t="str">
        <f>B19</f>
        <v>交通便捷度</v>
      </c>
      <c r="R19" s="1507" t="s">
        <v>8</v>
      </c>
      <c r="S19" s="1508">
        <f>F19</f>
        <v>100</v>
      </c>
      <c r="T19" s="1507" t="s">
        <v>8</v>
      </c>
      <c r="U19" s="1508">
        <f>H19</f>
        <v>100</v>
      </c>
      <c r="V19" s="1507" t="s">
        <v>8</v>
      </c>
      <c r="W19" s="1508">
        <f>J19</f>
        <v>100</v>
      </c>
      <c r="X19" s="1501"/>
      <c r="Y19" s="3665"/>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665"/>
      <c r="Q20" s="1506"/>
      <c r="R20" s="1507"/>
      <c r="S20" s="1508"/>
      <c r="T20" s="1507"/>
      <c r="U20" s="1508"/>
      <c r="V20" s="1507"/>
      <c r="W20" s="1508"/>
      <c r="X20" s="1501"/>
      <c r="Y20" s="3665"/>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665"/>
      <c r="Q21" s="1506" t="str">
        <f t="shared" ref="Q21:Q35" si="8">B21</f>
        <v>区域土地利用方向</v>
      </c>
      <c r="R21" s="1507" t="s">
        <v>8</v>
      </c>
      <c r="S21" s="1508">
        <f>F21</f>
        <v>100</v>
      </c>
      <c r="T21" s="1507" t="s">
        <v>8</v>
      </c>
      <c r="U21" s="1508">
        <f>H21</f>
        <v>100</v>
      </c>
      <c r="V21" s="1507" t="s">
        <v>8</v>
      </c>
      <c r="W21" s="1508">
        <f>J21</f>
        <v>100</v>
      </c>
      <c r="X21" s="1501"/>
      <c r="Y21" s="3665"/>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665"/>
      <c r="Q22" s="1506"/>
      <c r="R22" s="1507"/>
      <c r="S22" s="1508"/>
      <c r="T22" s="1507"/>
      <c r="U22" s="1508"/>
      <c r="V22" s="1507"/>
      <c r="W22" s="1508"/>
      <c r="X22" s="1501"/>
      <c r="Y22" s="3665"/>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665"/>
      <c r="Q23" s="1506" t="str">
        <f t="shared" si="8"/>
        <v>环境状况</v>
      </c>
      <c r="R23" s="1507" t="s">
        <v>8</v>
      </c>
      <c r="S23" s="1508">
        <f>F23</f>
        <v>100</v>
      </c>
      <c r="T23" s="1507" t="s">
        <v>8</v>
      </c>
      <c r="U23" s="1508">
        <f>H23</f>
        <v>100</v>
      </c>
      <c r="V23" s="1507" t="s">
        <v>8</v>
      </c>
      <c r="W23" s="1508">
        <f>J23</f>
        <v>100</v>
      </c>
      <c r="X23" s="1501"/>
      <c r="Y23" s="3665"/>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665"/>
      <c r="Q24" s="1506"/>
      <c r="R24" s="1507"/>
      <c r="S24" s="1508"/>
      <c r="T24" s="1507"/>
      <c r="U24" s="1508"/>
      <c r="V24" s="1507"/>
      <c r="W24" s="1508"/>
      <c r="X24" s="1501"/>
      <c r="Y24" s="3665"/>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665"/>
      <c r="Q25" s="1133" t="str">
        <f t="shared" si="8"/>
        <v>公共配套设施</v>
      </c>
      <c r="R25" s="1502" t="s">
        <v>8</v>
      </c>
      <c r="S25" s="1503">
        <f>F25</f>
        <v>100</v>
      </c>
      <c r="T25" s="1502" t="s">
        <v>8</v>
      </c>
      <c r="U25" s="1503">
        <f>H25</f>
        <v>100</v>
      </c>
      <c r="V25" s="1502" t="s">
        <v>8</v>
      </c>
      <c r="W25" s="1503">
        <f>J25</f>
        <v>100</v>
      </c>
      <c r="X25" s="1504"/>
      <c r="Y25" s="3665"/>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665"/>
      <c r="Q26" s="1133"/>
      <c r="R26" s="1502"/>
      <c r="S26" s="1503"/>
      <c r="T26" s="1502"/>
      <c r="U26" s="1503"/>
      <c r="V26" s="1502"/>
      <c r="W26" s="1503"/>
      <c r="X26" s="1504"/>
      <c r="Y26" s="3665"/>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665"/>
      <c r="Q27" s="2428" t="str">
        <f t="shared" ref="Q27" si="9">B27</f>
        <v>基础设施水平</v>
      </c>
      <c r="R27" s="1502" t="s">
        <v>8</v>
      </c>
      <c r="S27" s="1503">
        <f>F27</f>
        <v>100</v>
      </c>
      <c r="T27" s="1502" t="s">
        <v>8</v>
      </c>
      <c r="U27" s="1503">
        <f>H27</f>
        <v>100</v>
      </c>
      <c r="V27" s="1502" t="s">
        <v>8</v>
      </c>
      <c r="W27" s="1503">
        <f>J27</f>
        <v>100</v>
      </c>
      <c r="X27" s="1504"/>
      <c r="Y27" s="3665"/>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665"/>
      <c r="Q28" s="2428"/>
      <c r="R28" s="1502"/>
      <c r="S28" s="1503"/>
      <c r="T28" s="1502"/>
      <c r="U28" s="1503"/>
      <c r="V28" s="1502"/>
      <c r="W28" s="1503"/>
      <c r="X28" s="1504"/>
      <c r="Y28" s="3665"/>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665"/>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665"/>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665"/>
      <c r="Q30" s="1506" t="str">
        <f t="shared" si="8"/>
        <v>毗邻道路的类型与等级</v>
      </c>
      <c r="R30" s="1507" t="s">
        <v>8</v>
      </c>
      <c r="S30" s="1508">
        <f t="shared" si="10"/>
        <v>100</v>
      </c>
      <c r="T30" s="1507" t="s">
        <v>8</v>
      </c>
      <c r="U30" s="1508">
        <f t="shared" si="11"/>
        <v>100</v>
      </c>
      <c r="V30" s="1507" t="s">
        <v>8</v>
      </c>
      <c r="W30" s="1508">
        <f t="shared" si="12"/>
        <v>100</v>
      </c>
      <c r="X30" s="1501"/>
      <c r="Y30" s="3665"/>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665"/>
      <c r="Q31" s="1506"/>
      <c r="R31" s="1507"/>
      <c r="S31" s="1508"/>
      <c r="T31" s="1507"/>
      <c r="U31" s="1508"/>
      <c r="V31" s="1507"/>
      <c r="W31" s="1508"/>
      <c r="X31" s="1501"/>
      <c r="Y31" s="3665"/>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665"/>
      <c r="Q32" s="1506" t="str">
        <f t="shared" si="8"/>
        <v>土地级别</v>
      </c>
      <c r="R32" s="1507" t="s">
        <v>8</v>
      </c>
      <c r="S32" s="1508">
        <f t="shared" si="10"/>
        <v>100</v>
      </c>
      <c r="T32" s="1507" t="s">
        <v>8</v>
      </c>
      <c r="U32" s="1508">
        <f t="shared" si="11"/>
        <v>100</v>
      </c>
      <c r="V32" s="1507" t="s">
        <v>8</v>
      </c>
      <c r="W32" s="1508">
        <f t="shared" si="12"/>
        <v>100</v>
      </c>
      <c r="X32" s="1501"/>
      <c r="Y32" s="3665"/>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665"/>
      <c r="Q33" s="1506">
        <f t="shared" si="8"/>
        <v>111</v>
      </c>
      <c r="R33" s="1507" t="s">
        <v>8</v>
      </c>
      <c r="S33" s="1508">
        <f t="shared" si="10"/>
        <v>100</v>
      </c>
      <c r="T33" s="1507" t="s">
        <v>8</v>
      </c>
      <c r="U33" s="1508">
        <f t="shared" si="11"/>
        <v>100</v>
      </c>
      <c r="V33" s="1507" t="s">
        <v>8</v>
      </c>
      <c r="W33" s="1508">
        <f t="shared" si="12"/>
        <v>100</v>
      </c>
      <c r="X33" s="1501"/>
      <c r="Y33" s="3665"/>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666" t="s">
        <v>544</v>
      </c>
      <c r="Q34" s="1506">
        <f t="shared" si="8"/>
        <v>111</v>
      </c>
      <c r="R34" s="1507" t="s">
        <v>8</v>
      </c>
      <c r="S34" s="1508">
        <f t="shared" si="10"/>
        <v>100</v>
      </c>
      <c r="T34" s="1507" t="s">
        <v>8</v>
      </c>
      <c r="U34" s="1508">
        <f t="shared" si="11"/>
        <v>100</v>
      </c>
      <c r="V34" s="1507" t="s">
        <v>8</v>
      </c>
      <c r="W34" s="1508">
        <f t="shared" si="12"/>
        <v>100</v>
      </c>
      <c r="X34" s="1501"/>
      <c r="Y34" s="3667"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667"/>
      <c r="Q35" s="1506">
        <f t="shared" si="8"/>
        <v>111</v>
      </c>
      <c r="R35" s="1511" t="s">
        <v>8</v>
      </c>
      <c r="S35" s="1512">
        <f t="shared" si="10"/>
        <v>100</v>
      </c>
      <c r="T35" s="1511" t="s">
        <v>8</v>
      </c>
      <c r="U35" s="1512">
        <f t="shared" si="11"/>
        <v>100</v>
      </c>
      <c r="V35" s="1511" t="s">
        <v>8</v>
      </c>
      <c r="W35" s="1512">
        <f t="shared" si="12"/>
        <v>100</v>
      </c>
      <c r="X35" s="1513"/>
      <c r="Y35" s="3667"/>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667"/>
      <c r="Q36" s="1506" t="str">
        <f>B36</f>
        <v>宗地面积</v>
      </c>
      <c r="R36" s="1507" t="s">
        <v>8</v>
      </c>
      <c r="S36" s="1508" t="e">
        <f t="shared" si="10"/>
        <v>#N/A</v>
      </c>
      <c r="T36" s="1507" t="s">
        <v>8</v>
      </c>
      <c r="U36" s="1508" t="e">
        <f t="shared" si="11"/>
        <v>#N/A</v>
      </c>
      <c r="V36" s="1507" t="s">
        <v>8</v>
      </c>
      <c r="W36" s="1508" t="e">
        <f t="shared" si="12"/>
        <v>#N/A</v>
      </c>
      <c r="X36" s="1501"/>
      <c r="Y36" s="3667"/>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667"/>
      <c r="Q37" s="1506" t="str">
        <f t="shared" ref="Q37:Q42" si="14">B37</f>
        <v>宗地形状</v>
      </c>
      <c r="R37" s="1507" t="s">
        <v>8</v>
      </c>
      <c r="S37" s="1508">
        <f t="shared" si="10"/>
        <v>100</v>
      </c>
      <c r="T37" s="1507" t="s">
        <v>8</v>
      </c>
      <c r="U37" s="1508">
        <f t="shared" si="11"/>
        <v>100</v>
      </c>
      <c r="V37" s="1507" t="s">
        <v>8</v>
      </c>
      <c r="W37" s="1508">
        <f t="shared" si="12"/>
        <v>100</v>
      </c>
      <c r="X37" s="1501"/>
      <c r="Y37" s="3667"/>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667"/>
      <c r="Q38" s="1506" t="str">
        <f t="shared" si="14"/>
        <v>宗地开发程度</v>
      </c>
      <c r="R38" s="1502" t="s">
        <v>8</v>
      </c>
      <c r="S38" s="1503">
        <f t="shared" si="10"/>
        <v>100</v>
      </c>
      <c r="T38" s="1502" t="s">
        <v>8</v>
      </c>
      <c r="U38" s="1503">
        <f t="shared" si="11"/>
        <v>100</v>
      </c>
      <c r="V38" s="1502" t="s">
        <v>8</v>
      </c>
      <c r="W38" s="1503">
        <f t="shared" si="12"/>
        <v>100</v>
      </c>
      <c r="X38" s="1504"/>
      <c r="Y38" s="3667"/>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67" t="s">
        <v>595</v>
      </c>
      <c r="Q39" s="1506" t="str">
        <f t="shared" si="14"/>
        <v>工程地质条件</v>
      </c>
      <c r="R39" s="1507" t="s">
        <v>8</v>
      </c>
      <c r="S39" s="1508">
        <f t="shared" si="10"/>
        <v>100</v>
      </c>
      <c r="T39" s="1507" t="s">
        <v>8</v>
      </c>
      <c r="U39" s="1508">
        <f t="shared" si="11"/>
        <v>100</v>
      </c>
      <c r="V39" s="1507" t="s">
        <v>8</v>
      </c>
      <c r="W39" s="1508">
        <f t="shared" si="12"/>
        <v>100</v>
      </c>
      <c r="X39" s="1501"/>
      <c r="Y39" s="3667"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667"/>
      <c r="Q40" s="1506">
        <f t="shared" si="14"/>
        <v>111</v>
      </c>
      <c r="R40" s="1507" t="s">
        <v>8</v>
      </c>
      <c r="S40" s="1508">
        <f t="shared" si="10"/>
        <v>100</v>
      </c>
      <c r="T40" s="1507" t="s">
        <v>8</v>
      </c>
      <c r="U40" s="1508">
        <f t="shared" si="11"/>
        <v>100</v>
      </c>
      <c r="V40" s="1507" t="s">
        <v>8</v>
      </c>
      <c r="W40" s="1508">
        <f t="shared" si="12"/>
        <v>100</v>
      </c>
      <c r="X40" s="1501"/>
      <c r="Y40" s="3667"/>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667"/>
      <c r="Q41" s="1506">
        <f t="shared" si="14"/>
        <v>111</v>
      </c>
      <c r="R41" s="1507" t="s">
        <v>8</v>
      </c>
      <c r="S41" s="1508">
        <f t="shared" si="10"/>
        <v>100</v>
      </c>
      <c r="T41" s="1507" t="s">
        <v>8</v>
      </c>
      <c r="U41" s="1508">
        <f t="shared" si="11"/>
        <v>100</v>
      </c>
      <c r="V41" s="1507" t="s">
        <v>8</v>
      </c>
      <c r="W41" s="1508">
        <f t="shared" si="12"/>
        <v>100</v>
      </c>
      <c r="X41" s="1501"/>
      <c r="Y41" s="3667"/>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667"/>
      <c r="Q42" s="1506">
        <f t="shared" si="14"/>
        <v>111</v>
      </c>
      <c r="R42" s="1511" t="s">
        <v>8</v>
      </c>
      <c r="S42" s="1512">
        <f t="shared" si="10"/>
        <v>100</v>
      </c>
      <c r="T42" s="1511" t="s">
        <v>8</v>
      </c>
      <c r="U42" s="1512">
        <f t="shared" si="11"/>
        <v>100</v>
      </c>
      <c r="V42" s="1511" t="s">
        <v>8</v>
      </c>
      <c r="W42" s="1512">
        <f t="shared" si="12"/>
        <v>100</v>
      </c>
      <c r="X42" s="1513"/>
      <c r="Y42" s="3667"/>
      <c r="Z42" s="1514">
        <f t="shared" si="13"/>
        <v>111</v>
      </c>
      <c r="AA42" s="1510">
        <f t="shared" si="3"/>
        <v>1</v>
      </c>
      <c r="AB42" s="1510">
        <f t="shared" si="4"/>
        <v>1</v>
      </c>
      <c r="AC42" s="1510">
        <f t="shared" si="5"/>
        <v>1</v>
      </c>
    </row>
    <row r="43" spans="1:29" ht="15">
      <c r="A43" s="601" t="s">
        <v>550</v>
      </c>
      <c r="B43" s="602" t="s">
        <v>2894</v>
      </c>
      <c r="C43" s="603" t="s">
        <v>1</v>
      </c>
      <c r="D43" s="604"/>
      <c r="E43" s="605"/>
      <c r="F43" s="606"/>
      <c r="G43" s="607"/>
      <c r="H43" s="608"/>
      <c r="I43" s="605"/>
      <c r="J43" s="608"/>
      <c r="K43" s="1293"/>
      <c r="L43" s="2026"/>
      <c r="M43" s="2016"/>
      <c r="N43" s="2016"/>
      <c r="O43" s="2027"/>
      <c r="P43" s="3630" t="str">
        <f>A43</f>
        <v>成交单价</v>
      </c>
      <c r="Q43" s="3630"/>
      <c r="R43" s="3631">
        <f>E43</f>
        <v>0</v>
      </c>
      <c r="S43" s="3631"/>
      <c r="T43" s="3631">
        <f>G43</f>
        <v>0</v>
      </c>
      <c r="U43" s="3631"/>
      <c r="V43" s="3631">
        <f>I43</f>
        <v>0</v>
      </c>
      <c r="W43" s="3631"/>
      <c r="X43" s="1496"/>
      <c r="Y43" s="1515"/>
      <c r="Z43" s="1496"/>
      <c r="AA43" s="1496"/>
      <c r="AB43" s="1496"/>
      <c r="AC43" s="1496"/>
    </row>
    <row r="44" spans="1:29" ht="15.75" thickBot="1">
      <c r="A44" s="609" t="s">
        <v>2673</v>
      </c>
      <c r="B44" s="610"/>
      <c r="C44" s="611" t="e">
        <f>R45</f>
        <v>#DIV/0!</v>
      </c>
      <c r="D44" s="3013" t="s">
        <v>2963</v>
      </c>
      <c r="E44" s="611" t="e">
        <f>R44</f>
        <v>#DIV/0!</v>
      </c>
      <c r="F44" s="3014"/>
      <c r="G44" s="612" t="e">
        <f>T44</f>
        <v>#DIV/0!</v>
      </c>
      <c r="H44" s="3014"/>
      <c r="I44" s="611" t="e">
        <f>V44</f>
        <v>#DIV/0!</v>
      </c>
      <c r="J44" s="3014"/>
      <c r="K44" s="3015">
        <f>F44+H44+J44</f>
        <v>0</v>
      </c>
      <c r="L44" s="2026"/>
      <c r="M44" s="2016"/>
      <c r="N44" s="2016"/>
      <c r="O44" s="2027"/>
      <c r="P44" s="3630" t="str">
        <f>A44</f>
        <v>比较价格（元/平方米）</v>
      </c>
      <c r="Q44" s="3630"/>
      <c r="R44" s="3632" t="e">
        <f>ROUND(PRODUCT(R43,AA9:AA42),0)</f>
        <v>#DIV/0!</v>
      </c>
      <c r="S44" s="3632"/>
      <c r="T44" s="3632" t="e">
        <f>ROUND(PRODUCT(T43,AB9:AB42),0)</f>
        <v>#DIV/0!</v>
      </c>
      <c r="U44" s="3632"/>
      <c r="V44" s="3632" t="e">
        <f>ROUND(PRODUCT(V43,AC9:AC42),0)</f>
        <v>#DIV/0!</v>
      </c>
      <c r="W44" s="3632"/>
      <c r="X44" s="1496"/>
      <c r="Y44" s="1496"/>
      <c r="Z44" s="1496"/>
      <c r="AA44" s="1496"/>
      <c r="AB44" s="1496"/>
      <c r="AC44" s="1496"/>
    </row>
    <row r="45" spans="1:29" ht="15.75" thickBot="1">
      <c r="A45" s="613" t="s">
        <v>2895</v>
      </c>
      <c r="B45" s="614"/>
      <c r="C45" s="615" t="e">
        <f>R45</f>
        <v>#DIV/0!</v>
      </c>
      <c r="D45" s="615"/>
      <c r="E45" s="615"/>
      <c r="F45" s="615"/>
      <c r="G45" s="615"/>
      <c r="H45" s="615"/>
      <c r="I45" s="615"/>
      <c r="J45" s="615"/>
      <c r="K45" s="1294"/>
      <c r="L45" s="2026"/>
      <c r="M45" s="2016"/>
      <c r="N45" s="2016"/>
      <c r="O45" s="2027"/>
      <c r="P45" s="3627" t="str">
        <f>A45</f>
        <v>估价对象XX用房的比较价格（楼面单价，元/平方米）</v>
      </c>
      <c r="Q45" s="3628"/>
      <c r="R45" s="3679" t="e">
        <f>ROUND(IF(D44="简单平均",AVERAGE(R44:W44),R44*F44+T44*H44+V44*J44),0)</f>
        <v>#DIV/0!</v>
      </c>
      <c r="S45" s="3679"/>
      <c r="T45" s="3679"/>
      <c r="U45" s="3679"/>
      <c r="V45" s="3679"/>
      <c r="W45" s="3679"/>
      <c r="X45" s="1496"/>
      <c r="Y45" s="1496"/>
      <c r="Z45" s="1496"/>
      <c r="AA45" s="1496"/>
      <c r="AB45" s="1496"/>
      <c r="AC45" s="1496"/>
    </row>
    <row r="46" spans="1:29">
      <c r="A46" s="3212"/>
      <c r="B46" s="3212"/>
      <c r="C46" s="3212"/>
      <c r="D46" s="3212"/>
      <c r="E46" s="3212"/>
      <c r="F46" s="3212"/>
      <c r="G46" s="3214"/>
      <c r="H46" s="3212"/>
      <c r="I46" s="3212"/>
      <c r="J46" s="3212"/>
      <c r="K46" s="3215"/>
      <c r="L46" s="2031"/>
      <c r="M46" s="2016"/>
      <c r="N46" s="2016"/>
      <c r="O46" s="2027"/>
      <c r="P46" s="2027"/>
      <c r="Q46" s="2027"/>
      <c r="R46" s="2027"/>
      <c r="S46" s="2027"/>
      <c r="T46" s="2027"/>
      <c r="U46" s="2027"/>
      <c r="V46" s="2027"/>
      <c r="W46" s="2027"/>
      <c r="X46" s="2027"/>
      <c r="Y46" s="2027"/>
      <c r="Z46" s="2027"/>
      <c r="AA46" s="2027"/>
      <c r="AB46" s="2027"/>
      <c r="AC46" s="2027"/>
    </row>
    <row r="47" spans="1:29">
      <c r="A47" s="3212"/>
      <c r="B47" s="3212"/>
      <c r="C47" s="3212"/>
      <c r="D47" s="3212"/>
      <c r="E47" s="3212"/>
      <c r="F47" s="3212"/>
      <c r="G47" s="3212"/>
      <c r="H47" s="3212"/>
      <c r="I47" s="3212"/>
      <c r="J47" s="3212"/>
      <c r="K47" s="3215"/>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3"/>
      <c r="B51" s="3224"/>
      <c r="C51" s="2032"/>
      <c r="D51" s="2028"/>
      <c r="E51" s="2028"/>
      <c r="F51" s="2028"/>
      <c r="G51" s="2028"/>
      <c r="H51" s="2028"/>
      <c r="I51" s="2028"/>
      <c r="J51" s="2028"/>
      <c r="K51" s="3216"/>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674" t="s">
        <v>2271</v>
      </c>
      <c r="H52" s="3675"/>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161781.29999999999</v>
      </c>
      <c r="F53" s="1864" t="e">
        <f t="shared" ref="F53:F62" si="15">ROUND(B53*E53/10000,0)</f>
        <v>#DIV/0!</v>
      </c>
      <c r="G53" s="3676"/>
      <c r="H53" s="3677"/>
      <c r="I53" s="1867">
        <v>1</v>
      </c>
      <c r="J53" s="1494">
        <v>1</v>
      </c>
      <c r="K53" s="3217"/>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678" t="s">
        <v>2272</v>
      </c>
      <c r="H54" s="1868">
        <f>项目基本情况!B43</f>
        <v>0</v>
      </c>
      <c r="I54" s="1867">
        <f>SUMIF(修正!$A$45:$A$56,H54,修正!B45:B56)</f>
        <v>0</v>
      </c>
      <c r="J54" s="1495"/>
      <c r="K54" s="3217"/>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678"/>
      <c r="H55" s="1869">
        <f>项目基本情况!B43</f>
        <v>0</v>
      </c>
      <c r="I55" s="1867">
        <f>SUMIF(修正!$A$45:$A$56,H55,修正!C45:C56)</f>
        <v>0</v>
      </c>
      <c r="J55" s="1495"/>
      <c r="K55" s="3217"/>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678"/>
      <c r="H56" s="1869">
        <f>项目基本情况!B43</f>
        <v>0</v>
      </c>
      <c r="I56" s="1867">
        <f>SUMIF(修正!$A$45:$A$56,H56,修正!D45:D56)</f>
        <v>0</v>
      </c>
      <c r="J56" s="1495"/>
      <c r="K56" s="3217"/>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678"/>
      <c r="H57" s="1869">
        <f>项目基本情况!B43</f>
        <v>0</v>
      </c>
      <c r="I57" s="1867">
        <f>SUMIF(修正!$A$45:$A$56,H57,修正!E45:E56)</f>
        <v>0</v>
      </c>
      <c r="J57" s="1495"/>
      <c r="K57" s="3217"/>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7"/>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56623.46</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64712.52</v>
      </c>
      <c r="F63" s="636" t="e">
        <f>IF(B43="楼面地价",SUM(F53:F62),ROUND(C45*E63/10000,0))</f>
        <v>#DIV/0!</v>
      </c>
      <c r="G63" s="2037"/>
      <c r="H63" s="2037"/>
      <c r="I63" s="2037"/>
      <c r="J63" s="2037"/>
      <c r="K63" s="3225"/>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2020-11-1</v>
      </c>
      <c r="D65" s="2516">
        <f>EDATE(C65,-3)</f>
        <v>44044</v>
      </c>
      <c r="E65" s="2516">
        <f t="shared" ref="E65:N65" si="18">EDATE(D65,-3)</f>
        <v>43952</v>
      </c>
      <c r="F65" s="2516">
        <f t="shared" si="18"/>
        <v>43862</v>
      </c>
      <c r="G65" s="2516">
        <f t="shared" si="18"/>
        <v>43770</v>
      </c>
      <c r="H65" s="2516">
        <f t="shared" si="18"/>
        <v>43678</v>
      </c>
      <c r="I65" s="2516">
        <f t="shared" si="18"/>
        <v>43586</v>
      </c>
      <c r="J65" s="2516">
        <f t="shared" si="18"/>
        <v>43497</v>
      </c>
      <c r="K65" s="2516">
        <f t="shared" si="18"/>
        <v>43405</v>
      </c>
      <c r="L65" s="2516">
        <f t="shared" si="18"/>
        <v>43313</v>
      </c>
      <c r="M65" s="2516">
        <f t="shared" si="18"/>
        <v>43221</v>
      </c>
      <c r="N65" s="2516">
        <f t="shared" si="18"/>
        <v>43132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北京市平均增长率1.23%</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6"/>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6"/>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7"/>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8"/>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7"/>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8"/>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7"/>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9"/>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8"/>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9"/>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9"/>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9"/>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9"/>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7"/>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6"/>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6"/>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29"/>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29"/>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9"/>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7"/>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7"/>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7"/>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8"/>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7"/>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8"/>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9"/>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8"/>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7"/>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7"/>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8"/>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7"/>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29"/>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7"/>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7"/>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8"/>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7"/>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8"/>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9"/>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9"/>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0"/>
      <c r="L2" s="1799" t="s">
        <v>2227</v>
      </c>
      <c r="M2" s="1800">
        <f>SUMPRODUCT((区片价!B10:B28=I2)*(区片价!C3:F3=E2)*(区片价!C10:F28))</f>
        <v>0</v>
      </c>
      <c r="N2" s="1801">
        <f>SUMPRODUCT((因素修正幅度!B10:B28=I2)*(因素修正幅度!C3:F3=E2)*(因素修正幅度!C10:F28))</f>
        <v>0</v>
      </c>
      <c r="O2" s="3230"/>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2.5</v>
      </c>
      <c r="H3" s="1362" t="s">
        <v>919</v>
      </c>
      <c r="I3" s="1026">
        <v>8</v>
      </c>
      <c r="J3" s="1358" t="s">
        <v>920</v>
      </c>
      <c r="K3" s="3230"/>
      <c r="L3" s="1799" t="s">
        <v>2228</v>
      </c>
      <c r="M3" s="1800">
        <f>SUMPRODUCT((区片价!B29:B48=I2)*(区片价!C3:F3=E2)*(区片价!C29:F48))</f>
        <v>0</v>
      </c>
      <c r="N3" s="1801">
        <f>SUMPRODUCT((因素修正幅度!B29:B48=I2)*(因素修正幅度!C3:F3=E2)*(因素修正幅度!C29:F48))</f>
        <v>0</v>
      </c>
      <c r="O3" s="3230"/>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1"/>
      <c r="L4" s="1799" t="s">
        <v>2229</v>
      </c>
      <c r="M4" s="1800">
        <f>SUMPRODUCT((区片价!B49:B75=I2)*(区片价!C3:F3=E2)*(区片价!C49:F75))</f>
        <v>0</v>
      </c>
      <c r="N4" s="1801">
        <f>SUMPRODUCT((因素修正幅度!B49:B75=I2)*(因素修正幅度!C3:F3=E2)*(因素修正幅度!C49:F75))</f>
        <v>0</v>
      </c>
      <c r="O4" s="3231"/>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2"/>
      <c r="L5" s="1799" t="s">
        <v>2230</v>
      </c>
      <c r="M5" s="1800">
        <f>SUMPRODUCT((区片价!B76:B109=I2)*(区片价!C3:F3=E2)*(区片价!C76:F109))</f>
        <v>0</v>
      </c>
      <c r="N5" s="1801">
        <f>SUMPRODUCT((因素修正幅度!B76:B109=I2)*(因素修正幅度!C3:F3=E2)*(因素修正幅度!C76:F109))</f>
        <v>0</v>
      </c>
      <c r="O5" s="3232"/>
      <c r="P5" s="3235"/>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3"/>
      <c r="L6" s="1799" t="s">
        <v>2231</v>
      </c>
      <c r="M6" s="1800">
        <f>SUMPRODUCT((区片价!B110:B157=I2)*(区片价!C3:F3=E2)*(区片价!C110:F157))</f>
        <v>0</v>
      </c>
      <c r="N6" s="1801">
        <f>SUMPRODUCT((因素修正幅度!B110:B157=I2)*(因素修正幅度!C3:F3=E2)*(因素修正幅度!C110:F157))</f>
        <v>0</v>
      </c>
      <c r="O6" s="3233"/>
      <c r="P6" s="3236"/>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694" t="str">
        <f>IF(E2="商业",IF(C8="不临58条商业街","",2),"")</f>
        <v/>
      </c>
      <c r="B7" s="1375" t="s">
        <v>922</v>
      </c>
      <c r="C7" s="1029" t="e">
        <f>IF(C8="不临58条商业街",1,ROUND(1+(1.6*E8+1.2*E9+0.8*E10+0.4*E11)*C9,4))</f>
        <v>#DIV/0!</v>
      </c>
      <c r="D7" s="1376" t="s">
        <v>923</v>
      </c>
      <c r="E7" s="1030"/>
      <c r="F7" s="1377"/>
      <c r="G7" s="1378"/>
      <c r="H7" s="1378"/>
      <c r="I7" s="1378"/>
      <c r="J7" s="1379"/>
      <c r="K7" s="3233"/>
      <c r="L7" s="1799" t="s">
        <v>2232</v>
      </c>
      <c r="M7" s="1800">
        <f>SUMPRODUCT((区片价!B158:B205=I2)*(区片价!C3:F3=E2)*(区片价!C158:F205))</f>
        <v>0</v>
      </c>
      <c r="N7" s="1801">
        <f>SUMPRODUCT((因素修正幅度!B158:B205=I2)*(因素修正幅度!C3:F3=E2)*(因素修正幅度!C158:F205))</f>
        <v>0</v>
      </c>
      <c r="O7" s="3233"/>
      <c r="P7" s="3236"/>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2744</v>
      </c>
      <c r="X7" s="2644">
        <f>G2</f>
        <v>0</v>
      </c>
      <c r="Y7" s="2644" t="s">
        <v>2745</v>
      </c>
      <c r="Z7" s="2645">
        <f>G3</f>
        <v>2.5</v>
      </c>
      <c r="AA7" s="2073"/>
      <c r="AB7" s="2073"/>
      <c r="AC7" s="2074"/>
      <c r="AD7" s="2646"/>
      <c r="AE7" s="2646"/>
      <c r="AF7" s="2646"/>
      <c r="AG7" s="2646"/>
      <c r="AH7" s="2646"/>
      <c r="AI7" s="2646"/>
      <c r="AJ7" s="2647"/>
    </row>
    <row r="8" spans="1:39" ht="15">
      <c r="A8" s="3695"/>
      <c r="B8" s="1362" t="s">
        <v>924</v>
      </c>
      <c r="C8" s="1468"/>
      <c r="D8" s="1031" t="s">
        <v>925</v>
      </c>
      <c r="E8" s="1032" t="e">
        <f>ROUND(C11/E7,4)</f>
        <v>#DIV/0!</v>
      </c>
      <c r="F8" s="1380" t="s">
        <v>926</v>
      </c>
      <c r="G8" s="1381"/>
      <c r="H8" s="1381"/>
      <c r="I8" s="1381"/>
      <c r="J8" s="1382"/>
      <c r="K8" s="3233"/>
      <c r="L8" s="1799" t="s">
        <v>2233</v>
      </c>
      <c r="M8" s="1800">
        <f>SUMPRODUCT((区片价!B206:B244=I2)*(区片价!C3:F3=E2)*(区片价!C206:F244))</f>
        <v>0</v>
      </c>
      <c r="N8" s="1801">
        <f>SUMPRODUCT((因素修正幅度!B206:B244=I2)*(因素修正幅度!C3:F3=E2)*(因素修正幅度!C206:F244))</f>
        <v>0</v>
      </c>
      <c r="O8" s="3233"/>
      <c r="P8" s="2070"/>
      <c r="Q8" s="2070"/>
      <c r="R8" s="2654">
        <v>7</v>
      </c>
      <c r="S8" s="2643"/>
      <c r="T8" s="2654" t="e">
        <f t="shared" si="0"/>
        <v>#DIV/0!</v>
      </c>
      <c r="U8" s="2643"/>
      <c r="V8" s="2654" t="e">
        <f t="shared" si="1"/>
        <v>#DIV/0!</v>
      </c>
      <c r="W8" s="3681" t="s">
        <v>2762</v>
      </c>
      <c r="X8" s="3682"/>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695"/>
      <c r="B9" s="1362" t="s">
        <v>927</v>
      </c>
      <c r="C9" s="1033">
        <f>SUMIF(修正!C59:C119,C8,修正!E59:E119)</f>
        <v>0</v>
      </c>
      <c r="D9" s="1034" t="s">
        <v>928</v>
      </c>
      <c r="E9" s="1034" t="e">
        <f>ROUND(C11/E7,4)</f>
        <v>#DIV/0!</v>
      </c>
      <c r="F9" s="1380" t="s">
        <v>929</v>
      </c>
      <c r="G9" s="1381"/>
      <c r="H9" s="1381"/>
      <c r="I9" s="1381"/>
      <c r="J9" s="1382"/>
      <c r="K9" s="3233"/>
      <c r="L9" s="1799" t="s">
        <v>2234</v>
      </c>
      <c r="M9" s="1800">
        <f>SUMPRODUCT((区片价!B245:B289=I2)*(区片价!C3:F3=E2)*(区片价!C245:F289))</f>
        <v>0</v>
      </c>
      <c r="N9" s="1801">
        <f>SUMPRODUCT((因素修正幅度!B245:B289=I2)*(因素修正幅度!C3:F3=E2)*(因素修正幅度!C245:F289))</f>
        <v>0</v>
      </c>
      <c r="O9" s="3233"/>
      <c r="P9" s="2070"/>
      <c r="Q9" s="2070"/>
      <c r="R9" s="2654">
        <v>8</v>
      </c>
      <c r="S9" s="2643"/>
      <c r="T9" s="2654" t="e">
        <f t="shared" si="0"/>
        <v>#DIV/0!</v>
      </c>
      <c r="U9" s="2643"/>
      <c r="V9" s="2654" t="e">
        <f t="shared" si="1"/>
        <v>#DIV/0!</v>
      </c>
      <c r="W9" s="3680" t="s">
        <v>2758</v>
      </c>
      <c r="X9" s="2648" t="s">
        <v>2759</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95"/>
      <c r="B10" s="1362" t="s">
        <v>930</v>
      </c>
      <c r="C10" s="1034">
        <f>SUMIF(修正!C59:C119,C8,修正!F59:F119)</f>
        <v>0</v>
      </c>
      <c r="D10" s="1034" t="s">
        <v>931</v>
      </c>
      <c r="E10" s="1034" t="e">
        <f>ROUND(C11/E7,4)</f>
        <v>#DIV/0!</v>
      </c>
      <c r="F10" s="1380" t="s">
        <v>932</v>
      </c>
      <c r="G10" s="1381"/>
      <c r="H10" s="1381"/>
      <c r="I10" s="1381"/>
      <c r="J10" s="1382"/>
      <c r="K10" s="3233"/>
      <c r="L10" s="1799" t="s">
        <v>2235</v>
      </c>
      <c r="M10" s="1800">
        <f>SUMPRODUCT((区片价!B290:B316=I2)*(区片价!C3:F3=E2)*(区片价!C290:F316))</f>
        <v>0</v>
      </c>
      <c r="N10" s="1801">
        <f>SUMPRODUCT((因素修正幅度!B290:B316=I2)*(因素修正幅度!C3:F3=E2)*(因素修正幅度!C290:F316))</f>
        <v>0</v>
      </c>
      <c r="O10" s="3233"/>
      <c r="P10" s="2070"/>
      <c r="Q10" s="2070"/>
      <c r="R10" s="2654">
        <v>9</v>
      </c>
      <c r="S10" s="2643"/>
      <c r="T10" s="2654" t="e">
        <f t="shared" si="0"/>
        <v>#DIV/0!</v>
      </c>
      <c r="U10" s="2643"/>
      <c r="V10" s="2654" t="e">
        <f t="shared" si="1"/>
        <v>#DIV/0!</v>
      </c>
      <c r="W10" s="368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95"/>
      <c r="B11" s="1383" t="s">
        <v>933</v>
      </c>
      <c r="C11" s="1035">
        <f>C10/4</f>
        <v>0</v>
      </c>
      <c r="D11" s="1035" t="s">
        <v>934</v>
      </c>
      <c r="E11" s="1035" t="e">
        <f>ROUND(C11/E7,4)</f>
        <v>#DIV/0!</v>
      </c>
      <c r="F11" s="1384" t="s">
        <v>935</v>
      </c>
      <c r="G11" s="1385"/>
      <c r="H11" s="1385"/>
      <c r="I11" s="1385"/>
      <c r="J11" s="1386"/>
      <c r="K11" s="3233"/>
      <c r="L11" s="1799" t="s">
        <v>2236</v>
      </c>
      <c r="M11" s="1800">
        <f>SUMPRODUCT((区片价!B317:B337=I2)*(区片价!C3:F3=E2)*(区片价!C317:F337))</f>
        <v>0</v>
      </c>
      <c r="N11" s="1801">
        <f>SUMPRODUCT((因素修正幅度!B317:B337=I2)*(因素修正幅度!C3:F3=E2)*(因素修正幅度!C317:F337))</f>
        <v>0</v>
      </c>
      <c r="O11" s="3233"/>
      <c r="P11" s="2070"/>
      <c r="Q11" s="2070"/>
      <c r="R11" s="2654">
        <v>10</v>
      </c>
      <c r="S11" s="2643"/>
      <c r="T11" s="2654" t="e">
        <f t="shared" si="0"/>
        <v>#DIV/0!</v>
      </c>
      <c r="U11" s="2643"/>
      <c r="V11" s="2654" t="e">
        <f t="shared" si="1"/>
        <v>#DIV/0!</v>
      </c>
      <c r="W11" s="3680" t="s">
        <v>2760</v>
      </c>
      <c r="X11" s="1034" t="s">
        <v>2745</v>
      </c>
      <c r="Y11" s="1581">
        <f>$G$3</f>
        <v>2.5</v>
      </c>
      <c r="Z11" s="1581">
        <f t="shared" ref="Z11:AJ11" si="3">$G$3</f>
        <v>2.5</v>
      </c>
      <c r="AA11" s="1581">
        <f t="shared" si="3"/>
        <v>2.5</v>
      </c>
      <c r="AB11" s="1581">
        <f t="shared" si="3"/>
        <v>2.5</v>
      </c>
      <c r="AC11" s="1581">
        <f t="shared" si="3"/>
        <v>2.5</v>
      </c>
      <c r="AD11" s="1581">
        <f t="shared" si="3"/>
        <v>2.5</v>
      </c>
      <c r="AE11" s="1581">
        <f t="shared" si="3"/>
        <v>2.5</v>
      </c>
      <c r="AF11" s="1581">
        <f t="shared" si="3"/>
        <v>2.5</v>
      </c>
      <c r="AG11" s="1581">
        <f t="shared" si="3"/>
        <v>2.5</v>
      </c>
      <c r="AH11" s="1581">
        <f t="shared" si="3"/>
        <v>2.5</v>
      </c>
      <c r="AI11" s="1581">
        <f t="shared" si="3"/>
        <v>2.5</v>
      </c>
      <c r="AJ11" s="1581">
        <f t="shared" si="3"/>
        <v>2.5</v>
      </c>
    </row>
    <row r="12" spans="1:39" ht="25.5" thickBot="1">
      <c r="A12" s="3694" t="s">
        <v>1861</v>
      </c>
      <c r="B12" s="1387" t="s">
        <v>936</v>
      </c>
      <c r="C12" s="1029">
        <f>ROUND(C15*D15*E15*F15*G15*H15*I15*J15,4)</f>
        <v>1</v>
      </c>
      <c r="D12" s="1388" t="s">
        <v>937</v>
      </c>
      <c r="E12" s="1389"/>
      <c r="F12" s="1389"/>
      <c r="G12" s="1390"/>
      <c r="H12" s="1390"/>
      <c r="I12" s="1390"/>
      <c r="J12" s="1391"/>
      <c r="K12" s="3233"/>
      <c r="L12" s="1802" t="s">
        <v>2237</v>
      </c>
      <c r="M12" s="1803">
        <f>SUMPRODUCT((区片价!B338:B344=I2)*(区片价!C3:F3=E2)*(区片价!C338:F344))</f>
        <v>0</v>
      </c>
      <c r="N12" s="1804">
        <f>SUMPRODUCT((因素修正幅度!B338:B344=I2)*(因素修正幅度!C3:F3=E2)*(因素修正幅度!C338:F344))</f>
        <v>0</v>
      </c>
      <c r="O12" s="3233"/>
      <c r="P12" s="2070"/>
      <c r="Q12" s="2070"/>
      <c r="R12" s="2654">
        <v>11</v>
      </c>
      <c r="S12" s="2643"/>
      <c r="T12" s="2654" t="e">
        <f t="shared" si="0"/>
        <v>#DIV/0!</v>
      </c>
      <c r="U12" s="2643"/>
      <c r="V12" s="2654" t="e">
        <f t="shared" si="1"/>
        <v>#DIV/0!</v>
      </c>
      <c r="W12" s="3680"/>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96"/>
      <c r="B13" s="1392" t="s">
        <v>1686</v>
      </c>
      <c r="C13" s="1393" t="s">
        <v>1687</v>
      </c>
      <c r="D13" s="1071" t="s">
        <v>1688</v>
      </c>
      <c r="E13" s="1071" t="s">
        <v>1689</v>
      </c>
      <c r="F13" s="1394" t="s">
        <v>938</v>
      </c>
      <c r="G13" s="1395" t="s">
        <v>1632</v>
      </c>
      <c r="H13" s="1396" t="s">
        <v>1632</v>
      </c>
      <c r="I13" s="1397" t="s">
        <v>1632</v>
      </c>
      <c r="J13" s="1398" t="s">
        <v>1632</v>
      </c>
      <c r="K13" s="2842"/>
      <c r="L13" s="2842"/>
      <c r="M13" s="2842"/>
      <c r="N13" s="2842"/>
      <c r="O13" s="2842"/>
      <c r="P13" s="2070"/>
      <c r="Q13" s="2070"/>
      <c r="R13" s="2654">
        <v>12</v>
      </c>
      <c r="S13" s="2643"/>
      <c r="T13" s="2654" t="e">
        <f t="shared" si="0"/>
        <v>#DIV/0!</v>
      </c>
      <c r="U13" s="2643"/>
      <c r="V13" s="2654" t="e">
        <f t="shared" si="1"/>
        <v>#DIV/0!</v>
      </c>
      <c r="W13" s="3680"/>
      <c r="X13" s="2651"/>
      <c r="Y13" s="2650">
        <f>(-0.163*(Y12^2)-0.59*Y12+7617)*(10^(-4))/Y11</f>
        <v>0.30468000000000001</v>
      </c>
      <c r="Z13" s="2650">
        <f t="shared" ref="Z13:AJ13" si="5">(-0.163*(Z12^2)-0.59*Z12+7617)*(10^(-4))/Z11</f>
        <v>0.30468000000000001</v>
      </c>
      <c r="AA13" s="2650">
        <f t="shared" si="5"/>
        <v>0.30468000000000001</v>
      </c>
      <c r="AB13" s="2650">
        <f t="shared" si="5"/>
        <v>0.30468000000000001</v>
      </c>
      <c r="AC13" s="2650">
        <f t="shared" si="5"/>
        <v>0.30468000000000001</v>
      </c>
      <c r="AD13" s="2650">
        <f t="shared" si="5"/>
        <v>0.30468000000000001</v>
      </c>
      <c r="AE13" s="2650">
        <f t="shared" si="5"/>
        <v>0.30468000000000001</v>
      </c>
      <c r="AF13" s="2650">
        <f t="shared" si="5"/>
        <v>0.30468000000000001</v>
      </c>
      <c r="AG13" s="2650">
        <f t="shared" si="5"/>
        <v>0.30468000000000001</v>
      </c>
      <c r="AH13" s="2650">
        <f t="shared" si="5"/>
        <v>0.30468000000000001</v>
      </c>
      <c r="AI13" s="2650">
        <f t="shared" si="5"/>
        <v>0.30468000000000001</v>
      </c>
      <c r="AJ13" s="2650">
        <f t="shared" si="5"/>
        <v>0.30468000000000001</v>
      </c>
    </row>
    <row r="14" spans="1:39" ht="12.75" customHeight="1">
      <c r="A14" s="3696"/>
      <c r="B14" s="1399"/>
      <c r="C14" s="1400"/>
      <c r="D14" s="1401"/>
      <c r="E14" s="1401"/>
      <c r="F14" s="1402"/>
      <c r="G14" s="1403" t="s">
        <v>939</v>
      </c>
      <c r="H14" s="1404"/>
      <c r="I14" s="1405"/>
      <c r="J14" s="1406"/>
      <c r="K14" s="3234"/>
      <c r="L14" s="3234"/>
      <c r="M14" s="3234"/>
      <c r="N14" s="3234"/>
      <c r="O14" s="3234"/>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697"/>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694" t="s">
        <v>1828</v>
      </c>
      <c r="B16" s="1375" t="s">
        <v>940</v>
      </c>
      <c r="C16" s="1038" t="e">
        <f>ROUND(IF(F17="与级别开发程度一致",0,(G17-E17)/C17),0)</f>
        <v>#DIV/0!</v>
      </c>
      <c r="D16" s="3688" t="s">
        <v>944</v>
      </c>
      <c r="E16" s="3689"/>
      <c r="F16" s="3688" t="s">
        <v>941</v>
      </c>
      <c r="G16" s="3689"/>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698"/>
      <c r="B17" s="2853" t="s">
        <v>943</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8" t="s">
        <v>945</v>
      </c>
      <c r="C18" s="2849">
        <f>SUMIF(修正!C18:C39,E3,修正!E18:E39)</f>
        <v>0</v>
      </c>
      <c r="D18" s="2850"/>
      <c r="E18" s="2851"/>
      <c r="F18" s="2834"/>
      <c r="G18" s="2833"/>
      <c r="H18" s="2833"/>
      <c r="I18" s="2833"/>
      <c r="J18" s="2841"/>
      <c r="K18" s="3232"/>
      <c r="L18" s="2833"/>
      <c r="M18" s="2833"/>
      <c r="N18" s="2833"/>
      <c r="O18" s="2833"/>
      <c r="P18" s="3237"/>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ROUND(IF(H19="按公示增长率计算",SUMPRODUCT((地价!A3:A32=YEAR(G19)&amp;"-"&amp;ROUNDUP(MONTH(G19)/3,0))*(地价!X2:AB2=E2)*(地价!X3:AB32)),IF(H19="地价指数",M20/M19,(1+I19)^O19)),4)</f>
        <v>0</v>
      </c>
      <c r="D19" s="1414" t="s">
        <v>947</v>
      </c>
      <c r="E19" s="1040">
        <v>41640</v>
      </c>
      <c r="F19" s="1414" t="s">
        <v>948</v>
      </c>
      <c r="G19" s="1041">
        <f>'数据-取费表'!B2</f>
        <v>44139</v>
      </c>
      <c r="H19" s="1415" t="s">
        <v>2947</v>
      </c>
      <c r="I19" s="2503" t="str">
        <f>IF(H19="季度增幅（自定义）",SUMIF(N21:N24,E2,O21:O24),"")</f>
        <v/>
      </c>
      <c r="J19" s="1411"/>
      <c r="K19" s="3232"/>
      <c r="L19" s="2753" t="s">
        <v>2820</v>
      </c>
      <c r="M19" s="2754">
        <f>ROUND(SUMIF(地价!B2:F2,E2,地价!B32:F32),0)</f>
        <v>0</v>
      </c>
      <c r="N19" s="2505" t="s">
        <v>1666</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3"/>
      <c r="L20" s="2755" t="s">
        <v>2821</v>
      </c>
      <c r="M20" s="2836">
        <f>ROUND(SUMPRODUCT((地价!A4:A32=YEAR(G19)&amp;"-"&amp;ROUNDUP(MONTH(G19)/3,0))*(地价!B2:F2=E2)*(地价!B4:F32)),0)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2983</v>
      </c>
      <c r="C21" s="1140" t="b">
        <f>IF(B21="容积率修正",IF(G3&lt;=10,D22,J22),C23)</f>
        <v>0</v>
      </c>
      <c r="D21" s="1421"/>
      <c r="E21" s="1421"/>
      <c r="F21" s="1421"/>
      <c r="G21" s="1421"/>
      <c r="H21" s="1421"/>
      <c r="I21" s="1421"/>
      <c r="J21" s="1422"/>
      <c r="K21" s="3232"/>
      <c r="L21" s="1421"/>
      <c r="M21" s="1421"/>
      <c r="N21" s="1418" t="s">
        <v>965</v>
      </c>
      <c r="O21" s="1481"/>
      <c r="P21" s="2495">
        <f>SUMPRODUCT((地价!A3:A32=YEAR(G19)&amp;"-"&amp;ROUNDUP(MONTH(G19)/3,0))*(地价!AD2:AH2=N21)*(地价!AD3:AH32))</f>
        <v>1.1599999999999999E-2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2.5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8"/>
      <c r="L22" s="1421"/>
      <c r="M22" s="1421"/>
      <c r="N22" s="1418" t="s">
        <v>968</v>
      </c>
      <c r="O22" s="1481"/>
      <c r="P22" s="2495">
        <f>SUMPRODUCT((地价!A3:A32=YEAR(G19)&amp;"-"&amp;ROUNDUP(MONTH(G19)/3,0))*(地价!AD2:AH2=N22)*(地价!AD3:AH32))</f>
        <v>1.1599999999999999E-2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913</v>
      </c>
      <c r="O23" s="1481"/>
      <c r="P23" s="2495">
        <f>SUMPRODUCT((地价!A3:A32=YEAR(G19)&amp;"-"&amp;ROUNDUP(MONTH(G19)/3,0))*(地价!AD2:AH2=N23)*(地价!AD3:AH32))</f>
        <v>1.9E-2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39"/>
      <c r="L24" s="1421"/>
      <c r="M24" s="1421"/>
      <c r="N24" s="1418" t="s">
        <v>971</v>
      </c>
      <c r="O24" s="2835"/>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3"/>
      <c r="L25" s="2076"/>
      <c r="M25" s="2076"/>
      <c r="N25" s="2837" t="s">
        <v>2628</v>
      </c>
      <c r="O25" s="2838"/>
      <c r="P25" s="2302">
        <f>SUMPRODUCT((地价!A3:A32=YEAR(G19)&amp;"-"&amp;ROUNDUP(MONTH(G19)/3,0))*(地价!AD2:AH2=N25)*(地价!AD3:AH32))</f>
        <v>1.7299999999999999E-2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6" t="e">
        <f>IF(B21="容积率修正",E29+SUM(E33:E39),SUM(V2:V16)+SUM(E33:E39))</f>
        <v>#DIV/0!</v>
      </c>
      <c r="D26" s="1429"/>
      <c r="E26" s="1404"/>
      <c r="F26" s="1430"/>
      <c r="G26" s="1404"/>
      <c r="H26" s="1404"/>
      <c r="I26" s="1404"/>
      <c r="J26" s="1431"/>
      <c r="K26" s="3233"/>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3"/>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3"/>
      <c r="L28" s="1409" t="s">
        <v>963</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0"/>
      <c r="L29" s="3240"/>
      <c r="M29" s="3240"/>
      <c r="N29" s="3240"/>
      <c r="O29" s="3240"/>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3"/>
      <c r="L30" s="3233"/>
      <c r="M30" s="3233"/>
      <c r="N30" s="3233"/>
      <c r="O30" s="3233"/>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3"/>
      <c r="L31" s="3233"/>
      <c r="M31" s="3233"/>
      <c r="N31" s="3233"/>
      <c r="O31" s="3233"/>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1"/>
      <c r="L32" s="3241"/>
      <c r="M32" s="3241"/>
      <c r="N32" s="3241"/>
      <c r="O32" s="3241"/>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690"/>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690" t="s">
        <v>2987</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691"/>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691"/>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691"/>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691"/>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692"/>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692"/>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2941</v>
      </c>
      <c r="C41" s="828" t="e">
        <f>ROUND(POWER(1+E41,H41-G41)*(POWER(1+E41,G41)-1)/(POWER(1+E41,H41)-1),4)</f>
        <v>#DIV/0!</v>
      </c>
      <c r="D41" s="372" t="s">
        <v>2939</v>
      </c>
      <c r="E41" s="2831">
        <f>G20</f>
        <v>0</v>
      </c>
      <c r="F41" s="372" t="s">
        <v>2940</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1011</v>
      </c>
      <c r="B48" s="2263" t="str">
        <f>估价对象房地状况!C18</f>
        <v>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2897</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2896</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一般</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1011</v>
      </c>
      <c r="B59" s="2263" t="str">
        <f>估价对象房地状况!C18</f>
        <v>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2898</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2896</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一般</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1022</v>
      </c>
      <c r="B69" s="2266" t="str">
        <f>估价对象房地状况!C15</f>
        <v>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1023</v>
      </c>
      <c r="B70" s="2263" t="str">
        <f>估价对象房地状况!C18</f>
        <v>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一般</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2896</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2896</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699" t="s">
        <v>1623</v>
      </c>
      <c r="B90" s="3699"/>
      <c r="C90" s="3699"/>
      <c r="D90" s="3699"/>
      <c r="E90" s="3699"/>
      <c r="F90" s="3699"/>
      <c r="G90" s="3699"/>
      <c r="H90" s="3699"/>
      <c r="I90" s="3699"/>
      <c r="J90" s="3699"/>
      <c r="K90" s="2305"/>
      <c r="L90" s="2305"/>
      <c r="M90" s="2305"/>
      <c r="N90" s="2305"/>
    </row>
    <row r="91" spans="1:40">
      <c r="A91" s="3700" t="s">
        <v>1433</v>
      </c>
      <c r="B91" s="3700" t="s">
        <v>1624</v>
      </c>
      <c r="C91" s="1122" t="s">
        <v>1625</v>
      </c>
      <c r="D91" s="1123"/>
      <c r="E91" s="1123"/>
      <c r="F91" s="1123"/>
      <c r="G91" s="1123"/>
      <c r="H91" s="1123"/>
      <c r="I91" s="1123"/>
      <c r="J91" s="1124"/>
      <c r="K91" s="1116"/>
      <c r="L91" s="1116"/>
      <c r="M91" s="1116"/>
      <c r="N91" s="1116"/>
    </row>
    <row r="92" spans="1:40">
      <c r="A92" s="3700"/>
      <c r="B92" s="3700"/>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683"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68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68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68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68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68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684"/>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685"/>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683" t="s">
        <v>1627</v>
      </c>
      <c r="B101" s="1129" t="s">
        <v>896</v>
      </c>
      <c r="C101" s="1130">
        <f>$G$3</f>
        <v>2.5</v>
      </c>
      <c r="D101" s="1130">
        <f t="shared" ref="D101:N101" si="31">$G$3</f>
        <v>2.5</v>
      </c>
      <c r="E101" s="1130">
        <f t="shared" si="31"/>
        <v>2.5</v>
      </c>
      <c r="F101" s="1130">
        <f t="shared" si="31"/>
        <v>2.5</v>
      </c>
      <c r="G101" s="1130">
        <f t="shared" si="31"/>
        <v>2.5</v>
      </c>
      <c r="H101" s="1130">
        <f t="shared" si="31"/>
        <v>2.5</v>
      </c>
      <c r="I101" s="1130">
        <f t="shared" si="31"/>
        <v>2.5</v>
      </c>
      <c r="J101" s="1130">
        <f t="shared" si="31"/>
        <v>2.5</v>
      </c>
      <c r="K101" s="1130">
        <f t="shared" si="31"/>
        <v>2.5</v>
      </c>
      <c r="L101" s="1130">
        <f t="shared" si="31"/>
        <v>2.5</v>
      </c>
      <c r="M101" s="1130">
        <f t="shared" si="31"/>
        <v>2.5</v>
      </c>
      <c r="N101" s="1130">
        <f t="shared" si="31"/>
        <v>2.5</v>
      </c>
    </row>
    <row r="102" spans="1:14">
      <c r="A102" s="3684"/>
      <c r="B102" s="1125">
        <v>1</v>
      </c>
      <c r="C102" s="1126">
        <f>1.9362/C101</f>
        <v>0.77447999999999995</v>
      </c>
      <c r="D102" s="1126">
        <f>1.9362/D101</f>
        <v>0.77447999999999995</v>
      </c>
      <c r="E102" s="1126">
        <f>1.8629/E101</f>
        <v>0.74516000000000004</v>
      </c>
      <c r="F102" s="1126">
        <f>1.8629/F101</f>
        <v>0.74516000000000004</v>
      </c>
      <c r="G102" s="1126">
        <f>1.8629/G101</f>
        <v>0.74516000000000004</v>
      </c>
      <c r="H102" s="1126">
        <f>1.8629/H101</f>
        <v>0.74516000000000004</v>
      </c>
      <c r="I102" s="1126">
        <f>1.8629/I101</f>
        <v>0.74516000000000004</v>
      </c>
      <c r="J102" s="1126">
        <f>1.942/J101</f>
        <v>0.77679999999999993</v>
      </c>
      <c r="K102" s="1126">
        <f>1.942/K101</f>
        <v>0.77679999999999993</v>
      </c>
      <c r="L102" s="1126">
        <f>1.942/L101</f>
        <v>0.77679999999999993</v>
      </c>
      <c r="M102" s="1126">
        <f>1.942/M101</f>
        <v>0.77679999999999993</v>
      </c>
      <c r="N102" s="1126">
        <f>1.942/N101</f>
        <v>0.77679999999999993</v>
      </c>
    </row>
    <row r="103" spans="1:14">
      <c r="A103" s="3684"/>
      <c r="B103" s="1125">
        <v>2</v>
      </c>
      <c r="C103" s="1126">
        <f>1.4198/C101</f>
        <v>0.56791999999999998</v>
      </c>
      <c r="D103" s="1126">
        <f>1.4198/D101</f>
        <v>0.56791999999999998</v>
      </c>
      <c r="E103" s="1126">
        <f>1.3372/E101</f>
        <v>0.53488000000000002</v>
      </c>
      <c r="F103" s="1126">
        <f>1.3372/F101</f>
        <v>0.53488000000000002</v>
      </c>
      <c r="G103" s="1126">
        <f>1.3372/G101</f>
        <v>0.53488000000000002</v>
      </c>
      <c r="H103" s="1126">
        <f>1.3372/H101</f>
        <v>0.53488000000000002</v>
      </c>
      <c r="I103" s="1126">
        <f>1.3372/I101</f>
        <v>0.53488000000000002</v>
      </c>
      <c r="J103" s="1126">
        <f>1.2799/J101</f>
        <v>0.51195999999999997</v>
      </c>
      <c r="K103" s="1126">
        <f>1.2799/K101</f>
        <v>0.51195999999999997</v>
      </c>
      <c r="L103" s="1126">
        <f>1.2799/L101</f>
        <v>0.51195999999999997</v>
      </c>
      <c r="M103" s="1126">
        <f>1.2799/M101</f>
        <v>0.51195999999999997</v>
      </c>
      <c r="N103" s="1126">
        <f>1.2799/N101</f>
        <v>0.51195999999999997</v>
      </c>
    </row>
    <row r="104" spans="1:14">
      <c r="A104" s="3684"/>
      <c r="B104" s="1125">
        <v>3</v>
      </c>
      <c r="C104" s="1126">
        <f>1.1594/C101</f>
        <v>0.46376000000000001</v>
      </c>
      <c r="D104" s="1126">
        <f>1.1594/D101</f>
        <v>0.46376000000000001</v>
      </c>
      <c r="E104" s="1126">
        <f>1.0788/E101</f>
        <v>0.43152000000000001</v>
      </c>
      <c r="F104" s="1126">
        <f>1.0788/F101</f>
        <v>0.43152000000000001</v>
      </c>
      <c r="G104" s="1126">
        <f>1.0788/G101</f>
        <v>0.43152000000000001</v>
      </c>
      <c r="H104" s="1126">
        <f>1.0788/H101</f>
        <v>0.43152000000000001</v>
      </c>
      <c r="I104" s="1126">
        <f>1.0788/I101</f>
        <v>0.43152000000000001</v>
      </c>
      <c r="J104" s="1126">
        <f>1.0072/J101</f>
        <v>0.40288000000000002</v>
      </c>
      <c r="K104" s="1126">
        <f>1.0072/K101</f>
        <v>0.40288000000000002</v>
      </c>
      <c r="L104" s="1126">
        <f>1.0072/L101</f>
        <v>0.40288000000000002</v>
      </c>
      <c r="M104" s="1126">
        <f>1.0072/M101</f>
        <v>0.40288000000000002</v>
      </c>
      <c r="N104" s="1126">
        <f>1.0072/N101</f>
        <v>0.40288000000000002</v>
      </c>
    </row>
    <row r="105" spans="1:14">
      <c r="A105" s="3684"/>
      <c r="B105" s="1125">
        <v>4</v>
      </c>
      <c r="C105" s="1126">
        <f>0.9622/C101</f>
        <v>0.38488</v>
      </c>
      <c r="D105" s="1126">
        <f>0.9622/D101</f>
        <v>0.38488</v>
      </c>
      <c r="E105" s="1126">
        <f>0.8656/E101</f>
        <v>0.34623999999999999</v>
      </c>
      <c r="F105" s="1126">
        <f>0.8656/F101</f>
        <v>0.34623999999999999</v>
      </c>
      <c r="G105" s="1126">
        <f>0.8656/G101</f>
        <v>0.34623999999999999</v>
      </c>
      <c r="H105" s="1126">
        <f>0.8656/H101</f>
        <v>0.34623999999999999</v>
      </c>
      <c r="I105" s="1126">
        <f>0.8656/I101</f>
        <v>0.34623999999999999</v>
      </c>
      <c r="J105" s="1126">
        <f>0.7525/J101</f>
        <v>0.30099999999999999</v>
      </c>
      <c r="K105" s="1126">
        <f>0.7525/K101</f>
        <v>0.30099999999999999</v>
      </c>
      <c r="L105" s="1126">
        <f>0.7525/L101</f>
        <v>0.30099999999999999</v>
      </c>
      <c r="M105" s="1126">
        <f>0.7525/M101</f>
        <v>0.30099999999999999</v>
      </c>
      <c r="N105" s="1126">
        <f>0.7525/N101</f>
        <v>0.30099999999999999</v>
      </c>
    </row>
    <row r="106" spans="1:14">
      <c r="A106" s="3684"/>
      <c r="B106" s="1125">
        <v>5</v>
      </c>
      <c r="C106" s="1126">
        <f>0.8417/C101</f>
        <v>0.33667999999999998</v>
      </c>
      <c r="D106" s="1126">
        <f>0.8417/D101</f>
        <v>0.33667999999999998</v>
      </c>
      <c r="E106" s="1126">
        <f>0.7371/E101</f>
        <v>0.29483999999999999</v>
      </c>
      <c r="F106" s="1126">
        <f>0.7371/F101</f>
        <v>0.29483999999999999</v>
      </c>
      <c r="G106" s="1126">
        <f>0.7371/G101</f>
        <v>0.29483999999999999</v>
      </c>
      <c r="H106" s="1126">
        <f>0.7371/H101</f>
        <v>0.29483999999999999</v>
      </c>
      <c r="I106" s="1126">
        <f>0.7371/I101</f>
        <v>0.29483999999999999</v>
      </c>
      <c r="J106" s="1126">
        <f>0.5659/J101</f>
        <v>0.22635999999999998</v>
      </c>
      <c r="K106" s="1126">
        <f>0.5659/K101</f>
        <v>0.22635999999999998</v>
      </c>
      <c r="L106" s="1126">
        <f>0.5659/L101</f>
        <v>0.22635999999999998</v>
      </c>
      <c r="M106" s="1126">
        <f>0.5659/M101</f>
        <v>0.22635999999999998</v>
      </c>
      <c r="N106" s="1126">
        <f>0.5659/N101</f>
        <v>0.22635999999999998</v>
      </c>
    </row>
    <row r="107" spans="1:14">
      <c r="A107" s="3684"/>
      <c r="B107" s="1125">
        <v>6</v>
      </c>
      <c r="C107" s="1126">
        <f>0.7608/C101</f>
        <v>0.30432000000000003</v>
      </c>
      <c r="D107" s="1126">
        <f>0.7608/D101</f>
        <v>0.30432000000000003</v>
      </c>
      <c r="E107" s="1126">
        <f>0.6482/E101</f>
        <v>0.25928000000000001</v>
      </c>
      <c r="F107" s="1126">
        <f>0.6482/F101</f>
        <v>0.25928000000000001</v>
      </c>
      <c r="G107" s="1126">
        <f>0.6482/G101</f>
        <v>0.25928000000000001</v>
      </c>
      <c r="H107" s="1126">
        <f>0.6482/H101</f>
        <v>0.25928000000000001</v>
      </c>
      <c r="I107" s="1126">
        <f>0.6482/I101</f>
        <v>0.25928000000000001</v>
      </c>
      <c r="J107" s="1126">
        <f>0.4525/J101</f>
        <v>0.18099999999999999</v>
      </c>
      <c r="K107" s="1126">
        <f>0.4525/K101</f>
        <v>0.18099999999999999</v>
      </c>
      <c r="L107" s="1126">
        <f>0.4525/L101</f>
        <v>0.18099999999999999</v>
      </c>
      <c r="M107" s="1126">
        <f>0.4525/M101</f>
        <v>0.18099999999999999</v>
      </c>
      <c r="N107" s="1126">
        <f>0.4525/N101</f>
        <v>0.18099999999999999</v>
      </c>
    </row>
    <row r="108" spans="1:14">
      <c r="A108" s="3684"/>
      <c r="B108" s="3686"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685"/>
      <c r="B109" s="3687"/>
      <c r="C109" s="1128">
        <f>(-0.163*(C108^2)-0.59*C108+7617)*(10^(-4))/C101</f>
        <v>0.30407392</v>
      </c>
      <c r="D109" s="1128">
        <f>(-0.163*(D108^2)-0.59*D108+7617)*(10^(-4))/D101</f>
        <v>0.30407392</v>
      </c>
      <c r="E109" s="1128">
        <f>(-0.161*(E108^2)-7.509*E108+6533)*(10^(-4))/E101</f>
        <v>0.25850496000000001</v>
      </c>
      <c r="F109" s="1128">
        <f>(-0.161*(F108^2)-7.509*F108+6533)*(10^(-4))/F101</f>
        <v>0.25850496000000001</v>
      </c>
      <c r="G109" s="1128">
        <f>(-0.161*(G108^2)-7.509*G108+6533)*(10^(-4))/G101</f>
        <v>0.25850496000000001</v>
      </c>
      <c r="H109" s="1128">
        <f>(-0.161*(H108^2)-7.509*H108+6533)*(10^(-4))/H101</f>
        <v>0.25850496000000001</v>
      </c>
      <c r="I109" s="1128">
        <f>(-0.161*(I108^2)-7.509*I108+6533)*(10^(-4))/I101</f>
        <v>0.25850496000000001</v>
      </c>
      <c r="J109" s="1128">
        <f>(-0.214*(J108^2)-21.991*J108+4665)*(10^(-4))/J101</f>
        <v>0.17901504000000001</v>
      </c>
      <c r="K109" s="1128">
        <f>(-0.214*(K108^2)-21.991*K108+4665)*(10^(-4))/K101</f>
        <v>0.17901504000000001</v>
      </c>
      <c r="L109" s="1128">
        <f>(-0.214*(L108^2)-21.991*L108+4665)*(10^(-4))/L101</f>
        <v>0.17901504000000001</v>
      </c>
      <c r="M109" s="1128">
        <f>(-0.214*(M108^2)-21.991*M108+4665)*(10^(-4))/M101</f>
        <v>0.17901504000000001</v>
      </c>
      <c r="N109" s="1128">
        <f>(-0.214*(N108^2)-21.991*N108+4665)*(10^(-4))/N101</f>
        <v>0.17901504000000001</v>
      </c>
    </row>
    <row r="110" spans="1:14">
      <c r="A110" s="3693" t="s">
        <v>1629</v>
      </c>
      <c r="B110" s="3693"/>
      <c r="C110" s="3693"/>
      <c r="D110" s="3693"/>
      <c r="E110" s="3693"/>
      <c r="F110" s="3693"/>
      <c r="G110" s="3693"/>
      <c r="H110" s="3693"/>
      <c r="I110" s="3693"/>
      <c r="J110" s="3693"/>
      <c r="K110" s="2303"/>
      <c r="L110" s="2303"/>
      <c r="M110" s="2303"/>
      <c r="N110" s="2303"/>
    </row>
    <row r="112" spans="1:14" ht="12.75" thickBot="1"/>
    <row r="113" spans="1:13" ht="25.5" thickBot="1">
      <c r="A113" s="1002" t="s">
        <v>886</v>
      </c>
      <c r="B113" s="2306">
        <f>G3</f>
        <v>2.5</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0.91</v>
      </c>
      <c r="C115" s="1016">
        <f>B115</f>
        <v>0.91</v>
      </c>
      <c r="D115" s="1016">
        <f>ROUND(0.8331-0.0109*B113,4)</f>
        <v>0.80589999999999995</v>
      </c>
      <c r="E115" s="1016">
        <f>D115</f>
        <v>0.80589999999999995</v>
      </c>
      <c r="F115" s="1016">
        <f>E115</f>
        <v>0.80589999999999995</v>
      </c>
      <c r="G115" s="1016">
        <f>F115</f>
        <v>0.80589999999999995</v>
      </c>
      <c r="H115" s="1016">
        <f>G115</f>
        <v>0.80589999999999995</v>
      </c>
      <c r="I115" s="1016">
        <f>ROUND(0.689-0.0155*B113,4)</f>
        <v>0.65029999999999999</v>
      </c>
      <c r="J115" s="1016">
        <f t="shared" ref="J115:M118" si="33">I115</f>
        <v>0.65029999999999999</v>
      </c>
      <c r="K115" s="1016">
        <f t="shared" si="33"/>
        <v>0.65029999999999999</v>
      </c>
      <c r="L115" s="1016">
        <f t="shared" si="33"/>
        <v>0.65029999999999999</v>
      </c>
      <c r="M115" s="1017">
        <f t="shared" si="33"/>
        <v>0.65029999999999999</v>
      </c>
    </row>
    <row r="116" spans="1:13" ht="12.75">
      <c r="A116" s="1015" t="s">
        <v>891</v>
      </c>
      <c r="B116" s="1016">
        <f>ROUND(0.949-0.012*B113,4)</f>
        <v>0.91900000000000004</v>
      </c>
      <c r="C116" s="1016">
        <f>B116</f>
        <v>0.91900000000000004</v>
      </c>
      <c r="D116" s="1016">
        <f>ROUND(0.8567-0.013*B113,4)</f>
        <v>0.82420000000000004</v>
      </c>
      <c r="E116" s="1016">
        <f t="shared" ref="E116:H117" si="34">D116</f>
        <v>0.82420000000000004</v>
      </c>
      <c r="F116" s="1016">
        <f t="shared" si="34"/>
        <v>0.82420000000000004</v>
      </c>
      <c r="G116" s="1016">
        <f t="shared" si="34"/>
        <v>0.82420000000000004</v>
      </c>
      <c r="H116" s="1016">
        <f t="shared" si="34"/>
        <v>0.82420000000000004</v>
      </c>
      <c r="I116" s="1016">
        <f>ROUND(0.7694-0.014*B113,4)</f>
        <v>0.73440000000000005</v>
      </c>
      <c r="J116" s="1016">
        <f t="shared" si="33"/>
        <v>0.73440000000000005</v>
      </c>
      <c r="K116" s="1016">
        <f t="shared" si="33"/>
        <v>0.73440000000000005</v>
      </c>
      <c r="L116" s="1016">
        <f t="shared" si="33"/>
        <v>0.73440000000000005</v>
      </c>
      <c r="M116" s="1017">
        <f t="shared" si="33"/>
        <v>0.73440000000000005</v>
      </c>
    </row>
    <row r="117" spans="1:13" ht="12.75">
      <c r="A117" s="1018" t="s">
        <v>892</v>
      </c>
      <c r="B117" s="1016">
        <f>ROUND(0.8808-0.006*B113,4)</f>
        <v>0.86580000000000001</v>
      </c>
      <c r="C117" s="1016">
        <f>B117</f>
        <v>0.86580000000000001</v>
      </c>
      <c r="D117" s="1016">
        <f>ROUND(0.8748-0.008*B113,4)</f>
        <v>0.8548</v>
      </c>
      <c r="E117" s="1016">
        <f t="shared" si="34"/>
        <v>0.8548</v>
      </c>
      <c r="F117" s="1016">
        <f t="shared" si="34"/>
        <v>0.8548</v>
      </c>
      <c r="G117" s="1016">
        <f t="shared" si="34"/>
        <v>0.8548</v>
      </c>
      <c r="H117" s="1016">
        <f t="shared" si="34"/>
        <v>0.8548</v>
      </c>
      <c r="I117" s="1016">
        <f>ROUND(0.7412-0.0095*B113,4)</f>
        <v>0.71750000000000003</v>
      </c>
      <c r="J117" s="1016">
        <f t="shared" si="33"/>
        <v>0.71750000000000003</v>
      </c>
      <c r="K117" s="1016">
        <f t="shared" si="33"/>
        <v>0.71750000000000003</v>
      </c>
      <c r="L117" s="1016">
        <f t="shared" si="33"/>
        <v>0.71750000000000003</v>
      </c>
      <c r="M117" s="1017">
        <f t="shared" si="33"/>
        <v>0.71750000000000003</v>
      </c>
    </row>
    <row r="118" spans="1:13" ht="13.5" thickBot="1">
      <c r="A118" s="1019" t="s">
        <v>893</v>
      </c>
      <c r="B118" s="1020">
        <f>ROUND(0.7275-0.01*B113,4)</f>
        <v>0.70250000000000001</v>
      </c>
      <c r="C118" s="1020">
        <f>B118</f>
        <v>0.70250000000000001</v>
      </c>
      <c r="D118" s="1020">
        <f>ROUND(0.7043-0.012*B113,4)</f>
        <v>0.67430000000000001</v>
      </c>
      <c r="E118" s="1020">
        <f>D118</f>
        <v>0.67430000000000001</v>
      </c>
      <c r="F118" s="1020">
        <f>E118</f>
        <v>0.67430000000000001</v>
      </c>
      <c r="G118" s="1020">
        <f>ROUND(0.6299-0.0122*B113,4)</f>
        <v>0.59940000000000004</v>
      </c>
      <c r="H118" s="1020">
        <f>G118</f>
        <v>0.59940000000000004</v>
      </c>
      <c r="I118" s="1020">
        <f>ROUND(0.5667-0.0136*B113,4)</f>
        <v>0.53269999999999995</v>
      </c>
      <c r="J118" s="1020">
        <f t="shared" si="33"/>
        <v>0.53269999999999995</v>
      </c>
      <c r="K118" s="1020">
        <f t="shared" si="33"/>
        <v>0.53269999999999995</v>
      </c>
      <c r="L118" s="1020">
        <f t="shared" si="33"/>
        <v>0.53269999999999995</v>
      </c>
      <c r="M118" s="1021">
        <f t="shared" si="33"/>
        <v>0.53269999999999995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2944</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700" t="s">
        <v>997</v>
      </c>
      <c r="B18" s="1136" t="s">
        <v>1436</v>
      </c>
      <c r="C18" s="1113" t="s">
        <v>1437</v>
      </c>
      <c r="D18" s="1114"/>
      <c r="E18" s="1136">
        <v>1</v>
      </c>
      <c r="F18" s="1115" t="s">
        <v>1438</v>
      </c>
      <c r="G18" s="1116"/>
      <c r="H18" s="1087"/>
      <c r="I18" s="1087"/>
    </row>
    <row r="19" spans="1:9" s="1529" customFormat="1" ht="19.5" customHeight="1">
      <c r="A19" s="3700"/>
      <c r="B19" s="3700" t="s">
        <v>1439</v>
      </c>
      <c r="C19" s="1113" t="s">
        <v>1440</v>
      </c>
      <c r="D19" s="1114"/>
      <c r="E19" s="1136">
        <v>0.9</v>
      </c>
      <c r="F19" s="1115" t="s">
        <v>1441</v>
      </c>
      <c r="G19" s="1116"/>
      <c r="H19" s="1087"/>
      <c r="I19" s="1087"/>
    </row>
    <row r="20" spans="1:9" s="1529" customFormat="1" ht="19.5" customHeight="1">
      <c r="A20" s="3700"/>
      <c r="B20" s="3700"/>
      <c r="C20" s="1113" t="s">
        <v>1442</v>
      </c>
      <c r="D20" s="1114"/>
      <c r="E20" s="1136">
        <v>1.1000000000000001</v>
      </c>
      <c r="F20" s="1115" t="s">
        <v>1443</v>
      </c>
      <c r="G20" s="1116"/>
      <c r="H20" s="1087"/>
      <c r="I20" s="1087"/>
    </row>
    <row r="21" spans="1:9" s="1529" customFormat="1" ht="19.5" customHeight="1">
      <c r="A21" s="3700"/>
      <c r="B21" s="3700"/>
      <c r="C21" s="1113" t="s">
        <v>1444</v>
      </c>
      <c r="D21" s="1114"/>
      <c r="E21" s="1136">
        <v>0.8</v>
      </c>
      <c r="F21" s="1115" t="s">
        <v>1445</v>
      </c>
      <c r="G21" s="1116"/>
      <c r="H21" s="1087"/>
      <c r="I21" s="1087"/>
    </row>
    <row r="22" spans="1:9" s="1529" customFormat="1" ht="19.5" customHeight="1">
      <c r="A22" s="3700"/>
      <c r="B22" s="3700"/>
      <c r="C22" s="1113" t="s">
        <v>1446</v>
      </c>
      <c r="D22" s="1114"/>
      <c r="E22" s="1136">
        <v>0.5</v>
      </c>
      <c r="F22" s="1115"/>
      <c r="G22" s="1116"/>
      <c r="H22" s="1087"/>
      <c r="I22" s="1087"/>
    </row>
    <row r="23" spans="1:9" s="1529" customFormat="1" ht="19.5" customHeight="1">
      <c r="A23" s="3700" t="s">
        <v>1019</v>
      </c>
      <c r="B23" s="1136" t="s">
        <v>1436</v>
      </c>
      <c r="C23" s="1113" t="s">
        <v>1447</v>
      </c>
      <c r="D23" s="1114"/>
      <c r="E23" s="1136">
        <v>1</v>
      </c>
      <c r="F23" s="1115" t="s">
        <v>1448</v>
      </c>
      <c r="G23" s="1116"/>
      <c r="H23" s="1087"/>
      <c r="I23" s="1087"/>
    </row>
    <row r="24" spans="1:9" s="1529" customFormat="1" ht="19.5" customHeight="1">
      <c r="A24" s="3700"/>
      <c r="B24" s="3700" t="s">
        <v>1439</v>
      </c>
      <c r="C24" s="1113" t="s">
        <v>1449</v>
      </c>
      <c r="D24" s="1114"/>
      <c r="E24" s="1136">
        <v>0.5</v>
      </c>
      <c r="F24" s="1115"/>
      <c r="G24" s="1116"/>
      <c r="H24" s="1087"/>
      <c r="I24" s="1087"/>
    </row>
    <row r="25" spans="1:9" s="1529" customFormat="1" ht="19.5" customHeight="1">
      <c r="A25" s="3700"/>
      <c r="B25" s="3700"/>
      <c r="C25" s="1113" t="s">
        <v>1450</v>
      </c>
      <c r="D25" s="1114"/>
      <c r="E25" s="1136">
        <v>1.1000000000000001</v>
      </c>
      <c r="F25" s="1115"/>
      <c r="G25" s="1116"/>
      <c r="H25" s="1087"/>
      <c r="I25" s="1087"/>
    </row>
    <row r="26" spans="1:9" s="1529" customFormat="1" ht="19.5" customHeight="1">
      <c r="A26" s="3700"/>
      <c r="B26" s="3700"/>
      <c r="C26" s="1113" t="s">
        <v>1451</v>
      </c>
      <c r="D26" s="1114"/>
      <c r="E26" s="1136">
        <v>1.1000000000000001</v>
      </c>
      <c r="F26" s="1115"/>
      <c r="G26" s="1116"/>
      <c r="H26" s="1087"/>
      <c r="I26" s="1087"/>
    </row>
    <row r="27" spans="1:9" s="1529" customFormat="1" ht="19.5" customHeight="1">
      <c r="A27" s="3700"/>
      <c r="B27" s="3700"/>
      <c r="C27" s="1113" t="s">
        <v>1452</v>
      </c>
      <c r="D27" s="1114"/>
      <c r="E27" s="1136">
        <v>0.9</v>
      </c>
      <c r="F27" s="1115" t="s">
        <v>1453</v>
      </c>
      <c r="G27" s="1116"/>
      <c r="H27" s="1087"/>
      <c r="I27" s="1087"/>
    </row>
    <row r="28" spans="1:9" s="1529" customFormat="1" ht="19.5" customHeight="1">
      <c r="A28" s="3700"/>
      <c r="B28" s="3700"/>
      <c r="C28" s="1113" t="s">
        <v>1454</v>
      </c>
      <c r="D28" s="1114"/>
      <c r="E28" s="1136">
        <v>0.9</v>
      </c>
      <c r="F28" s="1115" t="s">
        <v>1455</v>
      </c>
      <c r="G28" s="1116"/>
      <c r="H28" s="1087"/>
      <c r="I28" s="1087"/>
    </row>
    <row r="29" spans="1:9" s="1529" customFormat="1" ht="19.5" customHeight="1">
      <c r="A29" s="3700"/>
      <c r="B29" s="3700"/>
      <c r="C29" s="1113" t="s">
        <v>1456</v>
      </c>
      <c r="D29" s="1114"/>
      <c r="E29" s="1136">
        <v>0.9</v>
      </c>
      <c r="F29" s="1115" t="s">
        <v>1457</v>
      </c>
      <c r="G29" s="1116"/>
      <c r="H29" s="1087"/>
      <c r="I29" s="1087"/>
    </row>
    <row r="30" spans="1:9" s="1529" customFormat="1" ht="19.5" customHeight="1">
      <c r="A30" s="3700"/>
      <c r="B30" s="3700"/>
      <c r="C30" s="1113" t="s">
        <v>1458</v>
      </c>
      <c r="D30" s="1114"/>
      <c r="E30" s="1136">
        <v>0.9</v>
      </c>
      <c r="F30" s="1115" t="s">
        <v>1459</v>
      </c>
      <c r="G30" s="1116"/>
      <c r="H30" s="1087"/>
      <c r="I30" s="1087"/>
    </row>
    <row r="31" spans="1:9" s="1529" customFormat="1" ht="19.5" customHeight="1">
      <c r="A31" s="3700"/>
      <c r="B31" s="3700"/>
      <c r="C31" s="1113" t="s">
        <v>1460</v>
      </c>
      <c r="D31" s="1114"/>
      <c r="E31" s="1136">
        <v>0.8</v>
      </c>
      <c r="F31" s="1115" t="s">
        <v>1461</v>
      </c>
      <c r="G31" s="1116"/>
      <c r="H31" s="1087"/>
      <c r="I31" s="1087"/>
    </row>
    <row r="32" spans="1:9" s="1529" customFormat="1" ht="19.5" customHeight="1">
      <c r="A32" s="3700"/>
      <c r="B32" s="3700"/>
      <c r="C32" s="1113" t="s">
        <v>1462</v>
      </c>
      <c r="D32" s="1114"/>
      <c r="E32" s="1136">
        <v>0.8</v>
      </c>
      <c r="F32" s="1115" t="s">
        <v>1463</v>
      </c>
      <c r="G32" s="1116"/>
      <c r="H32" s="1087"/>
      <c r="I32" s="1087"/>
    </row>
    <row r="33" spans="1:9" s="1529" customFormat="1" ht="19.5" customHeight="1">
      <c r="A33" s="3700" t="s">
        <v>1464</v>
      </c>
      <c r="B33" s="1136" t="s">
        <v>1436</v>
      </c>
      <c r="C33" s="1113" t="s">
        <v>1465</v>
      </c>
      <c r="D33" s="1114"/>
      <c r="E33" s="1136">
        <v>1</v>
      </c>
      <c r="F33" s="1115" t="s">
        <v>1466</v>
      </c>
      <c r="G33" s="1116"/>
      <c r="H33" s="1087"/>
      <c r="I33" s="1087"/>
    </row>
    <row r="34" spans="1:9" s="1529" customFormat="1" ht="19.5" customHeight="1">
      <c r="A34" s="3700"/>
      <c r="B34" s="1136" t="s">
        <v>1439</v>
      </c>
      <c r="C34" s="1113" t="s">
        <v>1467</v>
      </c>
      <c r="D34" s="1114"/>
      <c r="E34" s="1136">
        <v>1.5</v>
      </c>
      <c r="F34" s="1115" t="s">
        <v>1468</v>
      </c>
      <c r="G34" s="1116"/>
      <c r="H34" s="1087"/>
      <c r="I34" s="1087"/>
    </row>
    <row r="35" spans="1:9" s="1529" customFormat="1" ht="19.5" customHeight="1">
      <c r="A35" s="3700" t="s">
        <v>1422</v>
      </c>
      <c r="B35" s="1136" t="s">
        <v>1436</v>
      </c>
      <c r="C35" s="1113" t="s">
        <v>1469</v>
      </c>
      <c r="D35" s="1114"/>
      <c r="E35" s="1136">
        <v>1</v>
      </c>
      <c r="F35" s="1115" t="s">
        <v>1470</v>
      </c>
      <c r="G35" s="1116"/>
      <c r="H35" s="1087"/>
      <c r="I35" s="1087"/>
    </row>
    <row r="36" spans="1:9" s="1529" customFormat="1" ht="19.5" customHeight="1">
      <c r="A36" s="3700"/>
      <c r="B36" s="3700" t="s">
        <v>1439</v>
      </c>
      <c r="C36" s="1113" t="s">
        <v>1471</v>
      </c>
      <c r="D36" s="1114"/>
      <c r="E36" s="1136">
        <v>1</v>
      </c>
      <c r="F36" s="1115" t="s">
        <v>1472</v>
      </c>
      <c r="G36" s="1116"/>
      <c r="H36" s="1087"/>
      <c r="I36" s="1087"/>
    </row>
    <row r="37" spans="1:9" s="1529" customFormat="1" ht="19.5" customHeight="1">
      <c r="A37" s="3700"/>
      <c r="B37" s="3700"/>
      <c r="C37" s="1113" t="s">
        <v>1473</v>
      </c>
      <c r="D37" s="1114"/>
      <c r="E37" s="1136">
        <v>1.5</v>
      </c>
      <c r="F37" s="1115" t="s">
        <v>1474</v>
      </c>
      <c r="G37" s="1116"/>
      <c r="H37" s="1087"/>
      <c r="I37" s="1087"/>
    </row>
    <row r="38" spans="1:9" s="1529" customFormat="1" ht="19.5" customHeight="1">
      <c r="A38" s="3700"/>
      <c r="B38" s="3700"/>
      <c r="C38" s="1113" t="s">
        <v>1475</v>
      </c>
      <c r="D38" s="1114"/>
      <c r="E38" s="1136">
        <v>1</v>
      </c>
      <c r="F38" s="1115" t="s">
        <v>1476</v>
      </c>
      <c r="G38" s="1116"/>
      <c r="H38" s="1087"/>
      <c r="I38" s="1087"/>
    </row>
    <row r="39" spans="1:9" s="1529" customFormat="1" ht="19.5" customHeight="1">
      <c r="A39" s="3700"/>
      <c r="B39" s="3700"/>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700" t="s">
        <v>1491</v>
      </c>
      <c r="C61" s="1050" t="s">
        <v>1492</v>
      </c>
      <c r="D61" s="1050" t="s">
        <v>1493</v>
      </c>
      <c r="E61" s="1121">
        <v>0.5</v>
      </c>
      <c r="F61" s="1136">
        <v>80</v>
      </c>
      <c r="H61" s="1087">
        <f>SUMIF(C59:C119,基准地价!C8,E59:E119)</f>
        <v>0</v>
      </c>
    </row>
    <row r="62" spans="1:8" s="1087" customFormat="1" ht="24">
      <c r="A62" s="1136">
        <v>2</v>
      </c>
      <c r="B62" s="3700"/>
      <c r="C62" s="1050" t="s">
        <v>1494</v>
      </c>
      <c r="D62" s="1050" t="s">
        <v>1495</v>
      </c>
      <c r="E62" s="1121">
        <v>0.5</v>
      </c>
      <c r="F62" s="1136">
        <v>80</v>
      </c>
    </row>
    <row r="63" spans="1:8" s="1087" customFormat="1" ht="36">
      <c r="A63" s="1136">
        <v>3</v>
      </c>
      <c r="B63" s="3700"/>
      <c r="C63" s="1050" t="s">
        <v>1496</v>
      </c>
      <c r="D63" s="1050" t="s">
        <v>1497</v>
      </c>
      <c r="E63" s="1121">
        <v>0.5</v>
      </c>
      <c r="F63" s="1136">
        <v>80</v>
      </c>
    </row>
    <row r="64" spans="1:8" s="1087" customFormat="1" ht="36">
      <c r="A64" s="1136">
        <v>4</v>
      </c>
      <c r="B64" s="3700"/>
      <c r="C64" s="1050" t="s">
        <v>1498</v>
      </c>
      <c r="D64" s="1050" t="s">
        <v>1499</v>
      </c>
      <c r="E64" s="1121">
        <v>0.4</v>
      </c>
      <c r="F64" s="1136">
        <v>60</v>
      </c>
    </row>
    <row r="65" spans="1:6" s="1087" customFormat="1" ht="36">
      <c r="A65" s="1136">
        <v>5</v>
      </c>
      <c r="B65" s="3700"/>
      <c r="C65" s="1050" t="s">
        <v>1500</v>
      </c>
      <c r="D65" s="1050" t="s">
        <v>1501</v>
      </c>
      <c r="E65" s="1121">
        <v>0.2</v>
      </c>
      <c r="F65" s="1136">
        <v>30</v>
      </c>
    </row>
    <row r="66" spans="1:6" s="1087" customFormat="1" ht="36">
      <c r="A66" s="1136">
        <v>6</v>
      </c>
      <c r="B66" s="3700"/>
      <c r="C66" s="1050" t="s">
        <v>1502</v>
      </c>
      <c r="D66" s="1050" t="s">
        <v>1503</v>
      </c>
      <c r="E66" s="1121">
        <v>0.3</v>
      </c>
      <c r="F66" s="1136">
        <v>50</v>
      </c>
    </row>
    <row r="67" spans="1:6" s="1087" customFormat="1" ht="36">
      <c r="A67" s="1136">
        <v>7</v>
      </c>
      <c r="B67" s="3700"/>
      <c r="C67" s="1050" t="s">
        <v>1504</v>
      </c>
      <c r="D67" s="1050" t="s">
        <v>1505</v>
      </c>
      <c r="E67" s="1121">
        <v>0.2</v>
      </c>
      <c r="F67" s="1136">
        <v>30</v>
      </c>
    </row>
    <row r="68" spans="1:6" s="1087" customFormat="1" ht="36">
      <c r="A68" s="1136">
        <v>8</v>
      </c>
      <c r="B68" s="3700"/>
      <c r="C68" s="1050" t="s">
        <v>1506</v>
      </c>
      <c r="D68" s="1050" t="s">
        <v>1507</v>
      </c>
      <c r="E68" s="1121">
        <v>0.2</v>
      </c>
      <c r="F68" s="1136">
        <v>30</v>
      </c>
    </row>
    <row r="69" spans="1:6" s="1087" customFormat="1" ht="36">
      <c r="A69" s="1136">
        <v>9</v>
      </c>
      <c r="B69" s="3700"/>
      <c r="C69" s="1050" t="s">
        <v>1508</v>
      </c>
      <c r="D69" s="1050" t="s">
        <v>1509</v>
      </c>
      <c r="E69" s="1121">
        <v>0.2</v>
      </c>
      <c r="F69" s="1136">
        <v>30</v>
      </c>
    </row>
    <row r="70" spans="1:6" s="1087" customFormat="1" ht="48">
      <c r="A70" s="1136">
        <v>10</v>
      </c>
      <c r="B70" s="3700"/>
      <c r="C70" s="1050" t="s">
        <v>1510</v>
      </c>
      <c r="D70" s="1050" t="s">
        <v>1511</v>
      </c>
      <c r="E70" s="1121">
        <v>0.2</v>
      </c>
      <c r="F70" s="1136">
        <v>30</v>
      </c>
    </row>
    <row r="71" spans="1:6" s="1087" customFormat="1" ht="48">
      <c r="A71" s="1136">
        <v>11</v>
      </c>
      <c r="B71" s="3700"/>
      <c r="C71" s="1050" t="s">
        <v>1512</v>
      </c>
      <c r="D71" s="1050" t="s">
        <v>1513</v>
      </c>
      <c r="E71" s="1121">
        <v>0.2</v>
      </c>
      <c r="F71" s="1136">
        <v>30</v>
      </c>
    </row>
    <row r="72" spans="1:6" s="1087" customFormat="1" ht="36">
      <c r="A72" s="1136">
        <v>12</v>
      </c>
      <c r="B72" s="3700"/>
      <c r="C72" s="1050" t="s">
        <v>1514</v>
      </c>
      <c r="D72" s="1050" t="s">
        <v>1515</v>
      </c>
      <c r="E72" s="1121">
        <v>0.5</v>
      </c>
      <c r="F72" s="1136">
        <v>80</v>
      </c>
    </row>
    <row r="73" spans="1:6" s="1087" customFormat="1" ht="24">
      <c r="A73" s="1136">
        <v>13</v>
      </c>
      <c r="B73" s="3700"/>
      <c r="C73" s="1050" t="s">
        <v>1516</v>
      </c>
      <c r="D73" s="1050" t="s">
        <v>1517</v>
      </c>
      <c r="E73" s="1121">
        <v>0.4</v>
      </c>
      <c r="F73" s="1136">
        <v>60</v>
      </c>
    </row>
    <row r="74" spans="1:6" s="1087" customFormat="1" ht="24">
      <c r="A74" s="1136">
        <v>14</v>
      </c>
      <c r="B74" s="3700"/>
      <c r="C74" s="1050" t="s">
        <v>1518</v>
      </c>
      <c r="D74" s="1050" t="s">
        <v>1519</v>
      </c>
      <c r="E74" s="1121">
        <v>0.2</v>
      </c>
      <c r="F74" s="1136">
        <v>30</v>
      </c>
    </row>
    <row r="75" spans="1:6" s="1087" customFormat="1" ht="24">
      <c r="A75" s="1136">
        <v>15</v>
      </c>
      <c r="B75" s="3700"/>
      <c r="C75" s="1050" t="s">
        <v>1520</v>
      </c>
      <c r="D75" s="1050" t="s">
        <v>1521</v>
      </c>
      <c r="E75" s="1121">
        <v>0.2</v>
      </c>
      <c r="F75" s="1136">
        <v>30</v>
      </c>
    </row>
    <row r="76" spans="1:6" s="1087" customFormat="1" ht="24">
      <c r="A76" s="1136">
        <v>16</v>
      </c>
      <c r="B76" s="3700" t="s">
        <v>1522</v>
      </c>
      <c r="C76" s="1050" t="s">
        <v>1523</v>
      </c>
      <c r="D76" s="1050" t="s">
        <v>1524</v>
      </c>
      <c r="E76" s="1121">
        <v>0.5</v>
      </c>
      <c r="F76" s="1136">
        <v>80</v>
      </c>
    </row>
    <row r="77" spans="1:6" s="1087" customFormat="1" ht="24">
      <c r="A77" s="1136">
        <v>17</v>
      </c>
      <c r="B77" s="3700"/>
      <c r="C77" s="1050" t="s">
        <v>1525</v>
      </c>
      <c r="D77" s="1050" t="s">
        <v>1526</v>
      </c>
      <c r="E77" s="1121">
        <v>0.5</v>
      </c>
      <c r="F77" s="1136">
        <v>80</v>
      </c>
    </row>
    <row r="78" spans="1:6" s="1087" customFormat="1" ht="24">
      <c r="A78" s="1136">
        <v>18</v>
      </c>
      <c r="B78" s="3700"/>
      <c r="C78" s="1050" t="s">
        <v>1527</v>
      </c>
      <c r="D78" s="1050" t="s">
        <v>1528</v>
      </c>
      <c r="E78" s="1121">
        <v>0.2</v>
      </c>
      <c r="F78" s="1136">
        <v>30</v>
      </c>
    </row>
    <row r="79" spans="1:6" s="1087" customFormat="1" ht="24">
      <c r="A79" s="1136">
        <v>19</v>
      </c>
      <c r="B79" s="3700"/>
      <c r="C79" s="1050" t="s">
        <v>1529</v>
      </c>
      <c r="D79" s="1050" t="s">
        <v>1530</v>
      </c>
      <c r="E79" s="1121">
        <v>0.5</v>
      </c>
      <c r="F79" s="1136">
        <v>80</v>
      </c>
    </row>
    <row r="80" spans="1:6" s="1087" customFormat="1" ht="36">
      <c r="A80" s="1136">
        <v>20</v>
      </c>
      <c r="B80" s="3700"/>
      <c r="C80" s="1050" t="s">
        <v>1531</v>
      </c>
      <c r="D80" s="1050" t="s">
        <v>1532</v>
      </c>
      <c r="E80" s="1121">
        <v>0.2</v>
      </c>
      <c r="F80" s="1136">
        <v>30</v>
      </c>
    </row>
    <row r="81" spans="1:6" s="1087" customFormat="1" ht="36">
      <c r="A81" s="1136">
        <v>21</v>
      </c>
      <c r="B81" s="3700"/>
      <c r="C81" s="1050" t="s">
        <v>1533</v>
      </c>
      <c r="D81" s="1050" t="s">
        <v>1534</v>
      </c>
      <c r="E81" s="1121">
        <v>0.2</v>
      </c>
      <c r="F81" s="1136">
        <v>30</v>
      </c>
    </row>
    <row r="82" spans="1:6" s="1087" customFormat="1" ht="48">
      <c r="A82" s="1136">
        <v>22</v>
      </c>
      <c r="B82" s="3700"/>
      <c r="C82" s="1050" t="s">
        <v>1535</v>
      </c>
      <c r="D82" s="1050" t="s">
        <v>1536</v>
      </c>
      <c r="E82" s="1121">
        <v>0.2</v>
      </c>
      <c r="F82" s="1136">
        <v>30</v>
      </c>
    </row>
    <row r="83" spans="1:6" s="1087" customFormat="1" ht="48">
      <c r="A83" s="1136">
        <v>23</v>
      </c>
      <c r="B83" s="3700"/>
      <c r="C83" s="1050" t="s">
        <v>1537</v>
      </c>
      <c r="D83" s="1050" t="s">
        <v>1538</v>
      </c>
      <c r="E83" s="1121">
        <v>0.2</v>
      </c>
      <c r="F83" s="1136">
        <v>30</v>
      </c>
    </row>
    <row r="84" spans="1:6" s="1087" customFormat="1" ht="36">
      <c r="A84" s="1136">
        <v>24</v>
      </c>
      <c r="B84" s="3700"/>
      <c r="C84" s="1050" t="s">
        <v>1539</v>
      </c>
      <c r="D84" s="1050" t="s">
        <v>1540</v>
      </c>
      <c r="E84" s="1121">
        <v>0.2</v>
      </c>
      <c r="F84" s="1136">
        <v>30</v>
      </c>
    </row>
    <row r="85" spans="1:6" s="1087" customFormat="1" ht="36">
      <c r="A85" s="1136">
        <v>25</v>
      </c>
      <c r="B85" s="3700"/>
      <c r="C85" s="1050" t="s">
        <v>1541</v>
      </c>
      <c r="D85" s="1050" t="s">
        <v>1542</v>
      </c>
      <c r="E85" s="1121">
        <v>0.5</v>
      </c>
      <c r="F85" s="1136">
        <v>80</v>
      </c>
    </row>
    <row r="86" spans="1:6" s="1087" customFormat="1" ht="36">
      <c r="A86" s="1136">
        <v>26</v>
      </c>
      <c r="B86" s="3700"/>
      <c r="C86" s="1050" t="s">
        <v>1543</v>
      </c>
      <c r="D86" s="1050" t="s">
        <v>1544</v>
      </c>
      <c r="E86" s="1121">
        <v>0.2</v>
      </c>
      <c r="F86" s="1136">
        <v>30</v>
      </c>
    </row>
    <row r="87" spans="1:6" s="1087" customFormat="1" ht="36">
      <c r="A87" s="1136">
        <v>27</v>
      </c>
      <c r="B87" s="3700"/>
      <c r="C87" s="1050" t="s">
        <v>1545</v>
      </c>
      <c r="D87" s="1050" t="s">
        <v>1546</v>
      </c>
      <c r="E87" s="1121">
        <v>0.2</v>
      </c>
      <c r="F87" s="1136">
        <v>30</v>
      </c>
    </row>
    <row r="88" spans="1:6" s="1087" customFormat="1" ht="36">
      <c r="A88" s="1136">
        <v>28</v>
      </c>
      <c r="B88" s="3700"/>
      <c r="C88" s="1050" t="s">
        <v>1547</v>
      </c>
      <c r="D88" s="1050" t="s">
        <v>1548</v>
      </c>
      <c r="E88" s="1121">
        <v>0.2</v>
      </c>
      <c r="F88" s="1136">
        <v>30</v>
      </c>
    </row>
    <row r="89" spans="1:6" s="1087" customFormat="1" ht="24">
      <c r="A89" s="1136">
        <v>29</v>
      </c>
      <c r="B89" s="3700"/>
      <c r="C89" s="1050" t="s">
        <v>1549</v>
      </c>
      <c r="D89" s="1050" t="s">
        <v>1550</v>
      </c>
      <c r="E89" s="1121">
        <v>0.2</v>
      </c>
      <c r="F89" s="1136">
        <v>30</v>
      </c>
    </row>
    <row r="90" spans="1:6" s="1087" customFormat="1" ht="24">
      <c r="A90" s="1136">
        <v>30</v>
      </c>
      <c r="B90" s="3700"/>
      <c r="C90" s="1050" t="s">
        <v>1551</v>
      </c>
      <c r="D90" s="1050" t="s">
        <v>1552</v>
      </c>
      <c r="E90" s="1121">
        <v>0.2</v>
      </c>
      <c r="F90" s="1136">
        <v>30</v>
      </c>
    </row>
    <row r="91" spans="1:6" s="1087" customFormat="1" ht="36">
      <c r="A91" s="1136">
        <v>31</v>
      </c>
      <c r="B91" s="3700"/>
      <c r="C91" s="1050" t="s">
        <v>1553</v>
      </c>
      <c r="D91" s="1050" t="s">
        <v>1554</v>
      </c>
      <c r="E91" s="1121">
        <v>0.2</v>
      </c>
      <c r="F91" s="1136">
        <v>30</v>
      </c>
    </row>
    <row r="92" spans="1:6" s="1087" customFormat="1" ht="24">
      <c r="A92" s="1136">
        <v>32</v>
      </c>
      <c r="B92" s="3700" t="s">
        <v>1555</v>
      </c>
      <c r="C92" s="1136" t="s">
        <v>1556</v>
      </c>
      <c r="D92" s="1050" t="s">
        <v>1557</v>
      </c>
      <c r="E92" s="1121">
        <v>0.2</v>
      </c>
      <c r="F92" s="1136">
        <v>30</v>
      </c>
    </row>
    <row r="93" spans="1:6" s="1087" customFormat="1" ht="36">
      <c r="A93" s="1136">
        <v>33</v>
      </c>
      <c r="B93" s="3700"/>
      <c r="C93" s="1136" t="s">
        <v>1558</v>
      </c>
      <c r="D93" s="1050" t="s">
        <v>1559</v>
      </c>
      <c r="E93" s="1121">
        <v>0.2</v>
      </c>
      <c r="F93" s="1136">
        <v>30</v>
      </c>
    </row>
    <row r="94" spans="1:6" s="1087" customFormat="1" ht="48">
      <c r="A94" s="1136">
        <v>34</v>
      </c>
      <c r="B94" s="3700"/>
      <c r="C94" s="1136" t="s">
        <v>1560</v>
      </c>
      <c r="D94" s="1050" t="s">
        <v>1561</v>
      </c>
      <c r="E94" s="1121">
        <v>0.2</v>
      </c>
      <c r="F94" s="1136">
        <v>30</v>
      </c>
    </row>
    <row r="95" spans="1:6" s="1087" customFormat="1" ht="36">
      <c r="A95" s="1136">
        <v>35</v>
      </c>
      <c r="B95" s="3700"/>
      <c r="C95" s="1136" t="s">
        <v>1562</v>
      </c>
      <c r="D95" s="1050" t="s">
        <v>1563</v>
      </c>
      <c r="E95" s="1121">
        <v>0.2</v>
      </c>
      <c r="F95" s="1136">
        <v>30</v>
      </c>
    </row>
    <row r="96" spans="1:6" s="1087" customFormat="1" ht="48">
      <c r="A96" s="1136">
        <v>36</v>
      </c>
      <c r="B96" s="3700"/>
      <c r="C96" s="1050" t="s">
        <v>1564</v>
      </c>
      <c r="D96" s="1050" t="s">
        <v>1565</v>
      </c>
      <c r="E96" s="1121">
        <v>0.2</v>
      </c>
      <c r="F96" s="1136">
        <v>30</v>
      </c>
    </row>
    <row r="97" spans="1:6" s="1087" customFormat="1" ht="36">
      <c r="A97" s="1136">
        <v>37</v>
      </c>
      <c r="B97" s="3700"/>
      <c r="C97" s="1136" t="s">
        <v>1566</v>
      </c>
      <c r="D97" s="1050" t="s">
        <v>1567</v>
      </c>
      <c r="E97" s="1121">
        <v>0.2</v>
      </c>
      <c r="F97" s="1136">
        <v>30</v>
      </c>
    </row>
    <row r="98" spans="1:6" s="1087" customFormat="1" ht="36">
      <c r="A98" s="1136">
        <v>38</v>
      </c>
      <c r="B98" s="3700"/>
      <c r="C98" s="1136" t="s">
        <v>1568</v>
      </c>
      <c r="D98" s="1050" t="s">
        <v>1569</v>
      </c>
      <c r="E98" s="1121">
        <v>0.2</v>
      </c>
      <c r="F98" s="1136">
        <v>30</v>
      </c>
    </row>
    <row r="99" spans="1:6" s="1087" customFormat="1" ht="36">
      <c r="A99" s="1136">
        <v>39</v>
      </c>
      <c r="B99" s="3700" t="s">
        <v>1570</v>
      </c>
      <c r="C99" s="1136" t="s">
        <v>1571</v>
      </c>
      <c r="D99" s="1050" t="s">
        <v>1572</v>
      </c>
      <c r="E99" s="1121">
        <v>0.3</v>
      </c>
      <c r="F99" s="1136">
        <v>50</v>
      </c>
    </row>
    <row r="100" spans="1:6" s="1087" customFormat="1" ht="24">
      <c r="A100" s="1136">
        <v>40</v>
      </c>
      <c r="B100" s="3700"/>
      <c r="C100" s="1136" t="s">
        <v>1573</v>
      </c>
      <c r="D100" s="1050" t="s">
        <v>1574</v>
      </c>
      <c r="E100" s="1121">
        <v>0.2</v>
      </c>
      <c r="F100" s="1136">
        <v>30</v>
      </c>
    </row>
    <row r="101" spans="1:6" s="1087" customFormat="1" ht="36">
      <c r="A101" s="1136">
        <v>41</v>
      </c>
      <c r="B101" s="3700"/>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700" t="s">
        <v>1585</v>
      </c>
      <c r="C105" s="1136" t="s">
        <v>1586</v>
      </c>
      <c r="D105" s="1050" t="s">
        <v>1587</v>
      </c>
      <c r="E105" s="1121">
        <v>0.2</v>
      </c>
      <c r="F105" s="1136">
        <v>30</v>
      </c>
    </row>
    <row r="106" spans="1:6" s="1087" customFormat="1" ht="36">
      <c r="A106" s="1136">
        <v>46</v>
      </c>
      <c r="B106" s="3700"/>
      <c r="C106" s="1136" t="s">
        <v>1588</v>
      </c>
      <c r="D106" s="1050" t="s">
        <v>1589</v>
      </c>
      <c r="E106" s="1121">
        <v>0.2</v>
      </c>
      <c r="F106" s="1136">
        <v>30</v>
      </c>
    </row>
    <row r="107" spans="1:6" s="1087" customFormat="1" ht="36">
      <c r="A107" s="1136">
        <v>47</v>
      </c>
      <c r="B107" s="3700" t="s">
        <v>1590</v>
      </c>
      <c r="C107" s="1136" t="s">
        <v>1591</v>
      </c>
      <c r="D107" s="1050" t="s">
        <v>1592</v>
      </c>
      <c r="E107" s="1121">
        <v>0.3</v>
      </c>
      <c r="F107" s="1136">
        <v>50</v>
      </c>
    </row>
    <row r="108" spans="1:6" s="1087" customFormat="1" ht="36">
      <c r="A108" s="1136">
        <v>48</v>
      </c>
      <c r="B108" s="3700"/>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700" t="s">
        <v>1601</v>
      </c>
      <c r="C111" s="1136" t="s">
        <v>1602</v>
      </c>
      <c r="D111" s="1050" t="s">
        <v>1603</v>
      </c>
      <c r="E111" s="1121">
        <v>0.2</v>
      </c>
      <c r="F111" s="1136">
        <v>30</v>
      </c>
    </row>
    <row r="112" spans="1:6" s="1087" customFormat="1" ht="24">
      <c r="A112" s="1136">
        <v>52</v>
      </c>
      <c r="B112" s="3700"/>
      <c r="C112" s="1136" t="s">
        <v>1604</v>
      </c>
      <c r="D112" s="1050" t="s">
        <v>1605</v>
      </c>
      <c r="E112" s="1121">
        <v>0.2</v>
      </c>
      <c r="F112" s="1136">
        <v>30</v>
      </c>
    </row>
    <row r="113" spans="1:14" s="1087" customFormat="1" ht="24">
      <c r="A113" s="1136">
        <v>53</v>
      </c>
      <c r="B113" s="3700"/>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700" t="s">
        <v>1614</v>
      </c>
      <c r="C116" s="1136" t="s">
        <v>1615</v>
      </c>
      <c r="D116" s="1050" t="s">
        <v>1616</v>
      </c>
      <c r="E116" s="1121">
        <v>0.2</v>
      </c>
      <c r="F116" s="1136">
        <v>30</v>
      </c>
    </row>
    <row r="117" spans="1:14" ht="36">
      <c r="A117" s="1136">
        <v>57</v>
      </c>
      <c r="B117" s="3700"/>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699" t="s">
        <v>1623</v>
      </c>
      <c r="B121" s="3699"/>
      <c r="C121" s="3699"/>
      <c r="D121" s="3699"/>
      <c r="E121" s="3699"/>
      <c r="F121" s="3699"/>
      <c r="G121" s="3699"/>
      <c r="H121" s="3699"/>
      <c r="I121" s="3699"/>
      <c r="J121" s="3699"/>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701" t="s">
        <v>1029</v>
      </c>
      <c r="B1" s="3701"/>
      <c r="C1" s="3701"/>
      <c r="D1" s="3701"/>
      <c r="E1" s="3701"/>
      <c r="F1" s="370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702" t="s">
        <v>1042</v>
      </c>
      <c r="B2" s="3702"/>
      <c r="C2" s="3702"/>
      <c r="D2" s="3702"/>
      <c r="E2" s="3702"/>
      <c r="F2" s="370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70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70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705" t="s">
        <v>2067</v>
      </c>
      <c r="B1" s="3705"/>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受贵公司委托，我公司对98号地出让国有建设用地使用权抵押价格进行了预评估。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spans="1:4" ht="56.25">
      <c r="A7" s="1710" t="s">
        <v>2727</v>
      </c>
    </row>
    <row r="8" spans="1:4" ht="18.75">
      <c r="A8" s="1709" t="s">
        <v>1896</v>
      </c>
    </row>
    <row r="9" spans="1:4" ht="75">
      <c r="A9" s="1711"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2020年11月4日（评估专业人员勘察现场之日）</v>
      </c>
    </row>
    <row r="12" spans="1:4" ht="18.75">
      <c r="A12" s="1712" t="s">
        <v>2013</v>
      </c>
    </row>
    <row r="13" spans="1:4" ht="18.75">
      <c r="A13" s="1706" t="s">
        <v>2901</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spans="1:1" ht="18.75">
      <c r="A21" s="1706" t="s">
        <v>2062</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713" t="s">
        <v>2556</v>
      </c>
      <c r="C1" s="3713"/>
      <c r="D1" s="3713"/>
      <c r="E1" s="3713"/>
      <c r="F1" s="3713"/>
      <c r="G1" s="3712" t="s">
        <v>2557</v>
      </c>
      <c r="H1" s="3712"/>
      <c r="I1" s="3712"/>
      <c r="J1" s="3712"/>
      <c r="K1" s="3712"/>
      <c r="L1" s="3712"/>
      <c r="N1" s="3712" t="s">
        <v>2558</v>
      </c>
      <c r="O1" s="3712"/>
      <c r="P1" s="3712"/>
      <c r="Q1" s="3712"/>
      <c r="S1" s="3712" t="s">
        <v>2559</v>
      </c>
      <c r="T1" s="3712"/>
      <c r="U1" s="3712"/>
      <c r="V1" s="3712"/>
      <c r="X1" s="3711" t="s">
        <v>2619</v>
      </c>
      <c r="Y1" s="3712"/>
      <c r="Z1" s="3712"/>
      <c r="AA1" s="3712"/>
      <c r="AB1" s="3712"/>
      <c r="AD1" s="3711" t="s">
        <v>2623</v>
      </c>
      <c r="AE1" s="3712"/>
      <c r="AF1" s="3712"/>
      <c r="AG1" s="3712"/>
      <c r="AH1" s="3712"/>
    </row>
    <row r="2" spans="1:34" s="2864" customFormat="1" ht="14.25" thickBot="1">
      <c r="B2" s="2865" t="s">
        <v>2560</v>
      </c>
      <c r="C2" s="2865" t="s">
        <v>2621</v>
      </c>
      <c r="D2" s="2866" t="s">
        <v>1634</v>
      </c>
      <c r="E2" s="2866" t="s">
        <v>1937</v>
      </c>
      <c r="F2" s="2865" t="s">
        <v>2622</v>
      </c>
      <c r="G2" s="2867"/>
      <c r="I2" s="2865" t="s">
        <v>2914</v>
      </c>
      <c r="J2" s="2866" t="s">
        <v>2916</v>
      </c>
      <c r="K2" s="2866" t="s">
        <v>2917</v>
      </c>
      <c r="L2" s="2865" t="s">
        <v>2918</v>
      </c>
      <c r="N2" s="2865" t="s">
        <v>2560</v>
      </c>
      <c r="O2" s="2866" t="s">
        <v>2915</v>
      </c>
      <c r="P2" s="2866" t="s">
        <v>1937</v>
      </c>
      <c r="Q2" s="2865" t="s">
        <v>2622</v>
      </c>
      <c r="S2" s="2865" t="s">
        <v>2560</v>
      </c>
      <c r="T2" s="2866" t="s">
        <v>2915</v>
      </c>
      <c r="U2" s="2866" t="s">
        <v>1937</v>
      </c>
      <c r="V2" s="2865" t="s">
        <v>2622</v>
      </c>
      <c r="X2" s="2865" t="s">
        <v>2560</v>
      </c>
      <c r="Y2" s="2865" t="s">
        <v>2621</v>
      </c>
      <c r="Z2" s="2866" t="s">
        <v>1634</v>
      </c>
      <c r="AA2" s="2866" t="s">
        <v>1937</v>
      </c>
      <c r="AB2" s="2865" t="s">
        <v>2622</v>
      </c>
      <c r="AD2" s="2865" t="s">
        <v>2560</v>
      </c>
      <c r="AE2" s="2865" t="s">
        <v>2621</v>
      </c>
      <c r="AF2" s="2866" t="s">
        <v>1634</v>
      </c>
      <c r="AG2" s="2866" t="s">
        <v>1937</v>
      </c>
      <c r="AH2" s="2865" t="s">
        <v>2622</v>
      </c>
    </row>
    <row r="3" spans="1:34" s="2874" customFormat="1" ht="14.25">
      <c r="A3" s="2868" t="s">
        <v>2925</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Z29"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2994</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2926</v>
      </c>
      <c r="X5" s="2895">
        <f>ROUND(IF(项目基本情况!B6="出让",SUMPRODUCT(PRODUCT(1+N5:N$32)),SUMPRODUCT(PRODUCT(1+N5:N$31))),4)</f>
        <v>1.5652999999999999</v>
      </c>
      <c r="Y5" s="2895">
        <f>ROUND(IF(项目基本情况!B6="出让",SUMPRODUCT(PRODUCT(1+O5:O$32)),SUMPRODUCT(PRODUCT(1+O5:O$31))),4)</f>
        <v>1.3472</v>
      </c>
      <c r="Z5" s="2895">
        <f t="shared" ref="Z5" si="11">Y5</f>
        <v>1.3472</v>
      </c>
      <c r="AA5" s="2895">
        <f>ROUND(IF(项目基本情况!B6="出让",SUMPRODUCT(PRODUCT(1+P5:P$32)),SUMPRODUCT(PRODUCT(1+P5:P$31))),4)</f>
        <v>1.6335999999999999</v>
      </c>
      <c r="AB5" s="2895">
        <f>ROUND(IF(项目基本情况!B6="出让",SUMPRODUCT(PRODUCT(1+Q5:Q$32)),SUMPRODUCT(PRODUCT(1+Q5:Q$31))),4)</f>
        <v>1.3880999999999999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2993</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ROUND(IF(项目基本情况!B7="出让",SUMPRODUCT(PRODUCT(1+N6:N$32)),SUMPRODUCT(PRODUCT(1+N6:N$31))),4)</f>
        <v>1.5652999999999999</v>
      </c>
      <c r="Y6" s="2885">
        <f>ROUND(IF(项目基本情况!B7="出让",SUMPRODUCT(PRODUCT(1+O6:O$32)),SUMPRODUCT(PRODUCT(1+O6:O$31))),4)</f>
        <v>1.3472</v>
      </c>
      <c r="Z6" s="2885">
        <f t="shared" ref="Z6" si="22">Y6</f>
        <v>1.3472</v>
      </c>
      <c r="AA6" s="2885">
        <f>ROUND(IF(项目基本情况!B7="出让",SUMPRODUCT(PRODUCT(1+P6:P$32)),SUMPRODUCT(PRODUCT(1+P6:P$31))),4)</f>
        <v>1.6335999999999999</v>
      </c>
      <c r="AB6" s="2885">
        <f>ROUND(IF(项目基本情况!B7="出让",SUMPRODUCT(PRODUCT(1+Q6:Q$32)),SUMPRODUCT(PRODUCT(1+Q6:Q$31))),4)</f>
        <v>1.3880999999999999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2955</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2953</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2950</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2949</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2946</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2945</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2942</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707">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2935</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707"/>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2936</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707"/>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2932</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708"/>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2924</v>
      </c>
      <c r="B17" s="2914">
        <v>439</v>
      </c>
      <c r="C17" s="2914">
        <v>327</v>
      </c>
      <c r="D17" s="2914">
        <f t="shared" si="120"/>
        <v>327</v>
      </c>
      <c r="E17" s="2914">
        <v>627</v>
      </c>
      <c r="F17" s="2915">
        <v>283</v>
      </c>
      <c r="G17" s="3706">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2927</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707"/>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2561</v>
      </c>
      <c r="B19" s="2898">
        <f t="shared" si="132"/>
        <v>419.31181600000002</v>
      </c>
      <c r="C19" s="2898">
        <f t="shared" si="132"/>
        <v>313.95436800000004</v>
      </c>
      <c r="D19" s="2898">
        <f t="shared" si="120"/>
        <v>313.95436800000004</v>
      </c>
      <c r="E19" s="2898">
        <f t="shared" si="133"/>
        <v>596.63028431999999</v>
      </c>
      <c r="F19" s="2898">
        <f t="shared" si="133"/>
        <v>274.74220703999998</v>
      </c>
      <c r="G19" s="3707"/>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2562</v>
      </c>
      <c r="B20" s="2898">
        <f t="shared" si="132"/>
        <v>405.524</v>
      </c>
      <c r="C20" s="2898">
        <f t="shared" si="132"/>
        <v>307.79840000000002</v>
      </c>
      <c r="D20" s="2898">
        <f t="shared" si="120"/>
        <v>307.79840000000002</v>
      </c>
      <c r="E20" s="2898">
        <f t="shared" si="133"/>
        <v>574.67759999999998</v>
      </c>
      <c r="F20" s="2898">
        <f t="shared" si="133"/>
        <v>270.20280000000002</v>
      </c>
      <c r="G20" s="3708"/>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960</v>
      </c>
      <c r="B21" s="2919">
        <v>392</v>
      </c>
      <c r="C21" s="2919">
        <v>302</v>
      </c>
      <c r="D21" s="2919">
        <f t="shared" si="120"/>
        <v>302</v>
      </c>
      <c r="E21" s="2919">
        <v>553</v>
      </c>
      <c r="F21" s="2920">
        <v>266</v>
      </c>
      <c r="G21" s="3706">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959</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707"/>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949</v>
      </c>
      <c r="B23" s="2898">
        <f t="shared" si="141"/>
        <v>360.06949782209392</v>
      </c>
      <c r="C23" s="2898">
        <f t="shared" si="141"/>
        <v>289.84672674747821</v>
      </c>
      <c r="D23" s="2898">
        <f t="shared" si="142"/>
        <v>289.84672674747821</v>
      </c>
      <c r="E23" s="2898">
        <f t="shared" si="143"/>
        <v>501.06543001181495</v>
      </c>
      <c r="F23" s="2898">
        <f t="shared" si="143"/>
        <v>256.82882500744967</v>
      </c>
      <c r="G23" s="3707"/>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958</v>
      </c>
      <c r="B24" s="2898">
        <f t="shared" si="141"/>
        <v>346.720748986128</v>
      </c>
      <c r="C24" s="2898">
        <f t="shared" si="141"/>
        <v>284.30282172386285</v>
      </c>
      <c r="D24" s="2898">
        <f t="shared" si="142"/>
        <v>284.30282172386285</v>
      </c>
      <c r="E24" s="2898">
        <f t="shared" si="143"/>
        <v>479.58023546306947</v>
      </c>
      <c r="F24" s="2898">
        <f t="shared" si="143"/>
        <v>253.25788877571213</v>
      </c>
      <c r="G24" s="3710"/>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957</v>
      </c>
      <c r="B25" s="2919">
        <v>333</v>
      </c>
      <c r="C25" s="2919">
        <v>277</v>
      </c>
      <c r="D25" s="2919">
        <f t="shared" si="142"/>
        <v>277</v>
      </c>
      <c r="E25" s="2919">
        <v>459</v>
      </c>
      <c r="F25" s="2920">
        <v>249</v>
      </c>
      <c r="G25" s="3709">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956</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707"/>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955</v>
      </c>
      <c r="B27" s="2898">
        <f t="shared" si="145"/>
        <v>322.34053690220776</v>
      </c>
      <c r="C27" s="2898">
        <f t="shared" si="145"/>
        <v>271.46160770422546</v>
      </c>
      <c r="D27" s="2898">
        <f t="shared" si="142"/>
        <v>271.46160770422546</v>
      </c>
      <c r="E27" s="2898">
        <f t="shared" si="146"/>
        <v>442.69434542172456</v>
      </c>
      <c r="F27" s="2898">
        <f t="shared" si="146"/>
        <v>241.34030753190925</v>
      </c>
      <c r="G27" s="3707"/>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954</v>
      </c>
      <c r="B28" s="2898">
        <f t="shared" si="145"/>
        <v>319.87748030386797</v>
      </c>
      <c r="C28" s="2898">
        <f t="shared" si="145"/>
        <v>269.60135833173649</v>
      </c>
      <c r="D28" s="2898">
        <f t="shared" si="142"/>
        <v>269.60135833173649</v>
      </c>
      <c r="E28" s="2898">
        <f t="shared" si="146"/>
        <v>439.18089823583784</v>
      </c>
      <c r="F28" s="2898">
        <f t="shared" si="146"/>
        <v>239.23503918706311</v>
      </c>
      <c r="G28" s="3710"/>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953</v>
      </c>
      <c r="B29" s="2926">
        <v>318</v>
      </c>
      <c r="C29" s="2926">
        <v>268</v>
      </c>
      <c r="D29" s="2926">
        <f t="shared" si="142"/>
        <v>268</v>
      </c>
      <c r="E29" s="2926">
        <v>437</v>
      </c>
      <c r="F29" s="2927">
        <v>237</v>
      </c>
      <c r="G29" s="3709">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952</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707"/>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951</v>
      </c>
      <c r="B31" s="2898">
        <f t="shared" si="147"/>
        <v>314.72141172386546</v>
      </c>
      <c r="C31" s="2898">
        <f t="shared" si="147"/>
        <v>263.03901319069001</v>
      </c>
      <c r="D31" s="2898">
        <f t="shared" si="142"/>
        <v>263.03901319069001</v>
      </c>
      <c r="E31" s="2898">
        <f t="shared" si="148"/>
        <v>433.65745506782821</v>
      </c>
      <c r="F31" s="2898">
        <f t="shared" si="148"/>
        <v>233.23005080045735</v>
      </c>
      <c r="G31" s="3707"/>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950</v>
      </c>
      <c r="B32" s="2931">
        <f t="shared" si="147"/>
        <v>307.34512863658733</v>
      </c>
      <c r="C32" s="2931">
        <f t="shared" si="147"/>
        <v>257.80556031626975</v>
      </c>
      <c r="D32" s="2931">
        <f t="shared" si="142"/>
        <v>257.80556031626975</v>
      </c>
      <c r="E32" s="2931">
        <f t="shared" si="148"/>
        <v>422.70928459677179</v>
      </c>
      <c r="F32" s="2931">
        <f t="shared" si="148"/>
        <v>229.73803270336617</v>
      </c>
      <c r="G32" s="3710"/>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2620</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2563</v>
      </c>
      <c r="B33" s="2919">
        <v>299</v>
      </c>
      <c r="C33" s="2919">
        <v>252</v>
      </c>
      <c r="D33" s="2919">
        <f t="shared" si="142"/>
        <v>252</v>
      </c>
      <c r="E33" s="2919">
        <v>409</v>
      </c>
      <c r="F33" s="2920">
        <v>227</v>
      </c>
      <c r="G33" s="3714">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2564</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715"/>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2565</v>
      </c>
      <c r="B35" s="2898">
        <f t="shared" si="151"/>
        <v>288.2649053828776</v>
      </c>
      <c r="C35" s="2898">
        <f t="shared" si="151"/>
        <v>243.64564425013293</v>
      </c>
      <c r="D35" s="2898">
        <f t="shared" si="142"/>
        <v>243.64564425013293</v>
      </c>
      <c r="E35" s="2898">
        <f t="shared" si="152"/>
        <v>393.31080825986544</v>
      </c>
      <c r="F35" s="2898">
        <f t="shared" si="152"/>
        <v>223.07903790551154</v>
      </c>
      <c r="G35" s="3715"/>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2566</v>
      </c>
      <c r="B36" s="2898">
        <f t="shared" si="151"/>
        <v>282.50186729015837</v>
      </c>
      <c r="C36" s="2898">
        <f t="shared" si="151"/>
        <v>238.09796174155468</v>
      </c>
      <c r="D36" s="2898">
        <f t="shared" si="142"/>
        <v>238.09796174155468</v>
      </c>
      <c r="E36" s="2898">
        <f t="shared" si="152"/>
        <v>385.33438646014054</v>
      </c>
      <c r="F36" s="2898">
        <f t="shared" si="152"/>
        <v>221.55034055567739</v>
      </c>
      <c r="G36" s="3716"/>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2567</v>
      </c>
      <c r="B37" s="2947">
        <v>278</v>
      </c>
      <c r="C37" s="2947">
        <v>234</v>
      </c>
      <c r="D37" s="2947">
        <f t="shared" si="142"/>
        <v>234</v>
      </c>
      <c r="E37" s="2947">
        <v>379</v>
      </c>
      <c r="F37" s="2948">
        <v>220</v>
      </c>
      <c r="G37" s="3709">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2568</v>
      </c>
      <c r="B38" s="2898">
        <f>B37/(1+N37)</f>
        <v>275.49301357645425</v>
      </c>
      <c r="C38" s="2898">
        <f>C37/(1+O37)</f>
        <v>232.41954707985698</v>
      </c>
      <c r="D38" s="2898">
        <f t="shared" si="142"/>
        <v>232.41954707985698</v>
      </c>
      <c r="E38" s="2898">
        <f t="shared" ref="E38:F40" si="153">E37/(1+P37)</f>
        <v>375.32184591008121</v>
      </c>
      <c r="F38" s="2898">
        <f t="shared" si="153"/>
        <v>218.03766105054513</v>
      </c>
      <c r="G38" s="3707"/>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2569</v>
      </c>
      <c r="B39" s="2898">
        <f>B38/(1+N38)</f>
        <v>275.24529281292263</v>
      </c>
      <c r="C39" s="2898">
        <f>C38/(1+O38)</f>
        <v>231.74747938962707</v>
      </c>
      <c r="D39" s="2898">
        <f t="shared" si="142"/>
        <v>231.74747938962707</v>
      </c>
      <c r="E39" s="2898">
        <f t="shared" si="153"/>
        <v>375.35938184826603</v>
      </c>
      <c r="F39" s="2898">
        <f t="shared" si="153"/>
        <v>216.78033510692495</v>
      </c>
      <c r="G39" s="3707"/>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2570</v>
      </c>
      <c r="B40" s="2898">
        <f>B39/(1+N39)</f>
        <v>275.19025476197027</v>
      </c>
      <c r="C40" s="2949">
        <v>232</v>
      </c>
      <c r="D40" s="2949">
        <f t="shared" si="142"/>
        <v>232</v>
      </c>
      <c r="E40" s="2898">
        <f t="shared" si="153"/>
        <v>375.65990977608692</v>
      </c>
      <c r="F40" s="2898">
        <f t="shared" si="153"/>
        <v>214.12518283971252</v>
      </c>
      <c r="G40" s="3710"/>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2571</v>
      </c>
      <c r="B41" s="2919">
        <v>275</v>
      </c>
      <c r="C41" s="2919">
        <v>232</v>
      </c>
      <c r="D41" s="2919">
        <f t="shared" si="142"/>
        <v>232</v>
      </c>
      <c r="E41" s="2919">
        <v>376</v>
      </c>
      <c r="F41" s="2920">
        <v>213</v>
      </c>
      <c r="G41" s="3709">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2572</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707">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2573</v>
      </c>
      <c r="B43" s="2898">
        <f t="shared" si="154"/>
        <v>275.19335084830601</v>
      </c>
      <c r="C43" s="2898">
        <f t="shared" si="154"/>
        <v>230.18088050139744</v>
      </c>
      <c r="D43" s="2898">
        <f t="shared" si="142"/>
        <v>230.18088050139744</v>
      </c>
      <c r="E43" s="2898">
        <f t="shared" si="155"/>
        <v>377.58482925212331</v>
      </c>
      <c r="F43" s="2898">
        <f t="shared" si="155"/>
        <v>210.90687997847917</v>
      </c>
      <c r="G43" s="3707">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2574</v>
      </c>
      <c r="B44" s="2898">
        <f t="shared" si="154"/>
        <v>276.29854502841971</v>
      </c>
      <c r="C44" s="2898">
        <f t="shared" si="154"/>
        <v>229.79023709833027</v>
      </c>
      <c r="D44" s="2898">
        <f t="shared" si="142"/>
        <v>229.79023709833027</v>
      </c>
      <c r="E44" s="2898">
        <f t="shared" si="155"/>
        <v>379.78759731655936</v>
      </c>
      <c r="F44" s="2898">
        <f t="shared" si="155"/>
        <v>211.32953905659235</v>
      </c>
      <c r="G44" s="3710">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2575</v>
      </c>
      <c r="B45" s="2919">
        <v>269</v>
      </c>
      <c r="C45" s="2919">
        <v>221</v>
      </c>
      <c r="D45" s="2919">
        <f t="shared" si="142"/>
        <v>221</v>
      </c>
      <c r="E45" s="2919">
        <v>373</v>
      </c>
      <c r="F45" s="2920">
        <v>196</v>
      </c>
      <c r="G45" s="3709">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2576</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707">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2577</v>
      </c>
      <c r="B47" s="2898">
        <f t="shared" si="156"/>
        <v>242.95398227588385</v>
      </c>
      <c r="C47" s="2898">
        <f t="shared" si="156"/>
        <v>199.59137053614126</v>
      </c>
      <c r="D47" s="2898">
        <f t="shared" si="142"/>
        <v>199.59137053614126</v>
      </c>
      <c r="E47" s="2898">
        <f t="shared" si="157"/>
        <v>335.92189522342125</v>
      </c>
      <c r="F47" s="2898">
        <f t="shared" si="157"/>
        <v>183.10139991109489</v>
      </c>
      <c r="G47" s="3707">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2578</v>
      </c>
      <c r="B48" s="2898">
        <f t="shared" si="156"/>
        <v>232.06990378821649</v>
      </c>
      <c r="C48" s="2898">
        <f t="shared" si="156"/>
        <v>192.74878854286936</v>
      </c>
      <c r="D48" s="2898">
        <f t="shared" si="142"/>
        <v>192.74878854286936</v>
      </c>
      <c r="E48" s="2898">
        <f t="shared" si="157"/>
        <v>319.71247284992984</v>
      </c>
      <c r="F48" s="2898">
        <f t="shared" si="157"/>
        <v>175.67053622862409</v>
      </c>
      <c r="G48" s="3710">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2579</v>
      </c>
      <c r="B49" s="2919">
        <v>220</v>
      </c>
      <c r="C49" s="2919">
        <v>187</v>
      </c>
      <c r="D49" s="2919">
        <f t="shared" si="142"/>
        <v>187</v>
      </c>
      <c r="E49" s="2919">
        <v>301</v>
      </c>
      <c r="F49" s="2920">
        <v>168</v>
      </c>
      <c r="G49" s="3709">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2580</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707">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2581</v>
      </c>
      <c r="B51" s="2898">
        <f t="shared" si="158"/>
        <v>210.630522469011</v>
      </c>
      <c r="C51" s="2898">
        <f t="shared" si="158"/>
        <v>181.69567812247232</v>
      </c>
      <c r="D51" s="2898">
        <f t="shared" si="142"/>
        <v>181.69567812247232</v>
      </c>
      <c r="E51" s="2898">
        <f t="shared" si="159"/>
        <v>286.13517466736738</v>
      </c>
      <c r="F51" s="2898">
        <f t="shared" si="159"/>
        <v>165.47535084591149</v>
      </c>
      <c r="G51" s="3707">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2582</v>
      </c>
      <c r="B52" s="2898">
        <f t="shared" si="158"/>
        <v>208.83454537875372</v>
      </c>
      <c r="C52" s="2898">
        <f t="shared" si="158"/>
        <v>183.77230517090351</v>
      </c>
      <c r="D52" s="2898">
        <f t="shared" si="142"/>
        <v>183.77230517090351</v>
      </c>
      <c r="E52" s="2898">
        <f t="shared" si="159"/>
        <v>281.10342338870947</v>
      </c>
      <c r="F52" s="2898">
        <f t="shared" si="159"/>
        <v>168.97309388942256</v>
      </c>
      <c r="G52" s="3710">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2583</v>
      </c>
      <c r="B53" s="2947">
        <v>214</v>
      </c>
      <c r="C53" s="2947">
        <v>188</v>
      </c>
      <c r="D53" s="2947">
        <f t="shared" si="142"/>
        <v>188</v>
      </c>
      <c r="E53" s="2947">
        <v>289</v>
      </c>
      <c r="F53" s="2948">
        <v>166</v>
      </c>
      <c r="G53" s="3709">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2584</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707">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2585</v>
      </c>
      <c r="B55" s="2898">
        <f t="shared" si="160"/>
        <v>206.31694671589116</v>
      </c>
      <c r="C55" s="2898">
        <f t="shared" si="160"/>
        <v>183.61041121036101</v>
      </c>
      <c r="D55" s="2898">
        <f t="shared" si="142"/>
        <v>183.61041121036101</v>
      </c>
      <c r="E55" s="2898">
        <f t="shared" si="161"/>
        <v>276.66850301795557</v>
      </c>
      <c r="F55" s="2898">
        <f t="shared" si="161"/>
        <v>165.1360938278614</v>
      </c>
      <c r="G55" s="3707">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2586</v>
      </c>
      <c r="B56" s="2950">
        <f t="shared" si="160"/>
        <v>196.62341248059772</v>
      </c>
      <c r="C56" s="2950">
        <f t="shared" si="160"/>
        <v>170.99125648199012</v>
      </c>
      <c r="D56" s="2950">
        <f t="shared" si="142"/>
        <v>170.99125648199012</v>
      </c>
      <c r="E56" s="2950">
        <f t="shared" si="161"/>
        <v>266.07857570490052</v>
      </c>
      <c r="F56" s="2950">
        <f t="shared" si="161"/>
        <v>154.53499328828505</v>
      </c>
      <c r="G56" s="3710">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2587</v>
      </c>
      <c r="B57" s="2919">
        <v>188</v>
      </c>
      <c r="C57" s="2919">
        <v>165</v>
      </c>
      <c r="D57" s="2919">
        <f t="shared" si="142"/>
        <v>165</v>
      </c>
      <c r="E57" s="2919">
        <v>254</v>
      </c>
      <c r="F57" s="2920">
        <v>148</v>
      </c>
      <c r="G57" s="3709">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2588</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707">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2589</v>
      </c>
      <c r="B59" s="2898">
        <f t="shared" si="164"/>
        <v>168.82017748715555</v>
      </c>
      <c r="C59" s="2898">
        <f t="shared" si="164"/>
        <v>148.06267029972753</v>
      </c>
      <c r="D59" s="2898">
        <f t="shared" si="142"/>
        <v>148.06267029972753</v>
      </c>
      <c r="E59" s="2898">
        <f t="shared" si="165"/>
        <v>216.46288379323747</v>
      </c>
      <c r="F59" s="2898">
        <f t="shared" si="165"/>
        <v>134.23529411764704</v>
      </c>
      <c r="G59" s="3707">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2590</v>
      </c>
      <c r="B60" s="2898">
        <f t="shared" si="164"/>
        <v>163.84913591779542</v>
      </c>
      <c r="C60" s="2898">
        <f t="shared" si="164"/>
        <v>145.0283378746594</v>
      </c>
      <c r="D60" s="2898">
        <f t="shared" si="142"/>
        <v>145.0283378746594</v>
      </c>
      <c r="E60" s="2898">
        <f t="shared" si="165"/>
        <v>204.95180722891567</v>
      </c>
      <c r="F60" s="2898">
        <f t="shared" si="165"/>
        <v>125.95920303605313</v>
      </c>
      <c r="G60" s="3710">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2591</v>
      </c>
      <c r="B61" s="2926">
        <v>159</v>
      </c>
      <c r="C61" s="2926">
        <v>141</v>
      </c>
      <c r="D61" s="2926">
        <f t="shared" si="142"/>
        <v>141</v>
      </c>
      <c r="E61" s="2926">
        <v>195</v>
      </c>
      <c r="F61" s="2927">
        <v>122</v>
      </c>
      <c r="G61" s="3709">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2592</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707">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2593</v>
      </c>
      <c r="B63" s="2898">
        <f t="shared" si="168"/>
        <v>146.57412060301507</v>
      </c>
      <c r="C63" s="2898">
        <f t="shared" si="168"/>
        <v>136.46831955922866</v>
      </c>
      <c r="D63" s="2898">
        <f t="shared" si="142"/>
        <v>136.46831955922866</v>
      </c>
      <c r="E63" s="2898">
        <f t="shared" si="169"/>
        <v>166.73864894795128</v>
      </c>
      <c r="F63" s="2898">
        <f t="shared" si="169"/>
        <v>115.05882352941177</v>
      </c>
      <c r="G63" s="3707">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2594</v>
      </c>
      <c r="B64" s="2898">
        <f t="shared" si="168"/>
        <v>144.04145728643215</v>
      </c>
      <c r="C64" s="2898">
        <f t="shared" si="168"/>
        <v>136.12396694214877</v>
      </c>
      <c r="D64" s="2898">
        <f t="shared" si="142"/>
        <v>136.12396694214877</v>
      </c>
      <c r="E64" s="2898">
        <f t="shared" si="169"/>
        <v>158.32225913621264</v>
      </c>
      <c r="F64" s="2898">
        <f t="shared" si="169"/>
        <v>114.04278074866311</v>
      </c>
      <c r="G64" s="3710">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2595</v>
      </c>
      <c r="B65" s="2926">
        <v>138</v>
      </c>
      <c r="C65" s="2926">
        <v>131</v>
      </c>
      <c r="D65" s="2926">
        <f t="shared" si="142"/>
        <v>131</v>
      </c>
      <c r="E65" s="2926">
        <v>155</v>
      </c>
      <c r="F65" s="2927">
        <v>114</v>
      </c>
      <c r="G65" s="3709">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2596</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707">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2597</v>
      </c>
      <c r="B67" s="2898">
        <f t="shared" si="172"/>
        <v>124.29032258064517</v>
      </c>
      <c r="C67" s="2898">
        <f t="shared" si="172"/>
        <v>123.8968609865471</v>
      </c>
      <c r="D67" s="2898">
        <f t="shared" si="142"/>
        <v>123.8968609865471</v>
      </c>
      <c r="E67" s="2898">
        <f t="shared" si="173"/>
        <v>138.00507614213197</v>
      </c>
      <c r="F67" s="2898">
        <f t="shared" si="173"/>
        <v>107.96106557377048</v>
      </c>
      <c r="G67" s="3707">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2598</v>
      </c>
      <c r="B68" s="2898">
        <f t="shared" si="172"/>
        <v>122.57204301075269</v>
      </c>
      <c r="C68" s="2898">
        <f t="shared" si="172"/>
        <v>123.4932735426009</v>
      </c>
      <c r="D68" s="2898">
        <f t="shared" si="142"/>
        <v>123.4932735426009</v>
      </c>
      <c r="E68" s="2898">
        <f t="shared" si="173"/>
        <v>129.82233502538071</v>
      </c>
      <c r="F68" s="2898">
        <f t="shared" si="173"/>
        <v>107.39446721311475</v>
      </c>
      <c r="G68" s="3710">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2599</v>
      </c>
      <c r="B69" s="2947">
        <v>121</v>
      </c>
      <c r="C69" s="2947">
        <v>122</v>
      </c>
      <c r="D69" s="2947">
        <f t="shared" si="142"/>
        <v>122</v>
      </c>
      <c r="E69" s="2947">
        <v>124</v>
      </c>
      <c r="F69" s="2948">
        <v>107</v>
      </c>
      <c r="G69" s="3709">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2600</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707">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2601</v>
      </c>
      <c r="B71" s="2898">
        <f t="shared" si="176"/>
        <v>116.99099099099099</v>
      </c>
      <c r="C71" s="2898">
        <f t="shared" si="176"/>
        <v>118.84848484848486</v>
      </c>
      <c r="D71" s="2898">
        <f t="shared" si="142"/>
        <v>118.84848484848486</v>
      </c>
      <c r="E71" s="2898">
        <f t="shared" si="177"/>
        <v>117.60960960960961</v>
      </c>
      <c r="F71" s="2898">
        <f t="shared" si="177"/>
        <v>104</v>
      </c>
      <c r="G71" s="3707">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2602</v>
      </c>
      <c r="B72" s="2950">
        <f t="shared" si="176"/>
        <v>112.48648648648648</v>
      </c>
      <c r="C72" s="2950">
        <f t="shared" si="176"/>
        <v>115.21212121212122</v>
      </c>
      <c r="D72" s="2950">
        <f t="shared" si="142"/>
        <v>115.21212121212122</v>
      </c>
      <c r="E72" s="2950">
        <f t="shared" si="177"/>
        <v>110.4024024024024</v>
      </c>
      <c r="F72" s="2950">
        <f t="shared" si="177"/>
        <v>104</v>
      </c>
      <c r="G72" s="3710">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2603</v>
      </c>
      <c r="B73" s="2967">
        <v>111</v>
      </c>
      <c r="C73" s="2967">
        <v>114</v>
      </c>
      <c r="D73" s="2967">
        <f t="shared" si="142"/>
        <v>114</v>
      </c>
      <c r="E73" s="2967">
        <v>108</v>
      </c>
      <c r="F73" s="2968">
        <v>104</v>
      </c>
      <c r="G73" s="3709">
        <v>2003</v>
      </c>
      <c r="H73" s="2957">
        <v>4</v>
      </c>
      <c r="I73" s="2969"/>
      <c r="J73" s="2969"/>
      <c r="K73" s="2969"/>
      <c r="L73" s="2969"/>
      <c r="N73" s="2970"/>
      <c r="O73" s="2969"/>
      <c r="P73" s="2969"/>
      <c r="Q73" s="2969"/>
      <c r="S73" s="2970"/>
      <c r="T73" s="2969"/>
      <c r="U73" s="2969"/>
      <c r="V73" s="2969"/>
      <c r="X73" s="2961"/>
      <c r="Y73" s="2961"/>
      <c r="Z73" s="2961"/>
    </row>
    <row r="74" spans="1:26">
      <c r="A74" s="2897" t="s">
        <v>2604</v>
      </c>
      <c r="B74" s="2971">
        <f t="shared" ref="B74:C76" si="178">B75+(B$73-B$77)/4</f>
        <v>109.75</v>
      </c>
      <c r="C74" s="2971">
        <f t="shared" si="178"/>
        <v>112.25</v>
      </c>
      <c r="D74" s="2971">
        <f t="shared" si="142"/>
        <v>112.25</v>
      </c>
      <c r="E74" s="2971">
        <f t="shared" ref="E74:F76" si="179">E75+(E$73-E$77)/4</f>
        <v>107.25</v>
      </c>
      <c r="F74" s="2971">
        <f t="shared" si="179"/>
        <v>103.5</v>
      </c>
      <c r="G74" s="3707">
        <v>2003</v>
      </c>
      <c r="H74" s="2924">
        <v>3</v>
      </c>
      <c r="I74" s="2969"/>
      <c r="J74" s="2969"/>
      <c r="K74" s="2969"/>
      <c r="L74" s="2969"/>
      <c r="X74" s="2961"/>
      <c r="Y74" s="2961"/>
      <c r="Z74" s="2961"/>
    </row>
    <row r="75" spans="1:26">
      <c r="A75" s="2897" t="s">
        <v>2605</v>
      </c>
      <c r="B75" s="2971">
        <f t="shared" si="178"/>
        <v>108.5</v>
      </c>
      <c r="C75" s="2971">
        <f t="shared" si="178"/>
        <v>110.5</v>
      </c>
      <c r="D75" s="2971">
        <f t="shared" si="142"/>
        <v>110.5</v>
      </c>
      <c r="E75" s="2971">
        <f t="shared" si="179"/>
        <v>106.5</v>
      </c>
      <c r="F75" s="2971">
        <f t="shared" si="179"/>
        <v>103</v>
      </c>
      <c r="G75" s="3707">
        <v>2003</v>
      </c>
      <c r="H75" s="2912">
        <v>2</v>
      </c>
      <c r="I75" s="2969"/>
      <c r="J75" s="2969"/>
      <c r="K75" s="2969"/>
      <c r="L75" s="2969"/>
      <c r="X75" s="2961"/>
      <c r="Y75" s="2961"/>
      <c r="Z75" s="2961"/>
    </row>
    <row r="76" spans="1:26" ht="13.5" thickBot="1">
      <c r="A76" s="2897" t="s">
        <v>2606</v>
      </c>
      <c r="B76" s="2971">
        <f t="shared" si="178"/>
        <v>107.25</v>
      </c>
      <c r="C76" s="2971">
        <f t="shared" si="178"/>
        <v>108.75</v>
      </c>
      <c r="D76" s="2971">
        <f t="shared" si="142"/>
        <v>108.75</v>
      </c>
      <c r="E76" s="2971">
        <f t="shared" si="179"/>
        <v>105.75</v>
      </c>
      <c r="F76" s="2971">
        <f t="shared" si="179"/>
        <v>102.5</v>
      </c>
      <c r="G76" s="3710">
        <v>2003</v>
      </c>
      <c r="H76" s="2972">
        <v>1</v>
      </c>
      <c r="I76" s="2969"/>
      <c r="J76" s="2969"/>
      <c r="K76" s="2969"/>
      <c r="L76" s="2969"/>
      <c r="S76" s="2900"/>
      <c r="T76" s="2886"/>
      <c r="U76" s="2886"/>
      <c r="X76" s="2961"/>
      <c r="Y76" s="2961"/>
      <c r="Z76" s="2961"/>
    </row>
    <row r="77" spans="1:26" ht="13.5" thickBot="1">
      <c r="A77" s="2897" t="s">
        <v>2607</v>
      </c>
      <c r="B77" s="2973">
        <v>106</v>
      </c>
      <c r="C77" s="2973">
        <v>107</v>
      </c>
      <c r="D77" s="2973">
        <f t="shared" si="142"/>
        <v>107</v>
      </c>
      <c r="E77" s="2973">
        <v>105</v>
      </c>
      <c r="F77" s="2974">
        <v>102</v>
      </c>
      <c r="G77" s="3709">
        <v>2002</v>
      </c>
      <c r="H77" s="2921">
        <v>4</v>
      </c>
      <c r="I77" s="2969"/>
      <c r="J77" s="2969"/>
      <c r="K77" s="2969"/>
      <c r="L77" s="2969"/>
      <c r="N77" s="2970"/>
      <c r="O77" s="2969"/>
      <c r="P77" s="2969"/>
      <c r="Q77" s="2969"/>
      <c r="S77" s="2970"/>
      <c r="T77" s="2969"/>
      <c r="U77" s="2969"/>
      <c r="V77" s="2969"/>
      <c r="X77" s="2961"/>
      <c r="Y77" s="2961"/>
      <c r="Z77" s="2961"/>
    </row>
    <row r="78" spans="1:26">
      <c r="A78" s="2897" t="s">
        <v>2608</v>
      </c>
      <c r="B78" s="2971">
        <f t="shared" ref="B78:C80" si="180">B79+(B$77-B$81)/4</f>
        <v>105</v>
      </c>
      <c r="C78" s="2971">
        <f t="shared" si="180"/>
        <v>106</v>
      </c>
      <c r="D78" s="2971">
        <f t="shared" si="142"/>
        <v>106</v>
      </c>
      <c r="E78" s="2971">
        <f t="shared" ref="E78:F80" si="181">E79+(E$77-E$81)/4</f>
        <v>104.5</v>
      </c>
      <c r="F78" s="2971">
        <f t="shared" si="181"/>
        <v>101.5</v>
      </c>
      <c r="G78" s="3707">
        <v>2002</v>
      </c>
      <c r="H78" s="2924">
        <v>3</v>
      </c>
      <c r="I78" s="2969"/>
      <c r="J78" s="2969"/>
      <c r="K78" s="2969"/>
      <c r="L78" s="2969"/>
      <c r="X78" s="2961"/>
      <c r="Y78" s="2961"/>
      <c r="Z78" s="2961"/>
    </row>
    <row r="79" spans="1:26">
      <c r="A79" s="2897" t="s">
        <v>2609</v>
      </c>
      <c r="B79" s="2971">
        <f t="shared" si="180"/>
        <v>104</v>
      </c>
      <c r="C79" s="2971">
        <f t="shared" si="180"/>
        <v>105</v>
      </c>
      <c r="D79" s="2971">
        <f t="shared" si="142"/>
        <v>105</v>
      </c>
      <c r="E79" s="2971">
        <f t="shared" si="181"/>
        <v>104</v>
      </c>
      <c r="F79" s="2971">
        <f t="shared" si="181"/>
        <v>101</v>
      </c>
      <c r="G79" s="3707">
        <v>2002</v>
      </c>
      <c r="H79" s="2912">
        <v>2</v>
      </c>
      <c r="I79" s="2969"/>
      <c r="J79" s="2969"/>
      <c r="K79" s="2969"/>
      <c r="L79" s="2969"/>
      <c r="X79" s="2961"/>
      <c r="Y79" s="2961"/>
      <c r="Z79" s="2961"/>
    </row>
    <row r="80" spans="1:26" s="2934" customFormat="1" ht="13.5" thickBot="1">
      <c r="A80" s="2930" t="s">
        <v>2610</v>
      </c>
      <c r="B80" s="2937">
        <f t="shared" si="180"/>
        <v>103</v>
      </c>
      <c r="C80" s="2937">
        <f t="shared" si="180"/>
        <v>104</v>
      </c>
      <c r="D80" s="2937">
        <f t="shared" si="142"/>
        <v>104</v>
      </c>
      <c r="E80" s="2937">
        <f t="shared" si="181"/>
        <v>103.5</v>
      </c>
      <c r="F80" s="2937">
        <f t="shared" si="181"/>
        <v>100.5</v>
      </c>
      <c r="G80" s="3710">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2611</v>
      </c>
      <c r="G83" s="2984"/>
      <c r="N83" s="2984"/>
      <c r="S83" s="2984"/>
    </row>
    <row r="84" spans="1:26" s="2983" customFormat="1">
      <c r="A84" s="2983" t="s">
        <v>2612</v>
      </c>
      <c r="G84" s="2984"/>
      <c r="N84" s="2984"/>
      <c r="S84" s="2984"/>
    </row>
    <row r="85" spans="1:26" s="2983" customFormat="1">
      <c r="A85" s="2983" t="s">
        <v>2613</v>
      </c>
      <c r="G85" s="2984"/>
      <c r="I85" s="2985"/>
      <c r="J85" s="2985"/>
      <c r="K85" s="2985"/>
      <c r="L85" s="2985"/>
      <c r="N85" s="2986"/>
      <c r="O85" s="2985"/>
      <c r="P85" s="2985"/>
      <c r="Q85" s="2985"/>
      <c r="S85" s="2986"/>
      <c r="T85" s="2985"/>
      <c r="U85" s="2985"/>
      <c r="V85" s="2985"/>
    </row>
    <row r="86" spans="1:26" s="2983" customFormat="1">
      <c r="A86" s="2983" t="s">
        <v>2614</v>
      </c>
      <c r="G86" s="2984"/>
      <c r="N86" s="2984"/>
      <c r="S86" s="2984"/>
    </row>
    <row r="93" spans="1:26" ht="13.5" thickBot="1"/>
    <row r="94" spans="1:26">
      <c r="G94" s="2885"/>
      <c r="S94" s="2987" t="s">
        <v>2615</v>
      </c>
      <c r="T94" s="2988" t="s">
        <v>2616</v>
      </c>
      <c r="U94" s="2988" t="s">
        <v>2617</v>
      </c>
      <c r="V94" s="2988" t="s">
        <v>2618</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2908</v>
      </c>
      <c r="B1" s="3244"/>
      <c r="C1" s="3244"/>
      <c r="D1" s="3244"/>
      <c r="E1" s="3244"/>
      <c r="F1" s="3244"/>
      <c r="G1" s="3245"/>
      <c r="H1" s="3245"/>
      <c r="I1" s="3245"/>
      <c r="J1" s="3245"/>
      <c r="K1" s="3245"/>
      <c r="L1" s="3245"/>
      <c r="M1" s="3245"/>
      <c r="N1" s="3245"/>
    </row>
    <row r="2" spans="1:14" ht="14.25">
      <c r="A2" s="3250" t="s">
        <v>2903</v>
      </c>
      <c r="B2" s="3255">
        <f ca="1">SUMIF(B7:B14,"&lt;&gt;#ref!",B7:B14)</f>
        <v>0</v>
      </c>
      <c r="C2" s="3250" t="s">
        <v>2904</v>
      </c>
      <c r="D2" s="3247"/>
      <c r="E2" s="3247"/>
      <c r="F2" s="3247"/>
      <c r="G2" s="3245"/>
      <c r="H2" s="3245"/>
      <c r="I2" s="3245"/>
      <c r="J2" s="3245"/>
      <c r="K2" s="3245"/>
      <c r="L2" s="3245"/>
      <c r="M2" s="3245"/>
      <c r="N2" s="3245"/>
    </row>
    <row r="3" spans="1:14" ht="14.25">
      <c r="A3" s="3250" t="s">
        <v>2933</v>
      </c>
      <c r="B3" s="3255" t="e">
        <f ca="1">ROUND(B2*10000/E3,0)</f>
        <v>#DIV/0!</v>
      </c>
      <c r="C3" s="3250" t="s">
        <v>2066</v>
      </c>
      <c r="D3" s="3250" t="s">
        <v>2905</v>
      </c>
      <c r="E3" s="3248">
        <f ca="1">SUMIF(E7:E14,"&lt;&gt;#ref!",E7:E14)</f>
        <v>0</v>
      </c>
      <c r="F3" s="3247"/>
      <c r="G3" s="3245"/>
      <c r="H3" s="3245"/>
      <c r="I3" s="3245"/>
      <c r="J3" s="3245"/>
      <c r="K3" s="3245"/>
      <c r="L3" s="3245"/>
      <c r="M3" s="3245"/>
      <c r="N3" s="3245"/>
    </row>
    <row r="4" spans="1:14" ht="14.25">
      <c r="A4" s="3250" t="s">
        <v>2911</v>
      </c>
      <c r="B4" s="3255" t="e">
        <f ca="1">ROUND(B2*10000/E4,0)</f>
        <v>#DIV/0!</v>
      </c>
      <c r="C4" s="3250" t="s">
        <v>2066</v>
      </c>
      <c r="D4" s="3250" t="s">
        <v>2912</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2909</v>
      </c>
      <c r="B6" s="3250" t="s">
        <v>2906</v>
      </c>
      <c r="C6" s="2790"/>
      <c r="D6" s="3247"/>
      <c r="E6" s="3250" t="s">
        <v>2907</v>
      </c>
      <c r="F6" s="3250" t="s">
        <v>2910</v>
      </c>
      <c r="G6" s="3245"/>
      <c r="H6" s="3245"/>
      <c r="I6" s="3245"/>
      <c r="J6" s="3245"/>
      <c r="K6" s="3245"/>
      <c r="L6" s="3245"/>
      <c r="M6" s="3245"/>
      <c r="N6" s="3245"/>
    </row>
    <row r="7" spans="1:14" ht="14.25">
      <c r="A7" s="3253"/>
      <c r="B7" s="3255" t="e">
        <f ca="1">SUMIF(INDIRECT("'"&amp;A7&amp;"'"&amp;"!A:A"),"总价",INDIRECT("'"&amp;A7&amp;"'"&amp;"!B:B"))</f>
        <v>#REF!</v>
      </c>
      <c r="C7" s="3250" t="s">
        <v>2904</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2904</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2904</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2904</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2904</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2904</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2904</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2904</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-2.5</v>
      </c>
      <c r="G1" s="764">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1814</v>
      </c>
      <c r="B8" s="3718" t="s">
        <v>2444</v>
      </c>
      <c r="C8" s="1740">
        <f ca="1">ROUND(F8*F10*F9*(1-F11)/10000,0)</f>
        <v>0</v>
      </c>
      <c r="D8" s="1737" t="s">
        <v>2515</v>
      </c>
      <c r="E8" s="61" t="s">
        <v>631</v>
      </c>
      <c r="F8" s="775">
        <f ca="1">INDIRECT("'数据-取费表'!u"&amp;$G$1)</f>
        <v>0</v>
      </c>
      <c r="G8" s="1526"/>
      <c r="H8" s="2357" t="s">
        <v>1814</v>
      </c>
      <c r="I8" s="3718" t="s">
        <v>2444</v>
      </c>
      <c r="J8" s="773">
        <f ca="1">ROUND(M8*M10*M9*(1-M11)/10000,0)</f>
        <v>0</v>
      </c>
      <c r="K8" s="339" t="s">
        <v>2515</v>
      </c>
      <c r="L8" s="774" t="s">
        <v>1728</v>
      </c>
      <c r="M8" s="775">
        <f ca="1">INDIRECT("'数据-取费表'!z"&amp;$G$1)</f>
        <v>0</v>
      </c>
    </row>
    <row r="9" spans="1:25" ht="18" customHeight="1">
      <c r="A9" s="2353"/>
      <c r="B9" s="3719"/>
      <c r="C9" s="1741"/>
      <c r="D9" s="1738"/>
      <c r="E9" s="61" t="s">
        <v>632</v>
      </c>
      <c r="F9" s="775">
        <f ca="1">IF(INDIRECT("'数据-取费表'!ah"&amp;$G$1)="",INDIRECT("'数据-取费表'!k"&amp;$G$1),INDIRECT("'数据-取费表'!ah"&amp;$G$1))</f>
        <v>0</v>
      </c>
      <c r="G9" s="1526"/>
      <c r="H9" s="2342"/>
      <c r="I9" s="3719"/>
      <c r="J9" s="778"/>
      <c r="K9" s="779"/>
      <c r="L9" s="774" t="s">
        <v>1729</v>
      </c>
      <c r="M9" s="775">
        <f ca="1">F9</f>
        <v>0</v>
      </c>
    </row>
    <row r="10" spans="1:25" ht="18" customHeight="1">
      <c r="A10" s="2346"/>
      <c r="B10" s="3720"/>
      <c r="C10" s="1741"/>
      <c r="D10" s="1738"/>
      <c r="E10" s="61" t="s">
        <v>633</v>
      </c>
      <c r="F10" s="775">
        <f ca="1">INDIRECT("'数据-取费表'!ai"&amp;$G$1)</f>
        <v>0</v>
      </c>
      <c r="G10" s="1526"/>
      <c r="H10" s="2342"/>
      <c r="I10" s="3720"/>
      <c r="J10" s="778"/>
      <c r="K10" s="779"/>
      <c r="L10" s="774" t="s">
        <v>1730</v>
      </c>
      <c r="M10" s="775">
        <f ca="1">INDIRECT("'数据-取费表'!ai"&amp;$G$1)</f>
        <v>0</v>
      </c>
    </row>
    <row r="11" spans="1:25" ht="18" customHeight="1">
      <c r="A11" s="776"/>
      <c r="B11" s="3721"/>
      <c r="C11" s="1741"/>
      <c r="D11" s="1738"/>
      <c r="E11" s="61" t="s">
        <v>634</v>
      </c>
      <c r="F11" s="784">
        <f ca="1">INDIRECT("'数据-取费表'!w"&amp;$G$1)</f>
        <v>0</v>
      </c>
      <c r="G11" s="1526"/>
      <c r="H11" s="2358"/>
      <c r="I11" s="3720"/>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2930</v>
      </c>
      <c r="E12" s="2351" t="s">
        <v>2445</v>
      </c>
      <c r="F12" s="2465"/>
      <c r="G12" s="1526"/>
      <c r="H12" s="2414" t="s">
        <v>1815</v>
      </c>
      <c r="I12" s="2419" t="s">
        <v>2440</v>
      </c>
      <c r="J12" s="773">
        <f ca="1">ROUND(IF(M12="押一",J8/12*M13,IF(M12="押二",J8/12*2*M13,IF(M12="押三",J8/12*3*M13,J13*M13))),0)</f>
        <v>0</v>
      </c>
      <c r="K12" s="2354" t="s">
        <v>2930</v>
      </c>
      <c r="L12" s="2351" t="s">
        <v>2445</v>
      </c>
      <c r="M12" s="2465"/>
    </row>
    <row r="13" spans="1:25" ht="18" customHeight="1">
      <c r="A13" s="780"/>
      <c r="B13" s="2348" t="s">
        <v>2554</v>
      </c>
      <c r="C13" s="2352"/>
      <c r="D13" s="779"/>
      <c r="E13" s="2351" t="s">
        <v>2437</v>
      </c>
      <c r="F13" s="786">
        <f ca="1">'数据-取费表'!B39</f>
        <v>1.4999999999999999E-2</v>
      </c>
      <c r="G13" s="1526"/>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2804</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2.5</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1.1999999999999999E-3</v>
      </c>
      <c r="D26" s="2423"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2801</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2802</v>
      </c>
      <c r="C31" s="2397">
        <f ca="1">ROUND((C21+C22+C25+C28)/(1-F23-C26-C29-C30),0)</f>
        <v>0</v>
      </c>
      <c r="D31" s="2398"/>
      <c r="E31" s="2399"/>
      <c r="F31" s="2400"/>
      <c r="G31" s="1527"/>
      <c r="H31" s="812" t="s">
        <v>1862</v>
      </c>
      <c r="I31" s="2725"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6" t="s">
        <v>2988</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717"/>
      <c r="J36" s="1962"/>
      <c r="K36" s="1963"/>
      <c r="L36" s="1962"/>
      <c r="M36" s="1962"/>
    </row>
    <row r="37" spans="1:18" ht="18" customHeight="1">
      <c r="A37" s="804"/>
      <c r="B37" s="783"/>
      <c r="C37" s="69"/>
      <c r="D37" s="805"/>
      <c r="E37" s="774" t="s">
        <v>668</v>
      </c>
      <c r="F37" s="775">
        <f ca="1">INDIRECT("'数据-取费表'!r"&amp;$G$1)</f>
        <v>0</v>
      </c>
      <c r="G37" s="1945"/>
      <c r="H37" s="1948"/>
      <c r="I37" s="3717"/>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1"/>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1"/>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2919</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2922</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0" t="str">
        <f ca="1">IF(M48="住宅",0,IF(L49&gt;J52,L61,J61))</f>
        <v>0</v>
      </c>
      <c r="O47" s="2249" t="s">
        <v>2394</v>
      </c>
      <c r="P47" s="1526"/>
      <c r="Q47" s="1534"/>
      <c r="R47" s="1526"/>
    </row>
    <row r="48" spans="1:18" s="1942" customFormat="1" ht="18" customHeight="1" thickBot="1">
      <c r="A48" s="1966"/>
      <c r="C48" s="1969"/>
      <c r="D48" s="1970"/>
      <c r="E48" s="1970"/>
      <c r="F48" s="1971"/>
      <c r="G48" s="1972"/>
      <c r="I48" s="2801" t="s">
        <v>2328</v>
      </c>
      <c r="J48" s="2236"/>
      <c r="K48" s="2807" t="s">
        <v>2333</v>
      </c>
      <c r="L48" s="2811">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8" t="s">
        <v>2329</v>
      </c>
      <c r="J49" s="2237"/>
      <c r="K49" s="2808"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8" t="s">
        <v>2330</v>
      </c>
      <c r="J50" s="2238"/>
      <c r="K50" s="2809"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8" t="s">
        <v>2331</v>
      </c>
      <c r="J51" s="2805">
        <f>SUMPRODUCT((I64:I66=J48)*(J63:L63=J49)*(J64:L66))</f>
        <v>0</v>
      </c>
      <c r="K51" s="2809" t="s">
        <v>2337</v>
      </c>
      <c r="L51" s="2239"/>
      <c r="O51" s="2256" t="s">
        <v>2367</v>
      </c>
      <c r="P51" s="2254" t="s">
        <v>2391</v>
      </c>
      <c r="Q51" s="2255">
        <f ca="1">C31</f>
        <v>0</v>
      </c>
      <c r="R51" s="2254" t="s">
        <v>2364</v>
      </c>
    </row>
    <row r="52" spans="1:18" s="1942" customFormat="1" ht="18" customHeight="1" thickBot="1">
      <c r="A52" s="1978"/>
      <c r="F52" s="1967"/>
      <c r="I52" s="2802" t="s">
        <v>2332</v>
      </c>
      <c r="J52" s="2806">
        <f>IF(J50="",J51,J50+J51-YEAR('数据-取费表'!B3))</f>
        <v>0</v>
      </c>
      <c r="K52" s="2798" t="s">
        <v>2338</v>
      </c>
      <c r="L52" s="2812">
        <f ca="1">C45</f>
        <v>0</v>
      </c>
      <c r="O52" s="2256" t="s">
        <v>2368</v>
      </c>
      <c r="P52" s="2254" t="s">
        <v>2369</v>
      </c>
      <c r="Q52" s="2257" t="e">
        <f ca="1">J59</f>
        <v>#VALUE!</v>
      </c>
      <c r="R52" s="2258"/>
    </row>
    <row r="53" spans="1:18" s="1942" customFormat="1" ht="18" customHeight="1" thickBot="1">
      <c r="A53" s="1978"/>
      <c r="F53" s="1967"/>
      <c r="I53" s="2803" t="s">
        <v>2405</v>
      </c>
      <c r="J53" s="2240"/>
      <c r="K53" s="2803" t="s">
        <v>2404</v>
      </c>
      <c r="L53" s="2240"/>
      <c r="O53" s="2256" t="s">
        <v>2370</v>
      </c>
      <c r="P53" s="2254" t="s">
        <v>2371</v>
      </c>
      <c r="Q53" s="2257">
        <f>J53</f>
        <v>0</v>
      </c>
      <c r="R53" s="2258"/>
    </row>
    <row r="54" spans="1:18" s="1942" customFormat="1" ht="29.25" thickBot="1">
      <c r="A54" s="1978"/>
      <c r="I54" s="2804" t="s">
        <v>2934</v>
      </c>
      <c r="J54" s="2857">
        <f ca="1">IF(M48="住宅",MAX(J52,L49-'数据-取费表'!B20),MIN(J52,L49-'数据-取费表'!B20))</f>
        <v>-2.5</v>
      </c>
      <c r="K54" s="3722"/>
      <c r="L54" s="3723"/>
      <c r="O54" s="2256" t="s">
        <v>2372</v>
      </c>
      <c r="P54" s="2254" t="s">
        <v>2373</v>
      </c>
      <c r="Q54" s="2255">
        <f ca="1">J54</f>
        <v>-2.5</v>
      </c>
      <c r="R54" s="2254" t="s">
        <v>2374</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2375</v>
      </c>
      <c r="P55" s="2254" t="s">
        <v>2392</v>
      </c>
      <c r="Q55" s="2255">
        <f ca="1">Q49+Q50</f>
        <v>0</v>
      </c>
      <c r="R55" s="2258" t="s">
        <v>2376</v>
      </c>
    </row>
    <row r="56" spans="1:18" s="1942" customFormat="1" ht="16.5" thickBot="1">
      <c r="A56" s="1978"/>
      <c r="B56" s="1979"/>
      <c r="C56" s="1979"/>
      <c r="I56" s="2815" t="s">
        <v>2339</v>
      </c>
      <c r="J56" s="2788" t="e">
        <f ca="1">ROUND(IF(J48="钢混",J58/J51,1-(1-2%)*(J51-J58)/J51),3)</f>
        <v>#VALUE!</v>
      </c>
      <c r="K56" s="2816" t="s">
        <v>2340</v>
      </c>
      <c r="L56" s="2241"/>
      <c r="O56" s="2259" t="s">
        <v>2395</v>
      </c>
      <c r="P56" s="1526"/>
      <c r="Q56" s="1534"/>
      <c r="R56" s="1526"/>
    </row>
    <row r="57" spans="1:18" s="1942" customFormat="1" ht="43.5" thickBot="1">
      <c r="A57" s="1978"/>
      <c r="B57" s="1979"/>
      <c r="C57" s="1979"/>
      <c r="I57" s="2817" t="s">
        <v>2341</v>
      </c>
      <c r="J57" s="2827" t="s">
        <v>1668</v>
      </c>
      <c r="K57" s="2798" t="s">
        <v>2346</v>
      </c>
      <c r="L57" s="1822">
        <f ca="1">IF(L49&lt;J52,"——",L49-J52)</f>
        <v>0</v>
      </c>
      <c r="O57" s="2250" t="s">
        <v>2359</v>
      </c>
      <c r="P57" s="2251" t="s">
        <v>2360</v>
      </c>
      <c r="Q57" s="2252" t="s">
        <v>2361</v>
      </c>
      <c r="R57" s="2251" t="s">
        <v>2362</v>
      </c>
    </row>
    <row r="58" spans="1:18" s="1942" customFormat="1" ht="29.25" thickBot="1">
      <c r="A58" s="1978"/>
      <c r="B58" s="1979"/>
      <c r="C58" s="1979"/>
      <c r="I58" s="2818" t="s">
        <v>2342</v>
      </c>
      <c r="J58" s="2819" t="str">
        <f ca="1">IF(OR(M48="住宅",J52&lt;L49,J57="是"),"——",J52-L49)</f>
        <v>——</v>
      </c>
      <c r="K58" s="2798"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8" t="s">
        <v>2343</v>
      </c>
      <c r="J59" s="2789" t="e">
        <f ca="1">IF(J56&lt;0.4,0.4,J56)</f>
        <v>#VALUE!</v>
      </c>
      <c r="K59" s="2798"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8" t="s">
        <v>2344</v>
      </c>
      <c r="J60" s="2819" t="str">
        <f ca="1">IF(OR(M48="住宅",J52&lt;L49,J57="是"),"——",ROUND(C30*J59,0))</f>
        <v>——</v>
      </c>
      <c r="K60" s="2798"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0" t="s">
        <v>2345</v>
      </c>
      <c r="J61" s="2821" t="str">
        <f ca="1">IF(OR(M48="住宅",J52&lt;L49,J57="是"),"0",ROUND(J60/(1+J53)^J54,0))</f>
        <v>0</v>
      </c>
      <c r="K61" s="2822" t="s">
        <v>2350</v>
      </c>
      <c r="L61" s="2821"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3" t="s">
        <v>2351</v>
      </c>
      <c r="J63" s="2824" t="s">
        <v>2352</v>
      </c>
      <c r="K63" s="2824" t="s">
        <v>2353</v>
      </c>
      <c r="L63" s="2824" t="s">
        <v>2334</v>
      </c>
      <c r="M63" s="2825" t="s">
        <v>2902</v>
      </c>
      <c r="O63" s="2256" t="s">
        <v>2372</v>
      </c>
      <c r="P63" s="2254" t="s">
        <v>2380</v>
      </c>
      <c r="Q63" s="2255">
        <f ca="1">L60</f>
        <v>0</v>
      </c>
      <c r="R63" s="2258" t="s">
        <v>2381</v>
      </c>
    </row>
    <row r="64" spans="1:18" s="1942" customFormat="1" ht="15.75" thickBot="1">
      <c r="A64" s="1978"/>
      <c r="B64" s="1979"/>
      <c r="C64" s="1979"/>
      <c r="I64" s="2823" t="s">
        <v>2354</v>
      </c>
      <c r="J64" s="2824">
        <v>70</v>
      </c>
      <c r="K64" s="2824">
        <v>50</v>
      </c>
      <c r="L64" s="2824">
        <v>80</v>
      </c>
      <c r="M64" s="2826">
        <v>0.02</v>
      </c>
      <c r="O64" s="2253" t="s">
        <v>2375</v>
      </c>
      <c r="P64" s="2254" t="s">
        <v>2392</v>
      </c>
      <c r="Q64" s="2255" t="e">
        <f ca="1">Q58+Q59</f>
        <v>#DIV/0!</v>
      </c>
      <c r="R64" s="2258" t="s">
        <v>2376</v>
      </c>
    </row>
    <row r="65" spans="1:18" s="1942" customFormat="1" ht="16.5" thickBot="1">
      <c r="A65" s="1978"/>
      <c r="B65" s="1979"/>
      <c r="C65" s="1979"/>
      <c r="I65" s="2823" t="s">
        <v>2355</v>
      </c>
      <c r="J65" s="2824">
        <v>50</v>
      </c>
      <c r="K65" s="2824">
        <v>35</v>
      </c>
      <c r="L65" s="2824">
        <v>60</v>
      </c>
      <c r="M65" s="835">
        <v>0</v>
      </c>
      <c r="O65" s="2259" t="s">
        <v>2399</v>
      </c>
      <c r="P65" s="1526"/>
      <c r="Q65" s="1534"/>
      <c r="R65" s="1526"/>
    </row>
    <row r="66" spans="1:18" s="1942" customFormat="1" ht="15.75" thickBot="1">
      <c r="A66" s="1978"/>
      <c r="B66" s="1979"/>
      <c r="C66" s="1979"/>
      <c r="I66" s="2823" t="s">
        <v>2356</v>
      </c>
      <c r="J66" s="2824">
        <v>40</v>
      </c>
      <c r="K66" s="2824">
        <v>30</v>
      </c>
      <c r="L66" s="2824">
        <v>50</v>
      </c>
      <c r="M66" s="2826">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80" zoomScaleNormal="60" zoomScaleSheetLayoutView="80" workbookViewId="0">
      <selection activeCell="E51" sqref="E5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3353</v>
      </c>
      <c r="G1" s="1531" t="s">
        <v>715</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147900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9142</v>
      </c>
      <c r="C3" s="841" t="s">
        <v>716</v>
      </c>
      <c r="D3" s="840">
        <f>SUMIF('数据-汇总表'!$C19:$C33,D1,'数据-汇总表'!$E19:$E33)</f>
        <v>161781.29999999999</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636" t="s">
        <v>516</v>
      </c>
      <c r="D4" s="3637"/>
      <c r="E4" s="3670" t="s">
        <v>517</v>
      </c>
      <c r="F4" s="3671"/>
      <c r="G4" s="3636" t="s">
        <v>518</v>
      </c>
      <c r="H4" s="3637"/>
      <c r="I4" s="3636" t="s">
        <v>519</v>
      </c>
      <c r="J4" s="3637"/>
      <c r="K4" s="842" t="s">
        <v>520</v>
      </c>
      <c r="L4" s="2015"/>
      <c r="M4" s="2016"/>
      <c r="N4" s="2016"/>
      <c r="O4" s="2016"/>
      <c r="P4" s="3638" t="s">
        <v>521</v>
      </c>
      <c r="Q4" s="3639"/>
      <c r="R4" s="3644" t="s">
        <v>517</v>
      </c>
      <c r="S4" s="3645"/>
      <c r="T4" s="3644" t="s">
        <v>518</v>
      </c>
      <c r="U4" s="3645"/>
      <c r="V4" s="3631" t="s">
        <v>519</v>
      </c>
      <c r="W4" s="3631"/>
      <c r="X4" s="1501"/>
      <c r="Y4" s="3644" t="s">
        <v>521</v>
      </c>
      <c r="Z4" s="3645"/>
      <c r="AA4" s="3633" t="s">
        <v>517</v>
      </c>
      <c r="AB4" s="3633" t="s">
        <v>518</v>
      </c>
      <c r="AC4" s="3633" t="s">
        <v>519</v>
      </c>
    </row>
    <row r="5" spans="1:29" ht="15">
      <c r="A5" s="509"/>
      <c r="B5" s="510"/>
      <c r="C5" s="3652" t="s">
        <v>2889</v>
      </c>
      <c r="D5" s="3653"/>
      <c r="E5" s="3728" t="s">
        <v>3323</v>
      </c>
      <c r="F5" s="3673"/>
      <c r="G5" s="3727" t="s">
        <v>3354</v>
      </c>
      <c r="H5" s="3653"/>
      <c r="I5" s="3727" t="s">
        <v>3358</v>
      </c>
      <c r="J5" s="3653"/>
      <c r="K5" s="843"/>
      <c r="L5" s="2015"/>
      <c r="M5" s="2016"/>
      <c r="N5" s="2016"/>
      <c r="O5" s="2016"/>
      <c r="P5" s="3640"/>
      <c r="Q5" s="3641"/>
      <c r="R5" s="3646"/>
      <c r="S5" s="3647"/>
      <c r="T5" s="3646"/>
      <c r="U5" s="3647"/>
      <c r="V5" s="3631"/>
      <c r="W5" s="3631"/>
      <c r="X5" s="1501"/>
      <c r="Y5" s="3646"/>
      <c r="Z5" s="3647"/>
      <c r="AA5" s="3634"/>
      <c r="AB5" s="3634"/>
      <c r="AC5" s="3634"/>
    </row>
    <row r="6" spans="1:29" ht="15.75" thickBot="1">
      <c r="A6" s="511"/>
      <c r="B6" s="512"/>
      <c r="C6" s="3650" t="s">
        <v>2893</v>
      </c>
      <c r="D6" s="3651"/>
      <c r="E6" s="3668" t="s">
        <v>2893</v>
      </c>
      <c r="F6" s="3669"/>
      <c r="G6" s="3650" t="s">
        <v>2893</v>
      </c>
      <c r="H6" s="3651"/>
      <c r="I6" s="3650" t="s">
        <v>2893</v>
      </c>
      <c r="J6" s="3651"/>
      <c r="K6" s="843" t="s">
        <v>522</v>
      </c>
      <c r="L6" s="2015"/>
      <c r="M6" s="2016"/>
      <c r="N6" s="2016"/>
      <c r="O6" s="2016"/>
      <c r="P6" s="3642"/>
      <c r="Q6" s="3643"/>
      <c r="R6" s="3646"/>
      <c r="S6" s="3647"/>
      <c r="T6" s="3648"/>
      <c r="U6" s="3649"/>
      <c r="V6" s="3631"/>
      <c r="W6" s="3631"/>
      <c r="X6" s="1501"/>
      <c r="Y6" s="3648"/>
      <c r="Z6" s="3649"/>
      <c r="AA6" s="3635"/>
      <c r="AB6" s="3635"/>
      <c r="AC6" s="3635"/>
    </row>
    <row r="7" spans="1:29" s="1202" customFormat="1" ht="15.75" thickBot="1">
      <c r="A7" s="2629"/>
      <c r="B7" s="2636" t="s">
        <v>523</v>
      </c>
      <c r="C7" s="513">
        <f>'数据-取费表'!B2</f>
        <v>44139</v>
      </c>
      <c r="D7" s="514">
        <v>100</v>
      </c>
      <c r="E7" s="515">
        <f>C7</f>
        <v>44139</v>
      </c>
      <c r="F7" s="516">
        <f>SUMIF(58:58,YEAR(E7)&amp;"-"&amp;MONTH(E7),59:59)</f>
        <v>100</v>
      </c>
      <c r="G7" s="517">
        <f>C7</f>
        <v>44139</v>
      </c>
      <c r="H7" s="514">
        <f>SUMIF(58:58,YEAR(G7)&amp;"-"&amp;MONTH(G7),59:59)</f>
        <v>100</v>
      </c>
      <c r="I7" s="517">
        <f>C7</f>
        <v>44139</v>
      </c>
      <c r="J7" s="514">
        <f>SUMIF(58:58,YEAR(I7)&amp;"-"&amp;MONTH(I7),59:59)</f>
        <v>100</v>
      </c>
      <c r="K7" s="844"/>
      <c r="L7" s="2017"/>
      <c r="M7" s="2018"/>
      <c r="N7" s="2018"/>
      <c r="O7" s="2018"/>
      <c r="P7" s="3661" t="s">
        <v>524</v>
      </c>
      <c r="Q7" s="3663"/>
      <c r="R7" s="1502" t="s">
        <v>13</v>
      </c>
      <c r="S7" s="1503">
        <f t="shared" ref="S7:S15" si="0">F7</f>
        <v>100</v>
      </c>
      <c r="T7" s="1502" t="s">
        <v>13</v>
      </c>
      <c r="U7" s="1503">
        <f t="shared" ref="U7:U15" si="1">H7</f>
        <v>100</v>
      </c>
      <c r="V7" s="1502" t="s">
        <v>13</v>
      </c>
      <c r="W7" s="1503">
        <f t="shared" ref="W7:W15" si="2">J7</f>
        <v>100</v>
      </c>
      <c r="X7" s="1504"/>
      <c r="Y7" s="3661" t="s">
        <v>524</v>
      </c>
      <c r="Z7" s="3662"/>
      <c r="AA7" s="1505">
        <f>D7/F7</f>
        <v>1</v>
      </c>
      <c r="AB7" s="1505">
        <f>D7/H7</f>
        <v>1</v>
      </c>
      <c r="AC7" s="1505">
        <f>D7/J7</f>
        <v>1</v>
      </c>
    </row>
    <row r="8" spans="1:29" s="1202" customFormat="1" ht="15.75" thickBot="1">
      <c r="A8" s="2630"/>
      <c r="B8" s="2637" t="s">
        <v>525</v>
      </c>
      <c r="C8" s="519" t="s">
        <v>570</v>
      </c>
      <c r="D8" s="514">
        <v>100</v>
      </c>
      <c r="E8" s="845" t="s">
        <v>3021</v>
      </c>
      <c r="F8" s="516">
        <f>SUMIF(61:61,E8,62:62)-SUMIF(61:61,C8,62:62)+100</f>
        <v>100</v>
      </c>
      <c r="G8" s="845" t="s">
        <v>3021</v>
      </c>
      <c r="H8" s="514">
        <f>SUMIF(61:61,G8,62:62)-SUMIF(61:61,C8,62:62)+100</f>
        <v>100</v>
      </c>
      <c r="I8" s="845" t="s">
        <v>3021</v>
      </c>
      <c r="J8" s="514">
        <f>SUMIF(61:61,I8,62:62)-SUMIF(61:61,C8,62:62)+100</f>
        <v>100</v>
      </c>
      <c r="K8" s="844"/>
      <c r="L8" s="2017"/>
      <c r="M8" s="2018"/>
      <c r="N8" s="2018"/>
      <c r="O8" s="2018"/>
      <c r="P8" s="3661" t="s">
        <v>527</v>
      </c>
      <c r="Q8" s="3662"/>
      <c r="R8" s="1502" t="s">
        <v>13</v>
      </c>
      <c r="S8" s="1503">
        <f t="shared" si="0"/>
        <v>100</v>
      </c>
      <c r="T8" s="1502" t="s">
        <v>13</v>
      </c>
      <c r="U8" s="1503">
        <f t="shared" si="1"/>
        <v>100</v>
      </c>
      <c r="V8" s="1502" t="s">
        <v>13</v>
      </c>
      <c r="W8" s="1503">
        <f t="shared" si="2"/>
        <v>100</v>
      </c>
      <c r="X8" s="1504"/>
      <c r="Y8" s="3661" t="s">
        <v>527</v>
      </c>
      <c r="Z8" s="3662"/>
      <c r="AA8" s="1505">
        <f t="shared" ref="AA8:AA46" si="3">D8/F8</f>
        <v>1</v>
      </c>
      <c r="AB8" s="1505">
        <f t="shared" ref="AB8:AB46" si="4">D8/H8</f>
        <v>1</v>
      </c>
      <c r="AC8" s="1505">
        <f t="shared" ref="AC8:AC46" si="5">D8/J8</f>
        <v>1</v>
      </c>
    </row>
    <row r="9" spans="1:29" s="1202" customFormat="1" ht="15">
      <c r="A9" s="2631"/>
      <c r="B9" s="2638" t="s">
        <v>2736</v>
      </c>
      <c r="C9" s="3432" t="s">
        <v>3322</v>
      </c>
      <c r="D9" s="252">
        <v>100</v>
      </c>
      <c r="E9" s="847" t="s">
        <v>913</v>
      </c>
      <c r="F9" s="848">
        <f>SUMIF(63:63,E9,64:64)-SUMIF(63:63,C9,64:64)+100</f>
        <v>100</v>
      </c>
      <c r="G9" s="847" t="s">
        <v>913</v>
      </c>
      <c r="H9" s="252">
        <f>SUMIF(63:63,G9,64:64)-SUMIF(63:63,C9,64:64)+100</f>
        <v>100</v>
      </c>
      <c r="I9" s="847" t="s">
        <v>913</v>
      </c>
      <c r="J9" s="252">
        <f>SUMIF(63:63,I9,64:64)-SUMIF(63:63,C9,64:64)+100</f>
        <v>100</v>
      </c>
      <c r="K9" s="844"/>
      <c r="L9" s="2017"/>
      <c r="M9" s="2018"/>
      <c r="N9" s="2018"/>
      <c r="O9" s="2019"/>
      <c r="P9" s="3630" t="s">
        <v>529</v>
      </c>
      <c r="Q9" s="1133" t="str">
        <f t="shared" ref="Q9:Q15" si="6">B9</f>
        <v>用途</v>
      </c>
      <c r="R9" s="1502" t="s">
        <v>8</v>
      </c>
      <c r="S9" s="1503">
        <f t="shared" si="0"/>
        <v>100</v>
      </c>
      <c r="T9" s="1502" t="s">
        <v>8</v>
      </c>
      <c r="U9" s="1503">
        <f t="shared" si="1"/>
        <v>100</v>
      </c>
      <c r="V9" s="1502" t="s">
        <v>8</v>
      </c>
      <c r="W9" s="1503">
        <f t="shared" si="2"/>
        <v>100</v>
      </c>
      <c r="X9" s="1504"/>
      <c r="Y9" s="3576" t="s">
        <v>530</v>
      </c>
      <c r="Z9" s="1132" t="str">
        <f t="shared" ref="Z9:Z15" si="7">Q9</f>
        <v>用途</v>
      </c>
      <c r="AA9" s="1505">
        <f t="shared" si="3"/>
        <v>1</v>
      </c>
      <c r="AB9" s="1505">
        <f t="shared" si="4"/>
        <v>1</v>
      </c>
      <c r="AC9" s="1505">
        <f t="shared" si="5"/>
        <v>1</v>
      </c>
    </row>
    <row r="10" spans="1:29" s="1291" customFormat="1" ht="27">
      <c r="A10" s="2632"/>
      <c r="B10" s="2637" t="s">
        <v>2737</v>
      </c>
      <c r="C10" s="850" t="s">
        <v>3367</v>
      </c>
      <c r="D10" s="253">
        <v>100</v>
      </c>
      <c r="E10" s="850" t="s">
        <v>3367</v>
      </c>
      <c r="F10" s="852">
        <f>SUMIF(65:65,E10,66:66)-SUMIF(65:65,C10,66:66)+100</f>
        <v>100</v>
      </c>
      <c r="G10" s="850" t="s">
        <v>3367</v>
      </c>
      <c r="H10" s="253">
        <f>SUMIF(65:65,G10,66:66)-SUMIF(65:65,C10,66:66)+100</f>
        <v>100</v>
      </c>
      <c r="I10" s="850" t="s">
        <v>3367</v>
      </c>
      <c r="J10" s="253">
        <f>SUMIF(65:65,I10,66:66)-SUMIF(65:65,C10,66:66)+100</f>
        <v>100</v>
      </c>
      <c r="K10" s="853">
        <v>2</v>
      </c>
      <c r="L10" s="2020"/>
      <c r="M10" s="2059"/>
      <c r="N10" s="2059"/>
      <c r="O10" s="2021"/>
      <c r="P10" s="3630"/>
      <c r="Q10" s="1133" t="str">
        <f t="shared" si="6"/>
        <v>土地使用年限（年）</v>
      </c>
      <c r="R10" s="1502" t="s">
        <v>8</v>
      </c>
      <c r="S10" s="1503">
        <f t="shared" si="0"/>
        <v>100</v>
      </c>
      <c r="T10" s="1502" t="s">
        <v>8</v>
      </c>
      <c r="U10" s="1503">
        <f t="shared" si="1"/>
        <v>100</v>
      </c>
      <c r="V10" s="1502" t="s">
        <v>8</v>
      </c>
      <c r="W10" s="1503">
        <f t="shared" si="2"/>
        <v>100</v>
      </c>
      <c r="X10" s="1504"/>
      <c r="Y10" s="3576"/>
      <c r="Z10" s="1132" t="str">
        <f t="shared" si="7"/>
        <v>土地使用年限（年）</v>
      </c>
      <c r="AA10" s="1505">
        <f t="shared" si="3"/>
        <v>1</v>
      </c>
      <c r="AB10" s="1505">
        <f t="shared" si="4"/>
        <v>1</v>
      </c>
      <c r="AC10" s="1505">
        <f t="shared" si="5"/>
        <v>1</v>
      </c>
    </row>
    <row r="11" spans="1:29" ht="15">
      <c r="A11" s="2633"/>
      <c r="B11" s="2637" t="s">
        <v>2738</v>
      </c>
      <c r="C11" s="527">
        <v>2.5</v>
      </c>
      <c r="D11" s="253">
        <v>100</v>
      </c>
      <c r="E11" s="528">
        <v>2.5</v>
      </c>
      <c r="F11" s="852">
        <f>LOOKUP(E11,68:68,69:69)-LOOKUP(C11,68:68,69:69)+100</f>
        <v>100</v>
      </c>
      <c r="G11" s="527">
        <v>2</v>
      </c>
      <c r="H11" s="253">
        <f>LOOKUP(G11,68:68,69:69)-LOOKUP(C11,68:68,69:69)+100</f>
        <v>101.5</v>
      </c>
      <c r="I11" s="527">
        <v>1.6</v>
      </c>
      <c r="J11" s="253">
        <f>LOOKUP(I11,68:68,69:69)-LOOKUP(C11,68:68,69:69)+100</f>
        <v>103</v>
      </c>
      <c r="K11" s="853">
        <v>1.5</v>
      </c>
      <c r="L11" s="2022"/>
      <c r="M11" s="2016"/>
      <c r="N11" s="2016"/>
      <c r="O11" s="2023"/>
      <c r="P11" s="3630"/>
      <c r="Q11" s="1133" t="str">
        <f t="shared" si="6"/>
        <v>容积率</v>
      </c>
      <c r="R11" s="1502" t="s">
        <v>11</v>
      </c>
      <c r="S11" s="1503">
        <f t="shared" si="0"/>
        <v>100</v>
      </c>
      <c r="T11" s="1502" t="s">
        <v>11</v>
      </c>
      <c r="U11" s="1503">
        <f t="shared" si="1"/>
        <v>101.5</v>
      </c>
      <c r="V11" s="1502" t="s">
        <v>11</v>
      </c>
      <c r="W11" s="1503">
        <f t="shared" si="2"/>
        <v>103</v>
      </c>
      <c r="X11" s="1504"/>
      <c r="Y11" s="3576"/>
      <c r="Z11" s="1132" t="str">
        <f t="shared" si="7"/>
        <v>容积率</v>
      </c>
      <c r="AA11" s="1505">
        <f t="shared" si="3"/>
        <v>1</v>
      </c>
      <c r="AB11" s="1505">
        <f t="shared" si="4"/>
        <v>0.98522167487684731</v>
      </c>
      <c r="AC11" s="1505">
        <f t="shared" si="5"/>
        <v>0.970873786407767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630"/>
      <c r="Q12" s="1133">
        <f t="shared" si="6"/>
        <v>111</v>
      </c>
      <c r="R12" s="1502" t="s">
        <v>11</v>
      </c>
      <c r="S12" s="1503">
        <f t="shared" si="0"/>
        <v>100</v>
      </c>
      <c r="T12" s="1502" t="s">
        <v>11</v>
      </c>
      <c r="U12" s="1503">
        <f t="shared" si="1"/>
        <v>100</v>
      </c>
      <c r="V12" s="1502" t="s">
        <v>11</v>
      </c>
      <c r="W12" s="1503">
        <f t="shared" si="2"/>
        <v>100</v>
      </c>
      <c r="X12" s="1504"/>
      <c r="Y12" s="3576"/>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630"/>
      <c r="Q13" s="1133">
        <f t="shared" si="6"/>
        <v>111</v>
      </c>
      <c r="R13" s="1502" t="s">
        <v>11</v>
      </c>
      <c r="S13" s="1503">
        <f t="shared" si="0"/>
        <v>100</v>
      </c>
      <c r="T13" s="1502" t="s">
        <v>11</v>
      </c>
      <c r="U13" s="1503">
        <f t="shared" si="1"/>
        <v>100</v>
      </c>
      <c r="V13" s="1502" t="s">
        <v>11</v>
      </c>
      <c r="W13" s="1503">
        <f t="shared" si="2"/>
        <v>100</v>
      </c>
      <c r="X13" s="1504"/>
      <c r="Y13" s="3576"/>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630"/>
      <c r="Q14" s="1133">
        <f t="shared" si="6"/>
        <v>111</v>
      </c>
      <c r="R14" s="1502" t="s">
        <v>11</v>
      </c>
      <c r="S14" s="1503">
        <f t="shared" si="0"/>
        <v>100</v>
      </c>
      <c r="T14" s="1502" t="s">
        <v>11</v>
      </c>
      <c r="U14" s="1503">
        <f t="shared" si="1"/>
        <v>100</v>
      </c>
      <c r="V14" s="1502" t="s">
        <v>11</v>
      </c>
      <c r="W14" s="1503">
        <f t="shared" si="2"/>
        <v>100</v>
      </c>
      <c r="X14" s="1504"/>
      <c r="Y14" s="3576"/>
      <c r="Z14" s="1132">
        <f t="shared" si="7"/>
        <v>111</v>
      </c>
      <c r="AA14" s="1505">
        <f t="shared" si="3"/>
        <v>1</v>
      </c>
      <c r="AB14" s="1505">
        <f t="shared" si="4"/>
        <v>1</v>
      </c>
      <c r="AC14" s="1505">
        <f t="shared" si="5"/>
        <v>1</v>
      </c>
    </row>
    <row r="15" spans="1:29" ht="15">
      <c r="A15" s="2627" t="s">
        <v>2734</v>
      </c>
      <c r="B15" s="164" t="s">
        <v>295</v>
      </c>
      <c r="C15" s="856" t="str">
        <f>估价对象房地状况!C3</f>
        <v>一般</v>
      </c>
      <c r="D15" s="543">
        <v>100</v>
      </c>
      <c r="E15" s="544"/>
      <c r="F15" s="545">
        <f>SUMIF(76:76,E16,77:77)-SUMIF(76:76,C16,77:77)+100</f>
        <v>100</v>
      </c>
      <c r="G15" s="546"/>
      <c r="H15" s="543">
        <f>SUMIF(76:76,G16,77:77)-SUMIF(76:76,C16,77:77)+100</f>
        <v>100</v>
      </c>
      <c r="I15" s="544"/>
      <c r="J15" s="543">
        <f>SUMIF(76:76,I16,77:77)-SUMIF(76:76,C16,77:77)+100</f>
        <v>100</v>
      </c>
      <c r="K15" s="857">
        <v>2</v>
      </c>
      <c r="L15" s="2024"/>
      <c r="M15" s="2016"/>
      <c r="N15" s="2016"/>
      <c r="O15" s="2023"/>
      <c r="P15" s="3664" t="s">
        <v>534</v>
      </c>
      <c r="Q15" s="1506" t="str">
        <f t="shared" si="6"/>
        <v>居住社区成熟度</v>
      </c>
      <c r="R15" s="1507" t="s">
        <v>11</v>
      </c>
      <c r="S15" s="1508">
        <f t="shared" si="0"/>
        <v>100</v>
      </c>
      <c r="T15" s="1507" t="s">
        <v>11</v>
      </c>
      <c r="U15" s="1508">
        <f t="shared" si="1"/>
        <v>100</v>
      </c>
      <c r="V15" s="1507" t="s">
        <v>11</v>
      </c>
      <c r="W15" s="1508">
        <f t="shared" si="2"/>
        <v>100</v>
      </c>
      <c r="X15" s="1501"/>
      <c r="Y15" s="3664" t="s">
        <v>534</v>
      </c>
      <c r="Z15" s="1509" t="str">
        <f t="shared" si="7"/>
        <v>居住社区成熟度</v>
      </c>
      <c r="AA15" s="1510">
        <f t="shared" si="3"/>
        <v>1</v>
      </c>
      <c r="AB15" s="1510">
        <f t="shared" si="4"/>
        <v>1</v>
      </c>
      <c r="AC15" s="1510">
        <f t="shared" si="5"/>
        <v>1</v>
      </c>
    </row>
    <row r="16" spans="1:29" ht="15">
      <c r="A16" s="526"/>
      <c r="B16" s="858"/>
      <c r="C16" s="570" t="s">
        <v>3301</v>
      </c>
      <c r="D16" s="549"/>
      <c r="E16" s="570" t="s">
        <v>3301</v>
      </c>
      <c r="F16" s="551"/>
      <c r="G16" s="570" t="s">
        <v>3301</v>
      </c>
      <c r="H16" s="553"/>
      <c r="I16" s="570" t="s">
        <v>3301</v>
      </c>
      <c r="J16" s="549"/>
      <c r="K16" s="859"/>
      <c r="L16" s="2024"/>
      <c r="M16" s="2016"/>
      <c r="N16" s="2016"/>
      <c r="O16" s="2023"/>
      <c r="P16" s="3665"/>
      <c r="Q16" s="1506"/>
      <c r="R16" s="1507"/>
      <c r="S16" s="1508"/>
      <c r="T16" s="1507"/>
      <c r="U16" s="1508"/>
      <c r="V16" s="1507"/>
      <c r="W16" s="1508"/>
      <c r="X16" s="1501"/>
      <c r="Y16" s="3665"/>
      <c r="Z16" s="1509"/>
      <c r="AA16" s="1510">
        <v>1</v>
      </c>
      <c r="AB16" s="1510">
        <v>1</v>
      </c>
      <c r="AC16" s="1510">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57">
        <v>2</v>
      </c>
      <c r="L17" s="2024"/>
      <c r="M17" s="2016"/>
      <c r="N17" s="2016"/>
      <c r="O17" s="2023"/>
      <c r="P17" s="3665"/>
      <c r="Q17" s="1506" t="str">
        <f>B17</f>
        <v>交通便捷度</v>
      </c>
      <c r="R17" s="1507" t="s">
        <v>11</v>
      </c>
      <c r="S17" s="1508">
        <f>F17</f>
        <v>100</v>
      </c>
      <c r="T17" s="1507" t="s">
        <v>11</v>
      </c>
      <c r="U17" s="1508">
        <f>H17</f>
        <v>100</v>
      </c>
      <c r="V17" s="1507" t="s">
        <v>11</v>
      </c>
      <c r="W17" s="1508">
        <f>J17</f>
        <v>100</v>
      </c>
      <c r="X17" s="1501"/>
      <c r="Y17" s="3665"/>
      <c r="Z17" s="1509" t="str">
        <f>Q17</f>
        <v>交通便捷度</v>
      </c>
      <c r="AA17" s="1510">
        <f t="shared" si="3"/>
        <v>1</v>
      </c>
      <c r="AB17" s="1510">
        <f t="shared" si="4"/>
        <v>1</v>
      </c>
      <c r="AC17" s="1510">
        <f t="shared" si="5"/>
        <v>1</v>
      </c>
    </row>
    <row r="18" spans="1:29" ht="15">
      <c r="A18" s="526"/>
      <c r="B18" s="589"/>
      <c r="C18" s="862" t="s">
        <v>3301</v>
      </c>
      <c r="D18" s="553"/>
      <c r="E18" s="862" t="s">
        <v>3301</v>
      </c>
      <c r="F18" s="557"/>
      <c r="G18" s="862" t="s">
        <v>3301</v>
      </c>
      <c r="H18" s="549"/>
      <c r="I18" s="862" t="s">
        <v>3301</v>
      </c>
      <c r="J18" s="549"/>
      <c r="K18" s="859"/>
      <c r="L18" s="2024"/>
      <c r="M18" s="2016"/>
      <c r="N18" s="2016"/>
      <c r="O18" s="2023"/>
      <c r="P18" s="3665"/>
      <c r="Q18" s="1506"/>
      <c r="R18" s="1507"/>
      <c r="S18" s="1508"/>
      <c r="T18" s="1507"/>
      <c r="U18" s="1508"/>
      <c r="V18" s="1507"/>
      <c r="W18" s="1508"/>
      <c r="X18" s="1501"/>
      <c r="Y18" s="3665"/>
      <c r="Z18" s="1509"/>
      <c r="AA18" s="1510">
        <v>1</v>
      </c>
      <c r="AB18" s="1510">
        <v>1</v>
      </c>
      <c r="AC18" s="1510">
        <v>1</v>
      </c>
    </row>
    <row r="19" spans="1:29" ht="15">
      <c r="A19" s="526"/>
      <c r="B19" s="2444" t="s">
        <v>2527</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57">
        <v>2</v>
      </c>
      <c r="L19" s="2024"/>
      <c r="M19" s="2016"/>
      <c r="N19" s="2016"/>
      <c r="O19" s="2023"/>
      <c r="P19" s="3665"/>
      <c r="Q19" s="1506" t="str">
        <f>B19</f>
        <v>公共配套设施</v>
      </c>
      <c r="R19" s="1507" t="s">
        <v>11</v>
      </c>
      <c r="S19" s="1508">
        <f>F19</f>
        <v>100</v>
      </c>
      <c r="T19" s="1507" t="s">
        <v>11</v>
      </c>
      <c r="U19" s="1508">
        <f>H19</f>
        <v>100</v>
      </c>
      <c r="V19" s="1507" t="s">
        <v>11</v>
      </c>
      <c r="W19" s="1508">
        <f>J19</f>
        <v>100</v>
      </c>
      <c r="X19" s="1501"/>
      <c r="Y19" s="3665"/>
      <c r="Z19" s="1509" t="str">
        <f>Q19</f>
        <v>公共配套设施</v>
      </c>
      <c r="AA19" s="1510">
        <f t="shared" si="3"/>
        <v>1</v>
      </c>
      <c r="AB19" s="1510">
        <f t="shared" si="4"/>
        <v>1</v>
      </c>
      <c r="AC19" s="1510">
        <f t="shared" si="5"/>
        <v>1</v>
      </c>
    </row>
    <row r="20" spans="1:29" ht="15">
      <c r="A20" s="526"/>
      <c r="B20" s="589"/>
      <c r="C20" s="570" t="s">
        <v>3301</v>
      </c>
      <c r="D20" s="549"/>
      <c r="E20" s="570" t="s">
        <v>3301</v>
      </c>
      <c r="F20" s="551"/>
      <c r="G20" s="570" t="s">
        <v>3301</v>
      </c>
      <c r="H20" s="549"/>
      <c r="I20" s="570" t="s">
        <v>3301</v>
      </c>
      <c r="J20" s="549"/>
      <c r="K20" s="859"/>
      <c r="L20" s="2024"/>
      <c r="M20" s="2016"/>
      <c r="N20" s="2016"/>
      <c r="O20" s="2023"/>
      <c r="P20" s="3665"/>
      <c r="Q20" s="1506"/>
      <c r="R20" s="1507"/>
      <c r="S20" s="1508"/>
      <c r="T20" s="1507"/>
      <c r="U20" s="1508"/>
      <c r="V20" s="1507"/>
      <c r="W20" s="1508"/>
      <c r="X20" s="1501"/>
      <c r="Y20" s="3665"/>
      <c r="Z20" s="1509"/>
      <c r="AA20" s="1510">
        <v>1</v>
      </c>
      <c r="AB20" s="1510">
        <v>1</v>
      </c>
      <c r="AC20" s="1510">
        <v>1</v>
      </c>
    </row>
    <row r="21" spans="1:29" ht="15">
      <c r="A21" s="526"/>
      <c r="B21" s="2437" t="s">
        <v>2539</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665"/>
      <c r="Q21" s="2429" t="str">
        <f>B21</f>
        <v>基础设施水平</v>
      </c>
      <c r="R21" s="1507" t="s">
        <v>11</v>
      </c>
      <c r="S21" s="1508">
        <f>F21</f>
        <v>100</v>
      </c>
      <c r="T21" s="1507" t="s">
        <v>11</v>
      </c>
      <c r="U21" s="1508">
        <f>H21</f>
        <v>100</v>
      </c>
      <c r="V21" s="1507" t="s">
        <v>11</v>
      </c>
      <c r="W21" s="1508">
        <f>J21</f>
        <v>100</v>
      </c>
      <c r="X21" s="2431"/>
      <c r="Y21" s="3665"/>
      <c r="Z21" s="2430" t="str">
        <f>Q21</f>
        <v>基础设施水平</v>
      </c>
      <c r="AA21" s="1510">
        <f t="shared" ref="AA21" si="8">D21/F21</f>
        <v>1</v>
      </c>
      <c r="AB21" s="1510">
        <f t="shared" ref="AB21" si="9">D21/H21</f>
        <v>1</v>
      </c>
      <c r="AC21" s="1510">
        <f t="shared" ref="AC21" si="10">D21/J21</f>
        <v>1</v>
      </c>
    </row>
    <row r="22" spans="1:29" ht="15">
      <c r="A22" s="526"/>
      <c r="B22" s="910"/>
      <c r="C22" s="862" t="s">
        <v>3303</v>
      </c>
      <c r="D22" s="549"/>
      <c r="E22" s="862" t="s">
        <v>3303</v>
      </c>
      <c r="F22" s="551"/>
      <c r="G22" s="862" t="s">
        <v>3303</v>
      </c>
      <c r="H22" s="549"/>
      <c r="I22" s="862" t="s">
        <v>3303</v>
      </c>
      <c r="J22" s="549"/>
      <c r="K22" s="2443"/>
      <c r="L22" s="2024"/>
      <c r="M22" s="2016"/>
      <c r="N22" s="2016"/>
      <c r="O22" s="2023"/>
      <c r="P22" s="3665"/>
      <c r="Q22" s="2429"/>
      <c r="R22" s="1507"/>
      <c r="S22" s="1508"/>
      <c r="T22" s="1507"/>
      <c r="U22" s="1508"/>
      <c r="V22" s="1507"/>
      <c r="W22" s="1508"/>
      <c r="X22" s="2431"/>
      <c r="Y22" s="3665"/>
      <c r="Z22" s="2430"/>
      <c r="AA22" s="1510">
        <v>1</v>
      </c>
      <c r="AB22" s="1510">
        <v>1</v>
      </c>
      <c r="AC22" s="1510">
        <v>1</v>
      </c>
    </row>
    <row r="23" spans="1:29" ht="15">
      <c r="A23" s="526"/>
      <c r="B23" s="860" t="s">
        <v>297</v>
      </c>
      <c r="C23" s="861"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665"/>
      <c r="Q23" s="1506" t="str">
        <f>B23</f>
        <v>自然及人文环境</v>
      </c>
      <c r="R23" s="1507" t="s">
        <v>11</v>
      </c>
      <c r="S23" s="1508">
        <f>F23</f>
        <v>100</v>
      </c>
      <c r="T23" s="1507" t="s">
        <v>11</v>
      </c>
      <c r="U23" s="1508">
        <f>H23</f>
        <v>100</v>
      </c>
      <c r="V23" s="1507" t="s">
        <v>11</v>
      </c>
      <c r="W23" s="1508">
        <f>J23</f>
        <v>100</v>
      </c>
      <c r="X23" s="1501"/>
      <c r="Y23" s="3665"/>
      <c r="Z23" s="1509" t="str">
        <f>Q23</f>
        <v>自然及人文环境</v>
      </c>
      <c r="AA23" s="1510">
        <f t="shared" si="3"/>
        <v>1</v>
      </c>
      <c r="AB23" s="1510">
        <f t="shared" si="4"/>
        <v>1</v>
      </c>
      <c r="AC23" s="1510">
        <f t="shared" si="5"/>
        <v>1</v>
      </c>
    </row>
    <row r="24" spans="1:29" ht="15">
      <c r="A24" s="526"/>
      <c r="B24" s="589"/>
      <c r="C24" s="570" t="s">
        <v>3301</v>
      </c>
      <c r="D24" s="549"/>
      <c r="E24" s="550" t="s">
        <v>3301</v>
      </c>
      <c r="F24" s="551"/>
      <c r="G24" s="552" t="s">
        <v>3301</v>
      </c>
      <c r="H24" s="549"/>
      <c r="I24" s="550" t="s">
        <v>3301</v>
      </c>
      <c r="J24" s="549"/>
      <c r="K24" s="859"/>
      <c r="L24" s="2024"/>
      <c r="M24" s="2016"/>
      <c r="N24" s="2016"/>
      <c r="O24" s="2023"/>
      <c r="P24" s="3665"/>
      <c r="Q24" s="1506"/>
      <c r="R24" s="1507"/>
      <c r="S24" s="1508"/>
      <c r="T24" s="1507"/>
      <c r="U24" s="1508"/>
      <c r="V24" s="1507"/>
      <c r="W24" s="1508"/>
      <c r="X24" s="1501"/>
      <c r="Y24" s="3665"/>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665"/>
      <c r="Q25" s="1506" t="str">
        <f t="shared" ref="Q25:Q46" si="11">B25</f>
        <v>楼层-1</v>
      </c>
      <c r="R25" s="1507" t="s">
        <v>11</v>
      </c>
      <c r="S25" s="1508">
        <f>F25</f>
        <v>100</v>
      </c>
      <c r="T25" s="1507" t="s">
        <v>11</v>
      </c>
      <c r="U25" s="1508">
        <f>H25</f>
        <v>100</v>
      </c>
      <c r="V25" s="1507" t="s">
        <v>11</v>
      </c>
      <c r="W25" s="1508">
        <f>J25</f>
        <v>100</v>
      </c>
      <c r="X25" s="1501"/>
      <c r="Y25" s="3665"/>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665"/>
      <c r="Q26" s="1506" t="str">
        <f t="shared" si="11"/>
        <v>朝向</v>
      </c>
      <c r="R26" s="1507" t="s">
        <v>11</v>
      </c>
      <c r="S26" s="1508">
        <f>F26</f>
        <v>100</v>
      </c>
      <c r="T26" s="1507" t="s">
        <v>11</v>
      </c>
      <c r="U26" s="1508">
        <f>H26</f>
        <v>100</v>
      </c>
      <c r="V26" s="1507" t="s">
        <v>11</v>
      </c>
      <c r="W26" s="1508">
        <f>J26</f>
        <v>100</v>
      </c>
      <c r="X26" s="1501"/>
      <c r="Y26" s="3665"/>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665"/>
      <c r="Q27" s="1133" t="str">
        <f t="shared" si="11"/>
        <v>道路级别</v>
      </c>
      <c r="R27" s="1502" t="s">
        <v>11</v>
      </c>
      <c r="S27" s="1503">
        <f>F27</f>
        <v>100</v>
      </c>
      <c r="T27" s="1502" t="s">
        <v>11</v>
      </c>
      <c r="U27" s="1503">
        <f>H27</f>
        <v>100</v>
      </c>
      <c r="V27" s="1502" t="s">
        <v>11</v>
      </c>
      <c r="W27" s="1503">
        <f>J27</f>
        <v>100</v>
      </c>
      <c r="X27" s="1504"/>
      <c r="Y27" s="3665"/>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665"/>
      <c r="Q28" s="1506">
        <f t="shared" si="11"/>
        <v>111</v>
      </c>
      <c r="R28" s="1507" t="s">
        <v>11</v>
      </c>
      <c r="S28" s="1508">
        <f t="shared" ref="S28:S46" si="12">F28</f>
        <v>100</v>
      </c>
      <c r="T28" s="1507" t="s">
        <v>11</v>
      </c>
      <c r="U28" s="1508">
        <f t="shared" ref="U28:U46" si="13">H28</f>
        <v>100</v>
      </c>
      <c r="V28" s="1507" t="s">
        <v>11</v>
      </c>
      <c r="W28" s="1508">
        <f t="shared" ref="W28:W46" si="14">J28</f>
        <v>100</v>
      </c>
      <c r="X28" s="1501"/>
      <c r="Y28" s="3665"/>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665"/>
      <c r="Q29" s="1506">
        <f t="shared" si="11"/>
        <v>111</v>
      </c>
      <c r="R29" s="1507" t="s">
        <v>11</v>
      </c>
      <c r="S29" s="1508">
        <f t="shared" si="12"/>
        <v>100</v>
      </c>
      <c r="T29" s="1507" t="s">
        <v>11</v>
      </c>
      <c r="U29" s="1508">
        <f t="shared" si="13"/>
        <v>100</v>
      </c>
      <c r="V29" s="1507" t="s">
        <v>11</v>
      </c>
      <c r="W29" s="1508">
        <f t="shared" si="14"/>
        <v>100</v>
      </c>
      <c r="X29" s="1501"/>
      <c r="Y29" s="366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665"/>
      <c r="Q30" s="1506">
        <f t="shared" si="11"/>
        <v>111</v>
      </c>
      <c r="R30" s="1507" t="s">
        <v>11</v>
      </c>
      <c r="S30" s="1508">
        <f t="shared" si="12"/>
        <v>100</v>
      </c>
      <c r="T30" s="1507" t="s">
        <v>11</v>
      </c>
      <c r="U30" s="1508">
        <f t="shared" si="13"/>
        <v>100</v>
      </c>
      <c r="V30" s="1507" t="s">
        <v>11</v>
      </c>
      <c r="W30" s="1508">
        <f t="shared" si="14"/>
        <v>100</v>
      </c>
      <c r="X30" s="1501"/>
      <c r="Y30" s="3665"/>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665"/>
      <c r="Q31" s="1506">
        <f t="shared" si="11"/>
        <v>111</v>
      </c>
      <c r="R31" s="1507" t="s">
        <v>11</v>
      </c>
      <c r="S31" s="1508">
        <f t="shared" si="12"/>
        <v>100</v>
      </c>
      <c r="T31" s="1507" t="s">
        <v>11</v>
      </c>
      <c r="U31" s="1508">
        <f t="shared" si="13"/>
        <v>100</v>
      </c>
      <c r="V31" s="1507" t="s">
        <v>11</v>
      </c>
      <c r="W31" s="1508">
        <f t="shared" si="14"/>
        <v>100</v>
      </c>
      <c r="X31" s="1501"/>
      <c r="Y31" s="3665"/>
      <c r="Z31" s="1509">
        <f t="shared" si="15"/>
        <v>111</v>
      </c>
      <c r="AA31" s="1510">
        <f t="shared" si="3"/>
        <v>1</v>
      </c>
      <c r="AB31" s="1510">
        <f t="shared" si="4"/>
        <v>1</v>
      </c>
      <c r="AC31" s="1510">
        <f t="shared" si="5"/>
        <v>1</v>
      </c>
    </row>
    <row r="32" spans="1:29" ht="15">
      <c r="A32" s="2624" t="s">
        <v>2735</v>
      </c>
      <c r="B32" s="170" t="s">
        <v>719</v>
      </c>
      <c r="C32" s="867" t="s">
        <v>3346</v>
      </c>
      <c r="D32" s="591">
        <v>100</v>
      </c>
      <c r="E32" s="867" t="s">
        <v>3346</v>
      </c>
      <c r="F32" s="569">
        <f>SUMIF(100:100,E32,101:101)-SUMIF(100:100,C32,101:101)+100</f>
        <v>100</v>
      </c>
      <c r="G32" s="867" t="s">
        <v>3346</v>
      </c>
      <c r="H32" s="591">
        <f>SUMIF(100:100,G32,101:101)-SUMIF(100:100,C32,101:101)+100</f>
        <v>100</v>
      </c>
      <c r="I32" s="867" t="s">
        <v>3346</v>
      </c>
      <c r="J32" s="534">
        <f>SUMIF(100:100,I32,101:101)-SUMIF(100:100,C32,101:101)+100</f>
        <v>100</v>
      </c>
      <c r="K32" s="853">
        <v>2</v>
      </c>
      <c r="L32" s="2024"/>
      <c r="M32" s="2016"/>
      <c r="N32" s="2016"/>
      <c r="O32" s="2023"/>
      <c r="P32" s="3666" t="s">
        <v>544</v>
      </c>
      <c r="Q32" s="1506" t="str">
        <f t="shared" si="11"/>
        <v>建筑类型</v>
      </c>
      <c r="R32" s="1507" t="s">
        <v>11</v>
      </c>
      <c r="S32" s="1508">
        <f t="shared" si="12"/>
        <v>100</v>
      </c>
      <c r="T32" s="1507" t="s">
        <v>11</v>
      </c>
      <c r="U32" s="1508">
        <f t="shared" si="13"/>
        <v>100</v>
      </c>
      <c r="V32" s="1507" t="s">
        <v>11</v>
      </c>
      <c r="W32" s="1508">
        <f t="shared" si="14"/>
        <v>100</v>
      </c>
      <c r="X32" s="1501"/>
      <c r="Y32" s="3667" t="s">
        <v>544</v>
      </c>
      <c r="Z32" s="1509" t="str">
        <f t="shared" si="15"/>
        <v>建筑类型</v>
      </c>
      <c r="AA32" s="1510">
        <f t="shared" si="3"/>
        <v>1</v>
      </c>
      <c r="AB32" s="1510">
        <f t="shared" si="4"/>
        <v>1</v>
      </c>
      <c r="AC32" s="1510">
        <f t="shared" si="5"/>
        <v>1</v>
      </c>
    </row>
    <row r="33" spans="1:29" s="1292" customFormat="1" ht="15">
      <c r="A33" s="597"/>
      <c r="B33" s="521" t="s">
        <v>720</v>
      </c>
      <c r="C33" s="868">
        <f>'数据-汇总表'!E31</f>
        <v>218404.75999999998</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667"/>
      <c r="Q33" s="1535" t="str">
        <f t="shared" si="11"/>
        <v>项目建筑规模</v>
      </c>
      <c r="R33" s="1511" t="s">
        <v>11</v>
      </c>
      <c r="S33" s="1512">
        <f t="shared" si="12"/>
        <v>100</v>
      </c>
      <c r="T33" s="1511" t="s">
        <v>11</v>
      </c>
      <c r="U33" s="1512">
        <f t="shared" si="13"/>
        <v>102</v>
      </c>
      <c r="V33" s="1511" t="s">
        <v>11</v>
      </c>
      <c r="W33" s="1512">
        <f t="shared" si="14"/>
        <v>103</v>
      </c>
      <c r="X33" s="1513"/>
      <c r="Y33" s="3667"/>
      <c r="Z33" s="1514" t="str">
        <f t="shared" si="15"/>
        <v>项目建筑规模</v>
      </c>
      <c r="AA33" s="1510">
        <f t="shared" si="3"/>
        <v>1</v>
      </c>
      <c r="AB33" s="1510">
        <f t="shared" si="4"/>
        <v>0.98039215686274506</v>
      </c>
      <c r="AC33" s="1510">
        <f t="shared" si="5"/>
        <v>0.970873786407767</v>
      </c>
    </row>
    <row r="34" spans="1:29" ht="15">
      <c r="A34" s="588"/>
      <c r="B34" s="521" t="s">
        <v>721</v>
      </c>
      <c r="C34" s="869" t="s">
        <v>3029</v>
      </c>
      <c r="D34" s="534">
        <v>100</v>
      </c>
      <c r="E34" s="869" t="s">
        <v>3029</v>
      </c>
      <c r="F34" s="569">
        <f>SUMIF(105:105,E34,106:106)-SUMIF(105:105,C34,106:106)+100</f>
        <v>100</v>
      </c>
      <c r="G34" s="869" t="s">
        <v>3029</v>
      </c>
      <c r="H34" s="534">
        <f>SUMIF(105:105,G34,106:106)-SUMIF(105:105,C34,106:106)+100</f>
        <v>100</v>
      </c>
      <c r="I34" s="869" t="s">
        <v>3029</v>
      </c>
      <c r="J34" s="534">
        <f>SUMIF(105:105,I34,106:106)-SUMIF(105:105,C34,106:106)+100</f>
        <v>100</v>
      </c>
      <c r="K34" s="853">
        <v>2</v>
      </c>
      <c r="L34" s="2024"/>
      <c r="M34" s="2016"/>
      <c r="N34" s="2016"/>
      <c r="O34" s="2023"/>
      <c r="P34" s="3667"/>
      <c r="Q34" s="1506" t="str">
        <f t="shared" si="11"/>
        <v>建筑结构</v>
      </c>
      <c r="R34" s="1507" t="s">
        <v>11</v>
      </c>
      <c r="S34" s="1508">
        <f t="shared" si="12"/>
        <v>100</v>
      </c>
      <c r="T34" s="1507" t="s">
        <v>11</v>
      </c>
      <c r="U34" s="1508">
        <f t="shared" si="13"/>
        <v>100</v>
      </c>
      <c r="V34" s="1507" t="s">
        <v>11</v>
      </c>
      <c r="W34" s="1508">
        <f t="shared" si="14"/>
        <v>100</v>
      </c>
      <c r="X34" s="1501"/>
      <c r="Y34" s="3667"/>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667"/>
      <c r="Q35" s="1506" t="str">
        <f t="shared" si="11"/>
        <v>建筑品质</v>
      </c>
      <c r="R35" s="1507" t="s">
        <v>11</v>
      </c>
      <c r="S35" s="1508">
        <f t="shared" si="12"/>
        <v>100</v>
      </c>
      <c r="T35" s="1507" t="s">
        <v>11</v>
      </c>
      <c r="U35" s="1508">
        <f t="shared" si="13"/>
        <v>100</v>
      </c>
      <c r="V35" s="1507" t="s">
        <v>11</v>
      </c>
      <c r="W35" s="1508">
        <f t="shared" si="14"/>
        <v>100</v>
      </c>
      <c r="X35" s="1501"/>
      <c r="Y35" s="3667"/>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667"/>
      <c r="Q36" s="1506" t="str">
        <f t="shared" si="11"/>
        <v>公共部分装修</v>
      </c>
      <c r="R36" s="1507" t="s">
        <v>11</v>
      </c>
      <c r="S36" s="1508">
        <f t="shared" si="12"/>
        <v>100</v>
      </c>
      <c r="T36" s="1507" t="s">
        <v>11</v>
      </c>
      <c r="U36" s="1508">
        <f t="shared" si="13"/>
        <v>100</v>
      </c>
      <c r="V36" s="1507" t="s">
        <v>11</v>
      </c>
      <c r="W36" s="1508">
        <f t="shared" si="14"/>
        <v>100</v>
      </c>
      <c r="X36" s="1501"/>
      <c r="Y36" s="3667"/>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7"/>
      <c r="M37" s="2018"/>
      <c r="N37" s="2018"/>
      <c r="O37" s="2019"/>
      <c r="P37" s="3667"/>
      <c r="Q37" s="1133" t="str">
        <f t="shared" si="11"/>
        <v>成新度</v>
      </c>
      <c r="R37" s="1502" t="s">
        <v>11</v>
      </c>
      <c r="S37" s="1503">
        <f t="shared" si="12"/>
        <v>100</v>
      </c>
      <c r="T37" s="1502" t="s">
        <v>11</v>
      </c>
      <c r="U37" s="1503">
        <f t="shared" si="13"/>
        <v>100</v>
      </c>
      <c r="V37" s="1502" t="s">
        <v>11</v>
      </c>
      <c r="W37" s="1503">
        <f t="shared" si="14"/>
        <v>100</v>
      </c>
      <c r="X37" s="1504"/>
      <c r="Y37" s="3667"/>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667" t="s">
        <v>544</v>
      </c>
      <c r="Q38" s="1506" t="str">
        <f t="shared" si="11"/>
        <v>物业管理</v>
      </c>
      <c r="R38" s="1507" t="s">
        <v>11</v>
      </c>
      <c r="S38" s="1508">
        <f t="shared" si="12"/>
        <v>100</v>
      </c>
      <c r="T38" s="1507" t="s">
        <v>11</v>
      </c>
      <c r="U38" s="1508">
        <f t="shared" si="13"/>
        <v>100</v>
      </c>
      <c r="V38" s="1507" t="s">
        <v>11</v>
      </c>
      <c r="W38" s="1508">
        <f t="shared" si="14"/>
        <v>100</v>
      </c>
      <c r="X38" s="1501"/>
      <c r="Y38" s="3667"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667"/>
      <c r="Q39" s="1506" t="str">
        <f t="shared" si="11"/>
        <v>市政基础设施</v>
      </c>
      <c r="R39" s="1507" t="s">
        <v>11</v>
      </c>
      <c r="S39" s="1508">
        <f t="shared" si="12"/>
        <v>100</v>
      </c>
      <c r="T39" s="1507" t="s">
        <v>11</v>
      </c>
      <c r="U39" s="1508">
        <f t="shared" si="13"/>
        <v>100</v>
      </c>
      <c r="V39" s="1507" t="s">
        <v>11</v>
      </c>
      <c r="W39" s="1508">
        <f t="shared" si="14"/>
        <v>100</v>
      </c>
      <c r="X39" s="1501"/>
      <c r="Y39" s="3667"/>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667"/>
      <c r="Q40" s="1506" t="str">
        <f t="shared" si="11"/>
        <v>房型</v>
      </c>
      <c r="R40" s="1507" t="s">
        <v>11</v>
      </c>
      <c r="S40" s="1508">
        <f t="shared" si="12"/>
        <v>100</v>
      </c>
      <c r="T40" s="1507" t="s">
        <v>11</v>
      </c>
      <c r="U40" s="1508">
        <f t="shared" si="13"/>
        <v>100</v>
      </c>
      <c r="V40" s="1507" t="s">
        <v>11</v>
      </c>
      <c r="W40" s="1508">
        <f t="shared" si="14"/>
        <v>100</v>
      </c>
      <c r="X40" s="1501"/>
      <c r="Y40" s="3667"/>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667"/>
      <c r="Q41" s="1535" t="str">
        <f t="shared" si="11"/>
        <v>单套/主力户型建筑面积</v>
      </c>
      <c r="R41" s="1511" t="s">
        <v>11</v>
      </c>
      <c r="S41" s="1512">
        <f t="shared" si="12"/>
        <v>100</v>
      </c>
      <c r="T41" s="1511" t="s">
        <v>11</v>
      </c>
      <c r="U41" s="1512">
        <f t="shared" si="13"/>
        <v>100</v>
      </c>
      <c r="V41" s="1511" t="s">
        <v>11</v>
      </c>
      <c r="W41" s="1512">
        <f t="shared" si="14"/>
        <v>100</v>
      </c>
      <c r="X41" s="1513"/>
      <c r="Y41" s="3667"/>
      <c r="Z41" s="1514" t="str">
        <f t="shared" si="15"/>
        <v>单套/主力户型建筑面积</v>
      </c>
      <c r="AA41" s="1510">
        <f t="shared" si="3"/>
        <v>1</v>
      </c>
      <c r="AB41" s="1510">
        <f t="shared" si="4"/>
        <v>1</v>
      </c>
      <c r="AC41" s="1510">
        <f t="shared" si="5"/>
        <v>1</v>
      </c>
    </row>
    <row r="42" spans="1:29" ht="15">
      <c r="A42" s="588"/>
      <c r="B42" s="521" t="s">
        <v>728</v>
      </c>
      <c r="C42" s="593" t="s">
        <v>3350</v>
      </c>
      <c r="D42" s="534">
        <v>100</v>
      </c>
      <c r="E42" s="863" t="s">
        <v>3352</v>
      </c>
      <c r="F42" s="569">
        <f>SUMIF(122:122,E42,123:123)-SUMIF(122:122,C42,123:123)+100</f>
        <v>85</v>
      </c>
      <c r="G42" s="593" t="s">
        <v>3352</v>
      </c>
      <c r="H42" s="534">
        <f>SUMIF(122:122,G42,123:123)-SUMIF(122:122,C42,123:123)+100</f>
        <v>85</v>
      </c>
      <c r="I42" s="863" t="s">
        <v>3350</v>
      </c>
      <c r="J42" s="534">
        <f>SUMIF(122:122,I42,123:123)-SUMIF(122:122,C42,123:123)+100</f>
        <v>100</v>
      </c>
      <c r="K42" s="853">
        <v>5</v>
      </c>
      <c r="L42" s="2024"/>
      <c r="M42" s="2016"/>
      <c r="N42" s="2016"/>
      <c r="O42" s="2023"/>
      <c r="P42" s="3667"/>
      <c r="Q42" s="1506" t="str">
        <f t="shared" si="11"/>
        <v>内部装修</v>
      </c>
      <c r="R42" s="1507" t="s">
        <v>11</v>
      </c>
      <c r="S42" s="1508">
        <f t="shared" si="12"/>
        <v>85</v>
      </c>
      <c r="T42" s="1507" t="s">
        <v>11</v>
      </c>
      <c r="U42" s="1508">
        <f t="shared" si="13"/>
        <v>85</v>
      </c>
      <c r="V42" s="1507" t="s">
        <v>11</v>
      </c>
      <c r="W42" s="1508">
        <f t="shared" si="14"/>
        <v>100</v>
      </c>
      <c r="X42" s="1501"/>
      <c r="Y42" s="3667"/>
      <c r="Z42" s="1509" t="str">
        <f t="shared" si="15"/>
        <v>内部装修</v>
      </c>
      <c r="AA42" s="1510">
        <f t="shared" si="3"/>
        <v>1.1764705882352942</v>
      </c>
      <c r="AB42" s="1510">
        <f t="shared" si="4"/>
        <v>1.1764705882352942</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667"/>
      <c r="Q43" s="1506" t="str">
        <f t="shared" si="11"/>
        <v>内部装修维护情况</v>
      </c>
      <c r="R43" s="1507" t="s">
        <v>11</v>
      </c>
      <c r="S43" s="1508">
        <f t="shared" si="12"/>
        <v>100</v>
      </c>
      <c r="T43" s="1507" t="s">
        <v>11</v>
      </c>
      <c r="U43" s="1508">
        <f t="shared" si="13"/>
        <v>100</v>
      </c>
      <c r="V43" s="1507" t="s">
        <v>11</v>
      </c>
      <c r="W43" s="1508">
        <f t="shared" si="14"/>
        <v>100</v>
      </c>
      <c r="X43" s="1501"/>
      <c r="Y43" s="3667"/>
      <c r="Z43" s="1509" t="str">
        <f t="shared" si="15"/>
        <v>内部装修维护情况</v>
      </c>
      <c r="AA43" s="1510">
        <f t="shared" si="3"/>
        <v>1</v>
      </c>
      <c r="AB43" s="1510">
        <f t="shared" si="4"/>
        <v>1</v>
      </c>
      <c r="AC43" s="1510">
        <f t="shared" si="5"/>
        <v>1</v>
      </c>
    </row>
    <row r="44" spans="1:29" s="1202" customFormat="1" ht="15">
      <c r="A44" s="594"/>
      <c r="B44" s="3444" t="s">
        <v>3355</v>
      </c>
      <c r="C44" s="3445" t="s">
        <v>3356</v>
      </c>
      <c r="D44" s="253">
        <v>100</v>
      </c>
      <c r="E44" s="3445" t="s">
        <v>3356</v>
      </c>
      <c r="F44" s="852">
        <f>SUMIF(126:126,E44,127:127)-SUMIF(126:126,C44,127:127)+100</f>
        <v>100</v>
      </c>
      <c r="G44" s="3445" t="s">
        <v>3357</v>
      </c>
      <c r="H44" s="253">
        <f>SUMIF(126:126,G44,127:127)-SUMIF(126:126,C44,127:127)+100</f>
        <v>120</v>
      </c>
      <c r="I44" s="3445" t="s">
        <v>3356</v>
      </c>
      <c r="J44" s="253">
        <f>SUMIF(126:126,I44,127:127)-SUMIF(126:126,C44,127:127)+100</f>
        <v>100</v>
      </c>
      <c r="K44" s="854"/>
      <c r="L44" s="2017"/>
      <c r="M44" s="2018"/>
      <c r="N44" s="2018"/>
      <c r="O44" s="2019"/>
      <c r="P44" s="3667"/>
      <c r="Q44" s="1133" t="str">
        <f t="shared" si="11"/>
        <v>赠送面积</v>
      </c>
      <c r="R44" s="1502" t="s">
        <v>11</v>
      </c>
      <c r="S44" s="1503">
        <f t="shared" si="12"/>
        <v>100</v>
      </c>
      <c r="T44" s="1502" t="s">
        <v>11</v>
      </c>
      <c r="U44" s="1503">
        <f t="shared" si="13"/>
        <v>120</v>
      </c>
      <c r="V44" s="1502" t="s">
        <v>11</v>
      </c>
      <c r="W44" s="1503">
        <f t="shared" si="14"/>
        <v>100</v>
      </c>
      <c r="X44" s="1504"/>
      <c r="Y44" s="3667"/>
      <c r="Z44" s="1132" t="str">
        <f t="shared" si="15"/>
        <v>赠送面积</v>
      </c>
      <c r="AA44" s="1505">
        <f t="shared" si="3"/>
        <v>1</v>
      </c>
      <c r="AB44" s="1505">
        <f t="shared" si="4"/>
        <v>0.83333333333333337</v>
      </c>
      <c r="AC44" s="1505">
        <f t="shared" si="5"/>
        <v>1</v>
      </c>
    </row>
    <row r="45" spans="1:29" ht="15">
      <c r="A45" s="588"/>
      <c r="B45" s="3444" t="s">
        <v>3359</v>
      </c>
      <c r="C45" s="3446" t="s">
        <v>3360</v>
      </c>
      <c r="D45" s="534">
        <v>100</v>
      </c>
      <c r="E45" s="3446" t="s">
        <v>3360</v>
      </c>
      <c r="F45" s="569">
        <f>SUMIF(128:128,E45,129:129)-SUMIF(128:128,C45,129:129)+100</f>
        <v>100</v>
      </c>
      <c r="G45" s="3446" t="s">
        <v>3360</v>
      </c>
      <c r="H45" s="534">
        <f>SUMIF(128:128,G45,129:129)-SUMIF(128:128,C45,129:129)+100</f>
        <v>100</v>
      </c>
      <c r="I45" s="3446" t="s">
        <v>3366</v>
      </c>
      <c r="J45" s="534">
        <f>SUMIF(128:128,I45,129:129)-SUMIF(128:128,C45,129:129)+100</f>
        <v>85</v>
      </c>
      <c r="K45" s="854"/>
      <c r="L45" s="2024"/>
      <c r="M45" s="2016"/>
      <c r="N45" s="2016"/>
      <c r="O45" s="2023"/>
      <c r="P45" s="3667"/>
      <c r="Q45" s="1506" t="str">
        <f t="shared" si="11"/>
        <v>尾盘</v>
      </c>
      <c r="R45" s="1507" t="s">
        <v>11</v>
      </c>
      <c r="S45" s="1508">
        <f t="shared" si="12"/>
        <v>100</v>
      </c>
      <c r="T45" s="1507" t="s">
        <v>11</v>
      </c>
      <c r="U45" s="1508">
        <f t="shared" si="13"/>
        <v>100</v>
      </c>
      <c r="V45" s="1507" t="s">
        <v>11</v>
      </c>
      <c r="W45" s="1508">
        <f t="shared" si="14"/>
        <v>85</v>
      </c>
      <c r="X45" s="1501"/>
      <c r="Y45" s="3667"/>
      <c r="Z45" s="1509" t="str">
        <f t="shared" si="15"/>
        <v>尾盘</v>
      </c>
      <c r="AA45" s="1510">
        <f t="shared" si="3"/>
        <v>1</v>
      </c>
      <c r="AB45" s="1510">
        <f t="shared" si="4"/>
        <v>1</v>
      </c>
      <c r="AC45" s="1510">
        <f t="shared" si="5"/>
        <v>1.1764705882352942</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726"/>
      <c r="Q46" s="1506">
        <f t="shared" si="11"/>
        <v>111</v>
      </c>
      <c r="R46" s="1507" t="s">
        <v>10</v>
      </c>
      <c r="S46" s="1508">
        <f t="shared" si="12"/>
        <v>100</v>
      </c>
      <c r="T46" s="1507" t="s">
        <v>10</v>
      </c>
      <c r="U46" s="1508">
        <f t="shared" si="13"/>
        <v>100</v>
      </c>
      <c r="V46" s="1507" t="s">
        <v>10</v>
      </c>
      <c r="W46" s="1508">
        <f t="shared" si="14"/>
        <v>100</v>
      </c>
      <c r="X46" s="1501"/>
      <c r="Y46" s="3726"/>
      <c r="Z46" s="1509">
        <f t="shared" si="15"/>
        <v>111</v>
      </c>
      <c r="AA46" s="1510">
        <f t="shared" si="3"/>
        <v>1</v>
      </c>
      <c r="AB46" s="1510">
        <f t="shared" si="4"/>
        <v>1</v>
      </c>
      <c r="AC46" s="1510">
        <f t="shared" si="5"/>
        <v>1</v>
      </c>
    </row>
    <row r="47" spans="1:29" ht="15">
      <c r="A47" s="601" t="s">
        <v>730</v>
      </c>
      <c r="B47" s="875"/>
      <c r="C47" s="2470" t="s">
        <v>9</v>
      </c>
      <c r="D47" s="2471"/>
      <c r="E47" s="2472">
        <v>8100</v>
      </c>
      <c r="F47" s="2473"/>
      <c r="G47" s="2474">
        <v>10000</v>
      </c>
      <c r="H47" s="2475"/>
      <c r="I47" s="2472">
        <v>7600</v>
      </c>
      <c r="J47" s="2475"/>
      <c r="K47" s="1536"/>
      <c r="L47" s="2026"/>
      <c r="M47" s="2027"/>
      <c r="N47" s="2016"/>
      <c r="O47" s="2027"/>
      <c r="P47" s="3630" t="str">
        <f>A47</f>
        <v>成交单价（元/平方米）</v>
      </c>
      <c r="Q47" s="3630"/>
      <c r="R47" s="3725">
        <f>E47</f>
        <v>8100</v>
      </c>
      <c r="S47" s="3725"/>
      <c r="T47" s="3725">
        <f>G47</f>
        <v>10000</v>
      </c>
      <c r="U47" s="3725"/>
      <c r="V47" s="3725">
        <f>I47</f>
        <v>7600</v>
      </c>
      <c r="W47" s="3725"/>
      <c r="X47" s="1496"/>
      <c r="Y47" s="1515"/>
      <c r="Z47" s="1496"/>
      <c r="AA47" s="1496"/>
      <c r="AB47" s="1496"/>
      <c r="AC47" s="1496"/>
    </row>
    <row r="48" spans="1:29" ht="15.75" thickBot="1">
      <c r="A48" s="609" t="s">
        <v>2740</v>
      </c>
      <c r="B48" s="876"/>
      <c r="C48" s="2476">
        <f>R49</f>
        <v>9142</v>
      </c>
      <c r="D48" s="3013" t="s">
        <v>2963</v>
      </c>
      <c r="E48" s="2477">
        <f>R48</f>
        <v>9529</v>
      </c>
      <c r="F48" s="3014"/>
      <c r="G48" s="2476">
        <f>T48</f>
        <v>9470</v>
      </c>
      <c r="H48" s="3014"/>
      <c r="I48" s="2477">
        <f>V48</f>
        <v>8428</v>
      </c>
      <c r="J48" s="3014"/>
      <c r="K48" s="3022">
        <f>F48+H48+J48</f>
        <v>0</v>
      </c>
      <c r="L48" s="2026"/>
      <c r="M48" s="2027"/>
      <c r="N48" s="2027"/>
      <c r="O48" s="2027"/>
      <c r="P48" s="3630" t="str">
        <f>A48</f>
        <v>比较价格（元/平方米）</v>
      </c>
      <c r="Q48" s="3630"/>
      <c r="R48" s="3725">
        <f>IF(F1="售价",ROUND(PRODUCT(R47,AA7:AA46),0),ROUND(PRODUCT(R47,AA7:AA46),1))</f>
        <v>9529</v>
      </c>
      <c r="S48" s="3725"/>
      <c r="T48" s="3725">
        <f>IF(F1="售价",ROUND(PRODUCT(T47,AB7:AB46),0),ROUND(PRODUCT(T47,AB7:AB46),1))</f>
        <v>9470</v>
      </c>
      <c r="U48" s="3725"/>
      <c r="V48" s="3725">
        <f>IF(F1="售价",ROUND(PRODUCT(V47,AC7:AC46),0),ROUND(PRODUCT(V47,AC7:AC46),1))</f>
        <v>8428</v>
      </c>
      <c r="W48" s="3725"/>
      <c r="X48" s="1496"/>
      <c r="Y48" s="1496"/>
      <c r="Z48" s="1496"/>
      <c r="AA48" s="1496"/>
      <c r="AB48" s="1496"/>
      <c r="AC48" s="1496"/>
    </row>
    <row r="49" spans="1:29" ht="15.75" thickBot="1">
      <c r="A49" s="613" t="s">
        <v>2895</v>
      </c>
      <c r="B49" s="614"/>
      <c r="C49" s="2478">
        <f>R49</f>
        <v>9142</v>
      </c>
      <c r="D49" s="2478"/>
      <c r="E49" s="2478"/>
      <c r="F49" s="2478"/>
      <c r="G49" s="2478"/>
      <c r="H49" s="2478"/>
      <c r="I49" s="2478"/>
      <c r="J49" s="2478"/>
      <c r="K49" s="1537"/>
      <c r="L49" s="2026"/>
      <c r="M49" s="2027"/>
      <c r="N49" s="2027"/>
      <c r="O49" s="2027"/>
      <c r="P49" s="3627" t="str">
        <f>A49</f>
        <v>估价对象XX用房的比较价格（楼面单价，元/平方米）</v>
      </c>
      <c r="Q49" s="3628"/>
      <c r="R49" s="3724">
        <f>IF(F1="售价",ROUND(IF(D48="简单平均",AVERAGE(R48:V48),R48*F48+T48*H48+V48*J48),0),ROUND(IF(D48="简单平均",AVERAGE(R48:V48),R48*F48+T48*H48+V48*J48),1))</f>
        <v>9142</v>
      </c>
      <c r="S49" s="3724"/>
      <c r="T49" s="3724"/>
      <c r="U49" s="3724"/>
      <c r="V49" s="3724"/>
      <c r="W49" s="3724"/>
      <c r="X49" s="1496"/>
      <c r="Y49" s="1496"/>
      <c r="Z49" s="1496"/>
      <c r="AA49" s="1496"/>
      <c r="AB49" s="1496"/>
      <c r="AC49" s="1496"/>
    </row>
    <row r="50" spans="1:29">
      <c r="A50" s="3212"/>
      <c r="B50" s="3212"/>
      <c r="C50" s="3212"/>
      <c r="D50" s="3212"/>
      <c r="E50" s="3212">
        <f>F42/100*E47-E47</f>
        <v>-1215</v>
      </c>
      <c r="F50" s="3212"/>
      <c r="G50" s="3212">
        <f>H42/100*G47-G47</f>
        <v>-1500</v>
      </c>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f>IF(E47&lt;E48,E48/E47-1,E47/E48-1)</f>
        <v>0.17641975308641977</v>
      </c>
      <c r="F52" s="619" t="str">
        <f>IF(OR(E52&gt;=0.3,E52&lt;=-0.3),"超过30%","")</f>
        <v/>
      </c>
      <c r="G52" s="618">
        <f>IF(G47&lt;G48,G48/G47-1,G47/G48-1)</f>
        <v>5.5966209081309337E-2</v>
      </c>
      <c r="H52" s="619" t="str">
        <f>IF(OR(G52&gt;=0.3,G52&lt;=-0.3),"超过30%","")</f>
        <v/>
      </c>
      <c r="I52" s="618">
        <f>IF(I47&lt;I48,I48/I47-1,I47/I48-1)</f>
        <v>0.10894736842105268</v>
      </c>
      <c r="J52" s="619" t="str">
        <f>IF(OR(I52&gt;=0.3,I52&lt;=-0.3),"超过30%","")</f>
        <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f>IF(E48&lt;G48,G48/E48-1,E48/G48-1)</f>
        <v>6.2302006335797078E-3</v>
      </c>
      <c r="F53" s="619" t="str">
        <f>IF(OR(E53&gt;=0.2,E53&lt;=-0.2),"超过20%","")</f>
        <v/>
      </c>
      <c r="G53" s="618">
        <f>IF(G48&lt;I48,I48/G48-1,G48/I48-1)</f>
        <v>0.12363550071191276</v>
      </c>
      <c r="H53" s="619" t="str">
        <f>IF(OR(G53&gt;=0.2,G53&lt;=-0.2),"超过20%","")</f>
        <v/>
      </c>
      <c r="I53" s="618">
        <f>IF(I48&lt;E48,E48/I48-1,I48/E48-1)</f>
        <v>0.13063597532036075</v>
      </c>
      <c r="J53" s="619" t="str">
        <f>IF(OR(I53&gt;=0.2,I53&lt;=-0.2),"超过20%","")</f>
        <v/>
      </c>
      <c r="K53" s="3215"/>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3"/>
      <c r="B54" s="3213"/>
      <c r="C54" s="616" t="s">
        <v>553</v>
      </c>
      <c r="D54" s="620"/>
      <c r="E54" s="618">
        <f>IF(E47&lt;G47,G47/E47-1,E47/G47-1)</f>
        <v>0.23456790123456783</v>
      </c>
      <c r="F54" s="619" t="str">
        <f>IF(OR(E54&gt;=0.3,E54&lt;=-0.3),"超过30%","")</f>
        <v/>
      </c>
      <c r="G54" s="618">
        <f>IF(G47&lt;I47,I47/G47-1,G47/I47-1)</f>
        <v>0.31578947368421062</v>
      </c>
      <c r="H54" s="619" t="str">
        <f>IF(OR(G54&gt;=0.3,G54&lt;=-0.3),"超过30%","")</f>
        <v>超过30%</v>
      </c>
      <c r="I54" s="618">
        <f>IF(I47&lt;E47,E47/I47-1,I47/E47-1)</f>
        <v>6.578947368421062E-2</v>
      </c>
      <c r="J54" s="619" t="str">
        <f>IF(OR(I54&gt;=0.3,I54&lt;=-0.3),"超过30%","")</f>
        <v/>
      </c>
      <c r="K54" s="3216"/>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2020-11</v>
      </c>
      <c r="D58" s="2521">
        <f>EDATE(C58,-1)</f>
        <v>44105</v>
      </c>
      <c r="E58" s="2521">
        <f t="shared" ref="E58:O58" si="16">EDATE(D58,-1)</f>
        <v>44075</v>
      </c>
      <c r="F58" s="2521">
        <f t="shared" si="16"/>
        <v>44044</v>
      </c>
      <c r="G58" s="2521">
        <f t="shared" si="16"/>
        <v>44013</v>
      </c>
      <c r="H58" s="2521">
        <f t="shared" si="16"/>
        <v>43983</v>
      </c>
      <c r="I58" s="2521">
        <f t="shared" si="16"/>
        <v>43952</v>
      </c>
      <c r="J58" s="2521">
        <f t="shared" si="16"/>
        <v>43922</v>
      </c>
      <c r="K58" s="2521">
        <f t="shared" si="16"/>
        <v>43891</v>
      </c>
      <c r="L58" s="2521">
        <f t="shared" si="16"/>
        <v>43862</v>
      </c>
      <c r="M58" s="2521">
        <f t="shared" si="16"/>
        <v>43831</v>
      </c>
      <c r="N58" s="2521">
        <f t="shared" si="16"/>
        <v>43800</v>
      </c>
      <c r="O58" s="2521">
        <f t="shared" si="16"/>
        <v>43770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98.5</v>
      </c>
      <c r="E69" s="671">
        <f t="shared" si="19"/>
        <v>97</v>
      </c>
      <c r="F69" s="671">
        <f t="shared" si="19"/>
        <v>95.5</v>
      </c>
      <c r="G69" s="671">
        <f t="shared" si="19"/>
        <v>94</v>
      </c>
      <c r="H69" s="671">
        <f t="shared" si="19"/>
        <v>92.5</v>
      </c>
      <c r="I69" s="671">
        <f t="shared" si="19"/>
        <v>91</v>
      </c>
      <c r="J69" s="671">
        <f t="shared" si="19"/>
        <v>89.5</v>
      </c>
      <c r="K69" s="671">
        <f t="shared" si="19"/>
        <v>88</v>
      </c>
      <c r="L69" s="671">
        <f t="shared" si="19"/>
        <v>86.5</v>
      </c>
      <c r="M69" s="672">
        <f t="shared" si="19"/>
        <v>85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426" t="s">
        <v>3345</v>
      </c>
      <c r="D100" s="3426" t="s">
        <v>3348</v>
      </c>
      <c r="E100" s="3426" t="s">
        <v>3347</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428" t="s">
        <v>3349</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428" t="s">
        <v>3351</v>
      </c>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428" t="s">
        <v>3324</v>
      </c>
      <c r="D122" s="3428" t="s">
        <v>3325</v>
      </c>
      <c r="E122" s="3428" t="s">
        <v>3326</v>
      </c>
      <c r="F122" s="3427" t="s">
        <v>3327</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95</v>
      </c>
      <c r="E123" s="671">
        <f t="shared" si="29"/>
        <v>90</v>
      </c>
      <c r="F123" s="671">
        <f t="shared" si="29"/>
        <v>85</v>
      </c>
      <c r="G123" s="671">
        <f t="shared" si="29"/>
        <v>80</v>
      </c>
      <c r="H123" s="671">
        <f t="shared" si="29"/>
        <v>75</v>
      </c>
      <c r="I123" s="671">
        <f t="shared" si="29"/>
        <v>70</v>
      </c>
      <c r="J123" s="671">
        <f t="shared" si="29"/>
        <v>65</v>
      </c>
      <c r="K123" s="671">
        <f t="shared" si="29"/>
        <v>60</v>
      </c>
      <c r="L123" s="671">
        <f t="shared" si="29"/>
        <v>55</v>
      </c>
      <c r="M123" s="671">
        <f t="shared" si="29"/>
        <v>50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428" t="s">
        <v>3356</v>
      </c>
      <c r="D126" s="3428" t="s">
        <v>3357</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t="str">
        <f>B45</f>
        <v>尾盘</v>
      </c>
      <c r="C128" s="3428" t="s">
        <v>3361</v>
      </c>
      <c r="D128" s="3428" t="s">
        <v>3360</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115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8" sqref="M8"/>
    </sheetView>
  </sheetViews>
  <sheetFormatPr defaultRowHeight="13.5"/>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C14" sqref="C1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3023</v>
      </c>
      <c r="D1" s="3448" t="s">
        <v>3364</v>
      </c>
      <c r="E1" s="2242" t="s">
        <v>2358</v>
      </c>
      <c r="F1" s="2243">
        <f ca="1">J53</f>
        <v>37</v>
      </c>
      <c r="G1" s="3257">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8379</v>
      </c>
      <c r="C2" s="3262"/>
      <c r="D2" s="3263"/>
      <c r="E2" s="3264"/>
      <c r="F2" s="3264"/>
      <c r="G2" s="3258"/>
      <c r="H2" s="1940"/>
      <c r="I2" s="1940"/>
      <c r="J2" s="1940"/>
      <c r="K2" s="1941"/>
      <c r="L2" s="1940"/>
      <c r="M2" s="1940"/>
    </row>
    <row r="3" spans="1:33" ht="18" customHeight="1" thickBot="1">
      <c r="A3" s="822" t="s">
        <v>1717</v>
      </c>
      <c r="B3" s="823">
        <f ca="1">IF(ISERROR(B2*10000/F43),0,ROUND(B2*10000/F43,0))</f>
        <v>1480</v>
      </c>
      <c r="C3" s="3262"/>
      <c r="D3" s="3263"/>
      <c r="E3" s="3264"/>
      <c r="F3" s="3264"/>
      <c r="G3" s="3258"/>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660</v>
      </c>
      <c r="D5" s="2349" t="s">
        <v>2442</v>
      </c>
      <c r="E5" s="2343"/>
      <c r="F5" s="2344"/>
      <c r="G5" s="1945"/>
      <c r="H5" s="771">
        <v>1</v>
      </c>
      <c r="I5" s="772" t="s">
        <v>2439</v>
      </c>
      <c r="J5" s="55">
        <f ca="1">J6+J10+J12</f>
        <v>0</v>
      </c>
      <c r="K5" s="2349" t="s">
        <v>2442</v>
      </c>
      <c r="L5" s="2343"/>
      <c r="M5" s="2344"/>
    </row>
    <row r="6" spans="1:33" ht="18" customHeight="1">
      <c r="A6" s="1745" t="s">
        <v>1814</v>
      </c>
      <c r="B6" s="3718" t="s">
        <v>2444</v>
      </c>
      <c r="C6" s="773">
        <f ca="1">ROUND(F6*F8*F7*(1-F9)/10000,0)</f>
        <v>660</v>
      </c>
      <c r="D6" s="2350" t="s">
        <v>2443</v>
      </c>
      <c r="E6" s="774" t="s">
        <v>1728</v>
      </c>
      <c r="F6" s="775">
        <f ca="1">INDIRECT("'数据-取费表'!u"&amp;$G$1)</f>
        <v>400</v>
      </c>
      <c r="G6" s="1945"/>
      <c r="H6" s="2357" t="s">
        <v>2449</v>
      </c>
      <c r="I6" s="3718" t="s">
        <v>2444</v>
      </c>
      <c r="J6" s="773">
        <f ca="1">ROUND(M6*M8*M7*(1-M9)/10000,0)</f>
        <v>0</v>
      </c>
      <c r="K6" s="339" t="s">
        <v>1727</v>
      </c>
      <c r="L6" s="774" t="s">
        <v>1728</v>
      </c>
      <c r="M6" s="775">
        <f ca="1">INDIRECT("'数据-取费表'!z"&amp;$G$1)</f>
        <v>0</v>
      </c>
    </row>
    <row r="7" spans="1:33" ht="18" customHeight="1">
      <c r="A7" s="2353"/>
      <c r="B7" s="3719"/>
      <c r="C7" s="778"/>
      <c r="D7" s="779"/>
      <c r="E7" s="774" t="s">
        <v>1729</v>
      </c>
      <c r="F7" s="775">
        <f ca="1">IF(INDIRECT("'数据-取费表'!ah"&amp;$G$1)="",INDIRECT("'数据-取费表'!k"&amp;$G$1),INDIRECT("'数据-取费表'!ah"&amp;$G$1))</f>
        <v>1618</v>
      </c>
      <c r="G7" s="1945"/>
      <c r="H7" s="2342"/>
      <c r="I7" s="3719"/>
      <c r="J7" s="778"/>
      <c r="K7" s="779"/>
      <c r="L7" s="774" t="s">
        <v>1729</v>
      </c>
      <c r="M7" s="775">
        <f ca="1">F7</f>
        <v>1618</v>
      </c>
    </row>
    <row r="8" spans="1:33" ht="18" customHeight="1">
      <c r="A8" s="2346"/>
      <c r="B8" s="3720"/>
      <c r="C8" s="778"/>
      <c r="D8" s="779"/>
      <c r="E8" s="774" t="s">
        <v>1730</v>
      </c>
      <c r="F8" s="775">
        <f ca="1">INDIRECT("'数据-取费表'!ai"&amp;$G$1)</f>
        <v>12</v>
      </c>
      <c r="G8" s="1945"/>
      <c r="H8" s="2342"/>
      <c r="I8" s="3720"/>
      <c r="J8" s="778"/>
      <c r="K8" s="779"/>
      <c r="L8" s="774" t="s">
        <v>1730</v>
      </c>
      <c r="M8" s="775">
        <f ca="1">INDIRECT("'数据-取费表'!ai"&amp;$G$1)</f>
        <v>12</v>
      </c>
    </row>
    <row r="9" spans="1:33" ht="18" customHeight="1">
      <c r="A9" s="776"/>
      <c r="B9" s="3721"/>
      <c r="C9" s="778"/>
      <c r="D9" s="779"/>
      <c r="E9" s="774" t="s">
        <v>1731</v>
      </c>
      <c r="F9" s="784">
        <f ca="1">INDIRECT("'数据-取费表'!w"&amp;$G$1)</f>
        <v>0.15</v>
      </c>
      <c r="G9" s="1945"/>
      <c r="H9" s="2358"/>
      <c r="I9" s="3720"/>
      <c r="J9" s="778"/>
      <c r="K9" s="779"/>
      <c r="L9" s="785" t="s">
        <v>1731</v>
      </c>
      <c r="M9" s="786">
        <f ca="1">INDIRECT("'数据-取费表'!ab"&amp;$G$1)</f>
        <v>0</v>
      </c>
    </row>
    <row r="10" spans="1:33" ht="18" customHeight="1">
      <c r="A10" s="1745" t="s">
        <v>2447</v>
      </c>
      <c r="B10" s="2347" t="s">
        <v>2440</v>
      </c>
      <c r="C10" s="789">
        <f ca="1">ROUND(IF(F10="押一",C6/12*F11,IF(F10="押二",C6/12*2*F11,IF(F10="押三",C6/12*3*F11,C11*F11))),0)</f>
        <v>0</v>
      </c>
      <c r="D10" s="2354" t="s">
        <v>2930</v>
      </c>
      <c r="E10" s="2351" t="s">
        <v>2445</v>
      </c>
      <c r="F10" s="2465" t="s">
        <v>3027</v>
      </c>
      <c r="G10" s="1945"/>
      <c r="H10" s="2414" t="s">
        <v>2450</v>
      </c>
      <c r="I10" s="2419" t="s">
        <v>2440</v>
      </c>
      <c r="J10" s="773">
        <f ca="1">ROUND(IF(M10="押一",J6/12*M11,IF(M10="押二",J6/12*2*M11,IF(M10="押三",J6/12*3*M11,J11*M11))),0)</f>
        <v>0</v>
      </c>
      <c r="K10" s="2354" t="s">
        <v>2930</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15568</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11325</v>
      </c>
      <c r="D14" s="1893" t="s">
        <v>1735</v>
      </c>
      <c r="E14" s="1894"/>
      <c r="F14" s="795"/>
      <c r="G14" s="1945"/>
      <c r="H14" s="1577" t="s">
        <v>1820</v>
      </c>
      <c r="I14" s="2111" t="s">
        <v>2805</v>
      </c>
      <c r="J14" s="53">
        <f ca="1">C29</f>
        <v>15568</v>
      </c>
      <c r="K14" s="26"/>
      <c r="L14" s="791"/>
      <c r="M14" s="792"/>
    </row>
    <row r="15" spans="1:33" s="1947" customFormat="1" ht="18" customHeight="1" thickBot="1">
      <c r="A15" s="1576" t="s">
        <v>1875</v>
      </c>
      <c r="B15" s="774" t="s">
        <v>641</v>
      </c>
      <c r="C15" s="53">
        <f ca="1">ROUND(C14*F15,0)</f>
        <v>340</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1474</v>
      </c>
      <c r="K16" s="1736" t="s">
        <v>1740</v>
      </c>
      <c r="L16" s="2339"/>
      <c r="M16" s="2344"/>
    </row>
    <row r="17" spans="1:33" s="1947" customFormat="1" ht="18" customHeight="1">
      <c r="A17" s="1576" t="s">
        <v>1877</v>
      </c>
      <c r="B17" s="774" t="s">
        <v>647</v>
      </c>
      <c r="C17" s="53">
        <f ca="1">ROUND(F17*(F43+INDIRECT("'数据-取费表'!S"&amp;$G$1))/10000,0)</f>
        <v>1132</v>
      </c>
      <c r="D17" s="774" t="s">
        <v>1741</v>
      </c>
      <c r="E17" s="774" t="s">
        <v>1742</v>
      </c>
      <c r="F17" s="56">
        <f>'数据-取费表'!B35</f>
        <v>200</v>
      </c>
      <c r="G17" s="3259"/>
      <c r="H17" s="1577" t="s">
        <v>1820</v>
      </c>
      <c r="I17" s="774" t="s">
        <v>650</v>
      </c>
      <c r="J17" s="3018">
        <f ca="1">ROUND(IF(AND(项目基本情况!B11="自然人",项目基本情况!B10="北京市"),J6*M17/(1+'数据-取费表'!C42),J18+J19+J20),0)</f>
        <v>1318</v>
      </c>
      <c r="K17" s="2338" t="s">
        <v>1743</v>
      </c>
      <c r="L17" s="2337" t="s">
        <v>1744</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170</v>
      </c>
      <c r="D18" s="774" t="s">
        <v>1736</v>
      </c>
      <c r="E18" s="774" t="s">
        <v>1737</v>
      </c>
      <c r="F18" s="799">
        <f>'数据-取费表'!B36</f>
        <v>1.4999999999999999E-2</v>
      </c>
      <c r="G18" s="3259"/>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12967</v>
      </c>
      <c r="D19" s="259" t="s">
        <v>1747</v>
      </c>
      <c r="E19" s="1896"/>
      <c r="F19" s="56"/>
      <c r="G19" s="1945"/>
      <c r="H19" s="1576" t="s">
        <v>1875</v>
      </c>
      <c r="I19" s="774" t="s">
        <v>1748</v>
      </c>
      <c r="J19" s="53">
        <f ca="1">IF(K19="按租金收入计税",ROUND(J6*M19/(1+'数据-取费表'!C42),1),ROUND(C29*F33*0.7,1))</f>
        <v>1307.7</v>
      </c>
      <c r="K19" s="800" t="s">
        <v>659</v>
      </c>
      <c r="L19" s="774" t="s">
        <v>1737</v>
      </c>
      <c r="M19" s="799">
        <f>IF(K19="按租金收入计税",'数据-取费表'!B51,'数据-取费表'!B50)</f>
        <v>1.2E-2</v>
      </c>
    </row>
    <row r="20" spans="1:33" s="1947" customFormat="1" ht="18" customHeight="1">
      <c r="A20" s="1577" t="s">
        <v>1879</v>
      </c>
      <c r="B20" s="774" t="s">
        <v>660</v>
      </c>
      <c r="C20" s="53">
        <f ca="1">ROUND(C19*F20,0)</f>
        <v>259</v>
      </c>
      <c r="D20" s="801" t="s">
        <v>1749</v>
      </c>
      <c r="E20" s="774" t="s">
        <v>1737</v>
      </c>
      <c r="F20" s="799">
        <f>'数据-取费表'!B37</f>
        <v>0.02</v>
      </c>
      <c r="G20" s="3259"/>
      <c r="H20" s="1579" t="s">
        <v>1870</v>
      </c>
      <c r="I20" s="339" t="s">
        <v>1750</v>
      </c>
      <c r="J20" s="54">
        <f ca="1">ROUND(M20*M21/10000,0)</f>
        <v>10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16777.32</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156</v>
      </c>
      <c r="K22" s="2337" t="s">
        <v>1759</v>
      </c>
      <c r="L22" s="774" t="s">
        <v>1737</v>
      </c>
      <c r="M22" s="806">
        <f ca="1">INDIRECT("'数据-取费表'!Ak"&amp;$G$1)</f>
        <v>0.01</v>
      </c>
    </row>
    <row r="23" spans="1:33" s="1947" customFormat="1" ht="18" customHeight="1">
      <c r="A23" s="1576" t="s">
        <v>1821</v>
      </c>
      <c r="B23" s="774" t="s">
        <v>2516</v>
      </c>
      <c r="C23" s="53">
        <f ca="1">ROUND(IF('数据-取费表'!B22&lt;=1,(C19+C20)*F24*F23/2,(C19+C20)*(POWER((1+F24),F23/2)-1)),0)</f>
        <v>790</v>
      </c>
      <c r="D23" s="2423" t="str">
        <f>IF(F23&lt;=1,"(建造成本+管理费用)×利率×(建设周期÷2)","(建造成本+管理费用)×((1+利率)^(建设周期÷2)-1)")</f>
        <v>(建造成本+管理费用)×((1+利率)^(建设周期÷2)-1)</v>
      </c>
      <c r="E23" s="774" t="s">
        <v>1760</v>
      </c>
      <c r="F23" s="632">
        <f>'数据-取费表'!B20</f>
        <v>2.5</v>
      </c>
      <c r="G23" s="3259"/>
      <c r="H23" s="1577" t="s">
        <v>1880</v>
      </c>
      <c r="I23" s="774" t="s">
        <v>673</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1.1999999999999999E-3</v>
      </c>
      <c r="D24" s="2423" t="str">
        <f>IF(F23&lt;=1,"销售费用×利率×(建设周期÷2)","销售费用×((1+利率)^(建设周期÷2)-1)")</f>
        <v>销售费用×((1+利率)^(建设周期÷2)-1)</v>
      </c>
      <c r="E24" s="774" t="s">
        <v>1763</v>
      </c>
      <c r="F24" s="808">
        <f ca="1">'数据-取费表'!B40</f>
        <v>4.7500000000000001E-2</v>
      </c>
      <c r="G24" s="3259"/>
      <c r="H24" s="2404" t="s">
        <v>1881</v>
      </c>
      <c r="I24" s="2399" t="s">
        <v>660</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2801</v>
      </c>
      <c r="J25" s="782">
        <f ca="1">J5-J16</f>
        <v>-1474</v>
      </c>
      <c r="K25" s="2401" t="s">
        <v>1767</v>
      </c>
      <c r="L25" s="2402"/>
      <c r="M25" s="2403"/>
    </row>
    <row r="26" spans="1:33" ht="18" customHeight="1">
      <c r="A26" s="1576" t="s">
        <v>1821</v>
      </c>
      <c r="B26" s="774" t="s">
        <v>2421</v>
      </c>
      <c r="C26" s="53">
        <f ca="1">ROUND((C19+C20)*F26,0)</f>
        <v>397</v>
      </c>
      <c r="D26" s="801" t="s">
        <v>1768</v>
      </c>
      <c r="E26" s="785" t="s">
        <v>1769</v>
      </c>
      <c r="F26" s="784">
        <f ca="1">INDIRECT("'数据-取费表'!q"&amp;$G$1)</f>
        <v>0.03</v>
      </c>
      <c r="G26" s="1945"/>
      <c r="H26" s="2355" t="s">
        <v>1770</v>
      </c>
      <c r="I26" s="2112" t="s">
        <v>2806</v>
      </c>
      <c r="J26" s="773">
        <f ca="1">IF(J5&lt;&gt;0,ROUND(J25*(1-((1+M28)/(1+M26))^M27)/(M26-M28),0),0)</f>
        <v>0</v>
      </c>
      <c r="K26" s="803" t="s">
        <v>1771</v>
      </c>
      <c r="L26" s="774" t="s">
        <v>2403</v>
      </c>
      <c r="M26" s="784">
        <f ca="1">INDIRECT("'数据-取费表'!I"&amp;$G$1)</f>
        <v>4.4999999999999998E-2</v>
      </c>
    </row>
    <row r="27" spans="1:33" ht="18" customHeight="1">
      <c r="A27" s="1576" t="s">
        <v>1822</v>
      </c>
      <c r="B27" s="774" t="s">
        <v>680</v>
      </c>
      <c r="C27" s="53">
        <f ca="1">ROUND(F21*F26,4)</f>
        <v>5.9999999999999995E-4</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15568</v>
      </c>
      <c r="D29" s="2398"/>
      <c r="E29" s="2399"/>
      <c r="F29" s="2400"/>
      <c r="G29" s="3259"/>
      <c r="H29" s="812" t="s">
        <v>1777</v>
      </c>
      <c r="I29" s="813" t="s">
        <v>1778</v>
      </c>
      <c r="J29" s="814">
        <f ca="1">ROUND(J26/(1+F40)^F41,0)</f>
        <v>0</v>
      </c>
      <c r="K29" s="815" t="s">
        <v>1779</v>
      </c>
      <c r="L29" s="816"/>
      <c r="M29" s="817">
        <f ca="1">INDIRECT("'数据-取费表'!k"&amp;$G$1)</f>
        <v>56623.46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306</v>
      </c>
      <c r="D30" s="1736" t="s">
        <v>1781</v>
      </c>
      <c r="E30" s="2339"/>
      <c r="F30" s="2344"/>
      <c r="G30" s="1945"/>
      <c r="H30" s="1948"/>
      <c r="I30" s="1949"/>
      <c r="J30" s="1950"/>
      <c r="K30" s="1951"/>
      <c r="L30" s="1952"/>
      <c r="M30" s="1953"/>
    </row>
    <row r="31" spans="1:33" ht="18" customHeight="1">
      <c r="A31" s="1577" t="s">
        <v>1820</v>
      </c>
      <c r="B31" s="774" t="s">
        <v>650</v>
      </c>
      <c r="C31" s="3018">
        <f ca="1">ROUND(IF(AND(项目基本情况!B11="自然人",项目基本情况!B10="北京市"),C6*F31/(1+'数据-取费表'!C42),C32+C33+C34),0)</f>
        <v>120</v>
      </c>
      <c r="D31" s="1893" t="s">
        <v>1782</v>
      </c>
      <c r="E31" s="1891" t="s">
        <v>1783</v>
      </c>
      <c r="F31" s="3017" t="str">
        <f>IF(项目基本情况!B11="企业","——",IF('数据-取费表'!B10="住宅",IF(F6*F7*F8/12/(1+'数据-取费表'!F30)&gt;100000,4%,2.5%),IF(F6*F7*F8/12/(1+'数据-取费表'!F30)&gt;100000,12%,7%)))</f>
        <v>——</v>
      </c>
      <c r="G31" s="1945"/>
      <c r="H31" s="3256" t="s">
        <v>2989</v>
      </c>
      <c r="I31" s="1949"/>
      <c r="J31" s="1950"/>
      <c r="K31" s="1951"/>
      <c r="L31" s="1952"/>
      <c r="M31" s="1953"/>
    </row>
    <row r="32" spans="1:33" ht="18" customHeight="1">
      <c r="A32" s="1576" t="s">
        <v>1821</v>
      </c>
      <c r="B32" s="774" t="s">
        <v>1784</v>
      </c>
      <c r="C32" s="53">
        <f ca="1">ROUND(C6*F32/(1+'数据-取费表'!C42),1)</f>
        <v>34.6</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75.400000000000006</v>
      </c>
      <c r="D33" s="800" t="s">
        <v>3028</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f ca="1">ROUND(F34*F35/10000,1)</f>
        <v>10.1</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16777.32</v>
      </c>
      <c r="G35" s="1945"/>
      <c r="H35" s="1948"/>
      <c r="I35" s="826" t="s">
        <v>1804</v>
      </c>
      <c r="J35" s="827">
        <f ca="1">ROUND(C13*J36,0)</f>
        <v>1245</v>
      </c>
      <c r="K35" s="1961"/>
      <c r="L35" s="1960"/>
      <c r="M35" s="1960"/>
    </row>
    <row r="36" spans="1:18" ht="18" customHeight="1">
      <c r="A36" s="1577" t="s">
        <v>1879</v>
      </c>
      <c r="B36" s="774" t="s">
        <v>1792</v>
      </c>
      <c r="C36" s="53">
        <f ca="1">ROUND(C29*F36,1)</f>
        <v>155.69999999999999</v>
      </c>
      <c r="D36" s="1891" t="s">
        <v>1793</v>
      </c>
      <c r="E36" s="774" t="s">
        <v>1786</v>
      </c>
      <c r="F36" s="806">
        <f ca="1">INDIRECT("'数据-取费表'!Ak"&amp;$G$1)</f>
        <v>0.01</v>
      </c>
      <c r="G36" s="1945"/>
      <c r="H36" s="1960"/>
      <c r="I36" s="828" t="s">
        <v>1805</v>
      </c>
      <c r="J36" s="829">
        <f ca="1">INDIRECT("'数据-取费表'!j"&amp;$G$1)</f>
        <v>0.08</v>
      </c>
      <c r="K36" s="1964"/>
      <c r="L36" s="1960"/>
      <c r="M36" s="1960"/>
    </row>
    <row r="37" spans="1:18" ht="18" customHeight="1">
      <c r="A37" s="1577" t="s">
        <v>1880</v>
      </c>
      <c r="B37" s="774" t="s">
        <v>673</v>
      </c>
      <c r="C37" s="53">
        <f ca="1">ROUND(C13*F37,1)</f>
        <v>23.4</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660</v>
      </c>
      <c r="C38" s="2397">
        <f ca="1">ROUND(C5*F38,1)</f>
        <v>6.6</v>
      </c>
      <c r="D38" s="2398" t="s">
        <v>1795</v>
      </c>
      <c r="E38" s="2399" t="s">
        <v>1786</v>
      </c>
      <c r="F38" s="2395">
        <f ca="1">INDIRECT("'数据-取费表'!Am"&amp;$G$1)</f>
        <v>0.01</v>
      </c>
      <c r="G38" s="1945"/>
      <c r="H38" s="1960"/>
      <c r="I38" s="832" t="s">
        <v>1807</v>
      </c>
      <c r="J38" s="833"/>
      <c r="K38" s="1965"/>
      <c r="L38" s="1960"/>
      <c r="M38" s="1960"/>
    </row>
    <row r="39" spans="1:18" ht="24.6" customHeight="1" thickTop="1">
      <c r="A39" s="1744" t="s">
        <v>1884</v>
      </c>
      <c r="B39" s="2723" t="s">
        <v>2801</v>
      </c>
      <c r="C39" s="782">
        <f ca="1">C5-C30</f>
        <v>354</v>
      </c>
      <c r="D39" s="2401" t="s">
        <v>1796</v>
      </c>
      <c r="E39" s="2402"/>
      <c r="F39" s="2403"/>
      <c r="G39" s="1945"/>
      <c r="H39" s="1960"/>
      <c r="I39" s="826" t="s">
        <v>1808</v>
      </c>
      <c r="J39" s="834">
        <f ca="1">ROUND(J35/C39,3)</f>
        <v>3.5169999999999999</v>
      </c>
      <c r="K39" s="1965"/>
      <c r="L39" s="1960"/>
      <c r="M39" s="1960"/>
    </row>
    <row r="40" spans="1:18" ht="18" customHeight="1">
      <c r="A40" s="771" t="s">
        <v>1885</v>
      </c>
      <c r="B40" s="2112" t="s">
        <v>2288</v>
      </c>
      <c r="C40" s="773">
        <f ca="1">ROUND(C39*(1-((1+F42)/(1+F40))^F41)/(F40-F42),0)</f>
        <v>8379</v>
      </c>
      <c r="D40" s="803" t="s">
        <v>1797</v>
      </c>
      <c r="E40" s="774" t="s">
        <v>2403</v>
      </c>
      <c r="F40" s="784">
        <f ca="1">INDIRECT("'数据-取费表'!I"&amp;$G$1)</f>
        <v>4.4999999999999998E-2</v>
      </c>
      <c r="G40" s="1945"/>
      <c r="H40" s="1945"/>
      <c r="I40" s="826" t="s">
        <v>1809</v>
      </c>
      <c r="J40" s="834">
        <f ca="1">1-J39</f>
        <v>-2.5169999999999999</v>
      </c>
      <c r="K40" s="1965"/>
      <c r="L40" s="1945"/>
      <c r="M40" s="1945"/>
    </row>
    <row r="41" spans="1:18" ht="18" customHeight="1">
      <c r="A41" s="776"/>
      <c r="B41" s="777"/>
      <c r="C41" s="778"/>
      <c r="D41" s="810" t="s">
        <v>1798</v>
      </c>
      <c r="E41" s="774" t="s">
        <v>2921</v>
      </c>
      <c r="F41" s="811">
        <f ca="1">IF(INDIRECT("'数据-取费表'!af"&amp;$G$1)=0,INDIRECT("'数据-取费表'!ae"&amp;$G$1),INDIRECT("'数据-取费表'!af"&amp;$G$1))</f>
        <v>37</v>
      </c>
      <c r="G41" s="1945"/>
      <c r="H41" s="1900"/>
      <c r="I41" s="832" t="s">
        <v>1810</v>
      </c>
      <c r="J41" s="835"/>
      <c r="K41" s="1964"/>
      <c r="L41" s="1900"/>
      <c r="M41" s="1900"/>
    </row>
    <row r="42" spans="1:18" ht="18" customHeight="1">
      <c r="A42" s="780"/>
      <c r="B42" s="781"/>
      <c r="C42" s="782"/>
      <c r="D42" s="805"/>
      <c r="E42" s="774" t="s">
        <v>1799</v>
      </c>
      <c r="F42" s="784">
        <f ca="1">INDIRECT("'数据-取费表'!v"&amp;$G$1)</f>
        <v>0.02</v>
      </c>
      <c r="G42" s="1945"/>
      <c r="H42" s="1900"/>
      <c r="I42" s="836" t="s">
        <v>1811</v>
      </c>
      <c r="J42" s="834">
        <f ca="1">ROUND(C13/C40,3)</f>
        <v>1.8580000000000001</v>
      </c>
      <c r="K42" s="1964"/>
      <c r="L42" s="1900"/>
      <c r="M42" s="1900"/>
    </row>
    <row r="43" spans="1:18" ht="18" customHeight="1" thickBot="1">
      <c r="A43" s="812" t="s">
        <v>1777</v>
      </c>
      <c r="B43" s="813" t="s">
        <v>1800</v>
      </c>
      <c r="C43" s="814">
        <f ca="1">ROUND(C40*10000/F43,0)</f>
        <v>1480</v>
      </c>
      <c r="D43" s="815" t="s">
        <v>1801</v>
      </c>
      <c r="E43" s="816" t="s">
        <v>1802</v>
      </c>
      <c r="F43" s="817">
        <f ca="1">INDIRECT("'数据-取费表'!k"&amp;$G$1)</f>
        <v>56623.46</v>
      </c>
      <c r="G43" s="1945"/>
      <c r="H43" s="1900"/>
      <c r="I43" s="836" t="s">
        <v>1812</v>
      </c>
      <c r="J43" s="837">
        <f ca="1">1-J42</f>
        <v>-0.8580000000000001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-11755</v>
      </c>
      <c r="D46" s="3260"/>
      <c r="E46" s="3260"/>
      <c r="F46" s="3260"/>
      <c r="I46" s="2233" t="s">
        <v>2327</v>
      </c>
      <c r="J46" s="2234"/>
      <c r="K46" s="2235"/>
      <c r="L46" s="2810">
        <f>IF(OR(M47="住宅",D1="土地（套用方法）"),0,IF(L48&gt;J51,L60,J60))</f>
        <v>0</v>
      </c>
      <c r="M46" s="3261"/>
      <c r="O46" s="2249" t="s">
        <v>2394</v>
      </c>
      <c r="P46" s="1526"/>
      <c r="Q46" s="1534"/>
      <c r="R46" s="1526"/>
    </row>
    <row r="47" spans="1:18" s="1942" customFormat="1" ht="18" customHeight="1" thickBot="1">
      <c r="A47" s="2227">
        <v>1</v>
      </c>
      <c r="B47" s="2228" t="s">
        <v>629</v>
      </c>
      <c r="C47" s="2426">
        <f ca="1">C48+C52+C54</f>
        <v>0</v>
      </c>
      <c r="D47" s="3260"/>
      <c r="E47" s="3260"/>
      <c r="F47" s="3260"/>
      <c r="I47" s="2801" t="s">
        <v>2328</v>
      </c>
      <c r="J47" s="2236" t="s">
        <v>3029</v>
      </c>
      <c r="K47" s="2807" t="s">
        <v>2333</v>
      </c>
      <c r="L47" s="2811">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630</v>
      </c>
      <c r="E48" s="2231" t="s">
        <v>2283</v>
      </c>
      <c r="F48" s="2232"/>
      <c r="G48" s="1972"/>
      <c r="I48" s="2798" t="s">
        <v>2329</v>
      </c>
      <c r="J48" s="2237" t="s">
        <v>2334</v>
      </c>
      <c r="K48" s="2808" t="s">
        <v>2335</v>
      </c>
      <c r="L48" s="1822">
        <f ca="1">INDIRECT("'数据-取费表'!f"&amp;$G$1)</f>
        <v>39.5</v>
      </c>
      <c r="M48" s="3261"/>
      <c r="O48" s="2253" t="s">
        <v>2363</v>
      </c>
      <c r="P48" s="2254" t="s">
        <v>2389</v>
      </c>
      <c r="Q48" s="2255">
        <f ca="1">C40+J29</f>
        <v>8379</v>
      </c>
      <c r="R48" s="2254" t="s">
        <v>2364</v>
      </c>
    </row>
    <row r="49" spans="1:18" s="1942" customFormat="1" ht="18" customHeight="1" thickBot="1">
      <c r="A49" s="776"/>
      <c r="B49" s="777"/>
      <c r="C49" s="778"/>
      <c r="D49" s="779"/>
      <c r="E49" s="774" t="s">
        <v>1729</v>
      </c>
      <c r="F49" s="775">
        <f ca="1">F7</f>
        <v>1618</v>
      </c>
      <c r="G49" s="1972"/>
      <c r="H49" s="1975"/>
      <c r="I49" s="2798" t="s">
        <v>2330</v>
      </c>
      <c r="J49" s="2238">
        <v>2023</v>
      </c>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12</v>
      </c>
      <c r="G50" s="1977"/>
      <c r="H50" s="1975"/>
      <c r="I50" s="2798" t="s">
        <v>2331</v>
      </c>
      <c r="J50" s="2805">
        <f>SUMPRODUCT((I63:I65=J47)*(J62:L62=J48)*(J63:L65))</f>
        <v>60</v>
      </c>
      <c r="K50" s="2809" t="s">
        <v>2337</v>
      </c>
      <c r="L50" s="2239"/>
      <c r="M50" s="3261"/>
      <c r="O50" s="2256" t="s">
        <v>2367</v>
      </c>
      <c r="P50" s="2254" t="s">
        <v>2391</v>
      </c>
      <c r="Q50" s="2255">
        <f ca="1">C29</f>
        <v>15568</v>
      </c>
      <c r="R50" s="2254" t="s">
        <v>2364</v>
      </c>
    </row>
    <row r="51" spans="1:18" s="1942" customFormat="1" ht="18" customHeight="1" thickBot="1">
      <c r="A51" s="776"/>
      <c r="B51" s="777"/>
      <c r="C51" s="778"/>
      <c r="D51" s="779"/>
      <c r="E51" s="774" t="s">
        <v>634</v>
      </c>
      <c r="F51" s="2226"/>
      <c r="H51" s="1975"/>
      <c r="I51" s="2802" t="s">
        <v>2332</v>
      </c>
      <c r="J51" s="2806">
        <f>IF(J49="",J50,J49+J50-YEAR('数据-取费表'!B2))</f>
        <v>63</v>
      </c>
      <c r="K51" s="2798" t="s">
        <v>2338</v>
      </c>
      <c r="L51" s="2812">
        <f ca="1">ROUND(-PV(INDIRECT("'数据-取费表'!h"&amp;$G$1),J51,(C39-C13*J36),0),0)</f>
        <v>-56161</v>
      </c>
      <c r="M51" s="3261"/>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2931</v>
      </c>
      <c r="E52" s="2351" t="s">
        <v>2445</v>
      </c>
      <c r="F52" s="2465"/>
      <c r="I52" s="2803" t="s">
        <v>2405</v>
      </c>
      <c r="J52" s="2240">
        <v>8.5000000000000006E-2</v>
      </c>
      <c r="K52" s="2803" t="s">
        <v>2404</v>
      </c>
      <c r="L52" s="2240"/>
      <c r="M52" s="3261"/>
      <c r="O52" s="2256" t="s">
        <v>2370</v>
      </c>
      <c r="P52" s="2254" t="s">
        <v>2371</v>
      </c>
      <c r="Q52" s="2257">
        <f>J52</f>
        <v>8.5000000000000006E-2</v>
      </c>
      <c r="R52" s="2258"/>
    </row>
    <row r="53" spans="1:18" s="1942" customFormat="1" ht="39.75" customHeight="1" thickBot="1">
      <c r="A53" s="776"/>
      <c r="B53" s="2348" t="s">
        <v>2554</v>
      </c>
      <c r="C53" s="2352"/>
      <c r="D53" s="2354"/>
      <c r="E53" s="2351"/>
      <c r="F53" s="790"/>
      <c r="I53" s="2804" t="s">
        <v>2934</v>
      </c>
      <c r="J53" s="2857">
        <f ca="1">IF(M47="住宅",IF(D1="——",MAX(J51,L48),MAX(J51,L48-'数据-取费表'!B20)),IF(D1="——",MIN(J51,L48),MIN(J51,L48-'数据-取费表'!B20)))</f>
        <v>37</v>
      </c>
      <c r="K53" s="3729" t="s">
        <v>2923</v>
      </c>
      <c r="L53" s="3730"/>
      <c r="M53" s="3261"/>
      <c r="O53" s="2256" t="s">
        <v>2372</v>
      </c>
      <c r="P53" s="2254" t="s">
        <v>2373</v>
      </c>
      <c r="Q53" s="2255">
        <f ca="1">J53</f>
        <v>37</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8379</v>
      </c>
      <c r="R54" s="2258" t="s">
        <v>2376</v>
      </c>
    </row>
    <row r="55" spans="1:18" s="1942" customFormat="1" ht="18" customHeight="1" thickTop="1" thickBot="1">
      <c r="A55" s="787">
        <v>2</v>
      </c>
      <c r="B55" s="788" t="s">
        <v>638</v>
      </c>
      <c r="C55" s="789">
        <f ca="1">C13</f>
        <v>15568</v>
      </c>
      <c r="D55" s="785"/>
      <c r="E55" s="785"/>
      <c r="F55" s="790"/>
      <c r="I55" s="2815" t="s">
        <v>2339</v>
      </c>
      <c r="J55" s="2788" t="e">
        <f ca="1">ROUND(IF(J47="钢混",J57/J50,1-(1-2%)*(J50-J57)/J50),3)</f>
        <v>#VALUE!</v>
      </c>
      <c r="K55" s="2816" t="s">
        <v>2340</v>
      </c>
      <c r="L55" s="2241"/>
      <c r="M55" s="3261"/>
      <c r="O55" s="2259" t="s">
        <v>2395</v>
      </c>
      <c r="P55" s="1526"/>
      <c r="Q55" s="1534"/>
      <c r="R55" s="1526"/>
    </row>
    <row r="56" spans="1:18" s="1942" customFormat="1" ht="42.75" customHeight="1" thickBot="1">
      <c r="A56" s="1578"/>
      <c r="B56" s="2111" t="s">
        <v>2289</v>
      </c>
      <c r="C56" s="53">
        <f ca="1">C29</f>
        <v>15568</v>
      </c>
      <c r="D56" s="2481"/>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645</v>
      </c>
      <c r="C57" s="789">
        <f ca="1">ROUND(C58+C63+C64+C65,0)</f>
        <v>189</v>
      </c>
      <c r="D57" s="26" t="s">
        <v>1740</v>
      </c>
      <c r="E57" s="2482"/>
      <c r="F57" s="56"/>
      <c r="I57" s="2818" t="s">
        <v>2342</v>
      </c>
      <c r="J57" s="2819" t="str">
        <f ca="1">IF(OR(M47="住宅",J51&lt;L48,J56="是"),"——",J51-L48)</f>
        <v>——</v>
      </c>
      <c r="K57" s="2798" t="s">
        <v>2347</v>
      </c>
      <c r="L57" s="1822" t="str">
        <f ca="1">IF(L48&lt;J51,"——",IF(L55="比较法",L49,IF(L55="基准地价",L50,L51)))</f>
        <v>——</v>
      </c>
      <c r="M57" s="3261"/>
      <c r="O57" s="2253" t="s">
        <v>2363</v>
      </c>
      <c r="P57" s="2254" t="s">
        <v>2393</v>
      </c>
      <c r="Q57" s="2255">
        <f ca="1">C40+J29</f>
        <v>8379</v>
      </c>
      <c r="R57" s="2254" t="s">
        <v>2364</v>
      </c>
    </row>
    <row r="58" spans="1:18" s="1942" customFormat="1" ht="28.5" customHeight="1" thickBot="1">
      <c r="A58" s="1577" t="s">
        <v>1814</v>
      </c>
      <c r="B58" s="774" t="s">
        <v>650</v>
      </c>
      <c r="C58" s="3018">
        <f ca="1">ROUND(IF(AND(项目基本情况!B11="自然人",项目基本情况!B10="北京市"),C48*F58/(1+'数据-取费表'!C42),C59+C60+C61),0)</f>
        <v>10</v>
      </c>
      <c r="D58" s="2480" t="s">
        <v>651</v>
      </c>
      <c r="E58" s="2481" t="s">
        <v>684</v>
      </c>
      <c r="F58" s="3017" t="str">
        <f>IF(项目基本情况!B11="企业","——",IF('数据-取费表'!B10="住宅",IF(F48*F49*F50/12/(1+'数据-取费表'!F30)&gt;100000,4%,2.5%),IF(F48*F49*F50/12/(1+'数据-取费表'!F30)&gt;100000,12%,7%)))</f>
        <v>——</v>
      </c>
      <c r="I58" s="2818" t="s">
        <v>2343</v>
      </c>
      <c r="J58" s="2789"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按租金收入计税</v>
      </c>
      <c r="E60" s="774" t="s">
        <v>1737</v>
      </c>
      <c r="F60" s="799">
        <f t="shared" si="0"/>
        <v>0.12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662</v>
      </c>
      <c r="C61" s="54">
        <f ca="1">ROUND(F61*F62/10000,1)</f>
        <v>10.1</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16777.32</v>
      </c>
      <c r="I62" s="2823" t="s">
        <v>2351</v>
      </c>
      <c r="J62" s="2824" t="s">
        <v>2352</v>
      </c>
      <c r="K62" s="2824" t="s">
        <v>2353</v>
      </c>
      <c r="L62" s="2824" t="s">
        <v>2334</v>
      </c>
      <c r="M62" s="2825" t="s">
        <v>2902</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155.69999999999999</v>
      </c>
      <c r="D63" s="2481" t="s">
        <v>1793</v>
      </c>
      <c r="E63" s="774" t="s">
        <v>1737</v>
      </c>
      <c r="F63" s="806">
        <f t="shared" ca="1" si="0"/>
        <v>0.01</v>
      </c>
      <c r="I63" s="2823" t="s">
        <v>2354</v>
      </c>
      <c r="J63" s="2824">
        <v>70</v>
      </c>
      <c r="K63" s="2824">
        <v>50</v>
      </c>
      <c r="L63" s="2824">
        <v>80</v>
      </c>
      <c r="M63" s="2826">
        <v>0.02</v>
      </c>
      <c r="O63" s="2253" t="s">
        <v>2375</v>
      </c>
      <c r="P63" s="2254" t="s">
        <v>2392</v>
      </c>
      <c r="Q63" s="2255">
        <f ca="1">Q57+Q58</f>
        <v>8379</v>
      </c>
      <c r="R63" s="2258" t="s">
        <v>2376</v>
      </c>
    </row>
    <row r="64" spans="1:18" s="1942" customFormat="1" ht="16.5" thickBot="1">
      <c r="A64" s="1577" t="s">
        <v>1880</v>
      </c>
      <c r="B64" s="774" t="s">
        <v>673</v>
      </c>
      <c r="C64" s="53">
        <f ca="1">ROUND(C55*F64,1)</f>
        <v>23.4</v>
      </c>
      <c r="D64" s="2481" t="s">
        <v>674</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4" t="s">
        <v>2801</v>
      </c>
      <c r="C66" s="789">
        <f ca="1">C47-C57</f>
        <v>-189</v>
      </c>
      <c r="D66" s="2480" t="s">
        <v>694</v>
      </c>
      <c r="E66" s="2479"/>
      <c r="F66" s="809"/>
      <c r="K66" s="1968"/>
      <c r="O66" s="2253" t="s">
        <v>2363</v>
      </c>
      <c r="P66" s="2254" t="s">
        <v>2393</v>
      </c>
      <c r="Q66" s="2255">
        <f ca="1">C40+J29</f>
        <v>8379</v>
      </c>
      <c r="R66" s="2254" t="s">
        <v>2364</v>
      </c>
    </row>
    <row r="67" spans="1:18" s="1942" customFormat="1" ht="20.25" thickBot="1">
      <c r="A67" s="771" t="s">
        <v>1770</v>
      </c>
      <c r="B67" s="2112" t="s">
        <v>2288</v>
      </c>
      <c r="C67" s="773">
        <f ca="1">ROUND(C66*(1-((1+F69)/(1+F67))^F68)/(F67-F69),0)</f>
        <v>-3376</v>
      </c>
      <c r="D67" s="803" t="s">
        <v>698</v>
      </c>
      <c r="E67" s="774" t="s">
        <v>699</v>
      </c>
      <c r="F67" s="784">
        <f ca="1">F40</f>
        <v>4.4999999999999998E-2</v>
      </c>
      <c r="K67" s="1968"/>
      <c r="O67" s="2253" t="s">
        <v>2365</v>
      </c>
      <c r="P67" s="2254" t="s">
        <v>2396</v>
      </c>
      <c r="Q67" s="2255">
        <f ca="1">L60</f>
        <v>0</v>
      </c>
      <c r="R67" s="2258" t="s">
        <v>2398</v>
      </c>
    </row>
    <row r="68" spans="1:18" ht="21.75" thickBot="1">
      <c r="A68" s="776"/>
      <c r="B68" s="777"/>
      <c r="C68" s="778"/>
      <c r="D68" s="810" t="s">
        <v>1798</v>
      </c>
      <c r="E68" s="774" t="s">
        <v>1774</v>
      </c>
      <c r="F68" s="811">
        <f ca="1">F41</f>
        <v>37</v>
      </c>
      <c r="O68" s="2256" t="s">
        <v>2367</v>
      </c>
      <c r="P68" s="2254" t="s">
        <v>2397</v>
      </c>
      <c r="Q68" s="2260">
        <f ca="1">L51</f>
        <v>-56161</v>
      </c>
      <c r="R68" s="2261" t="s">
        <v>2400</v>
      </c>
    </row>
    <row r="69" spans="1:18" ht="20.25" thickBot="1">
      <c r="A69" s="780"/>
      <c r="B69" s="781"/>
      <c r="C69" s="782"/>
      <c r="D69" s="805"/>
      <c r="E69" s="774" t="s">
        <v>704</v>
      </c>
      <c r="F69" s="2226"/>
      <c r="O69" s="2256" t="s">
        <v>2368</v>
      </c>
      <c r="P69" s="2262" t="s">
        <v>2382</v>
      </c>
      <c r="Q69" s="2255">
        <f ca="1">ROUND(Q70-Q71*Q72,0)</f>
        <v>-891</v>
      </c>
      <c r="R69" s="2258"/>
    </row>
    <row r="70" spans="1:18" ht="15.75" thickBot="1">
      <c r="A70" s="812" t="s">
        <v>1777</v>
      </c>
      <c r="B70" s="813" t="s">
        <v>1800</v>
      </c>
      <c r="C70" s="814">
        <f ca="1">ROUND(C67*10000/F70,0)</f>
        <v>-596</v>
      </c>
      <c r="D70" s="815" t="s">
        <v>1801</v>
      </c>
      <c r="E70" s="816" t="s">
        <v>1802</v>
      </c>
      <c r="F70" s="817">
        <f ca="1">F43</f>
        <v>56623.46</v>
      </c>
      <c r="O70" s="2256" t="s">
        <v>2383</v>
      </c>
      <c r="P70" s="2262" t="s">
        <v>2384</v>
      </c>
      <c r="Q70" s="2255">
        <f ca="1">C39</f>
        <v>354</v>
      </c>
      <c r="R70" s="2254" t="s">
        <v>2364</v>
      </c>
    </row>
    <row r="71" spans="1:18" ht="15.75" thickBot="1">
      <c r="O71" s="2256" t="s">
        <v>2385</v>
      </c>
      <c r="P71" s="2262" t="s">
        <v>2386</v>
      </c>
      <c r="Q71" s="2255">
        <f ca="1">C13</f>
        <v>15568</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8379</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31" t="s">
        <v>2452</v>
      </c>
      <c r="B1" s="3732"/>
      <c r="C1" s="3733"/>
      <c r="D1" s="3734">
        <f>SUM(I10,I15,I20,I21,I23)</f>
        <v>0</v>
      </c>
      <c r="E1" s="3734"/>
      <c r="F1" s="3734"/>
      <c r="G1" s="3734"/>
      <c r="H1" s="3734"/>
      <c r="I1" s="3735"/>
    </row>
    <row r="2" spans="1:9">
      <c r="A2" s="3736" t="s">
        <v>2453</v>
      </c>
      <c r="B2" s="3737" t="s">
        <v>2454</v>
      </c>
      <c r="C2" s="3737"/>
      <c r="D2" s="2360" t="s">
        <v>2455</v>
      </c>
      <c r="E2" s="2360" t="s">
        <v>2456</v>
      </c>
      <c r="F2" s="2360" t="s">
        <v>2457</v>
      </c>
      <c r="G2" s="2360" t="s">
        <v>2458</v>
      </c>
      <c r="H2" s="2360" t="s">
        <v>2459</v>
      </c>
      <c r="I2" s="2361" t="s">
        <v>2460</v>
      </c>
    </row>
    <row r="3" spans="1:9">
      <c r="A3" s="3736"/>
      <c r="B3" s="3737" t="s">
        <v>2461</v>
      </c>
      <c r="C3" s="3737"/>
      <c r="D3" s="2362"/>
      <c r="E3" s="2360"/>
      <c r="F3" s="2363"/>
      <c r="G3" s="2363"/>
      <c r="H3" s="2364"/>
      <c r="I3" s="2365">
        <f>ROUND(D3*E3*F3*G3*H3/10000,0)</f>
        <v>0</v>
      </c>
    </row>
    <row r="4" spans="1:9">
      <c r="A4" s="3736"/>
      <c r="B4" s="3737" t="s">
        <v>2462</v>
      </c>
      <c r="C4" s="3737"/>
      <c r="D4" s="2362"/>
      <c r="E4" s="2360"/>
      <c r="F4" s="2363"/>
      <c r="G4" s="2363"/>
      <c r="H4" s="2364"/>
      <c r="I4" s="2365">
        <f t="shared" ref="I4:I9" si="0">ROUND(D4*E4*F4*G4*H4/10000,0)</f>
        <v>0</v>
      </c>
    </row>
    <row r="5" spans="1:9">
      <c r="A5" s="3736"/>
      <c r="B5" s="3737" t="s">
        <v>2463</v>
      </c>
      <c r="C5" s="3737"/>
      <c r="D5" s="2362"/>
      <c r="E5" s="2360"/>
      <c r="F5" s="2363"/>
      <c r="G5" s="2363"/>
      <c r="H5" s="2364"/>
      <c r="I5" s="2365">
        <f t="shared" si="0"/>
        <v>0</v>
      </c>
    </row>
    <row r="6" spans="1:9">
      <c r="A6" s="3736"/>
      <c r="B6" s="3737" t="s">
        <v>2464</v>
      </c>
      <c r="C6" s="3737"/>
      <c r="D6" s="2362"/>
      <c r="E6" s="2360"/>
      <c r="F6" s="2363"/>
      <c r="G6" s="2363"/>
      <c r="H6" s="2364"/>
      <c r="I6" s="2365">
        <f t="shared" si="0"/>
        <v>0</v>
      </c>
    </row>
    <row r="7" spans="1:9">
      <c r="A7" s="3736"/>
      <c r="B7" s="3737" t="s">
        <v>2465</v>
      </c>
      <c r="C7" s="3737"/>
      <c r="D7" s="2362"/>
      <c r="E7" s="2360"/>
      <c r="F7" s="2363"/>
      <c r="G7" s="2363"/>
      <c r="H7" s="2364"/>
      <c r="I7" s="2365">
        <f t="shared" si="0"/>
        <v>0</v>
      </c>
    </row>
    <row r="8" spans="1:9">
      <c r="A8" s="3736"/>
      <c r="B8" s="3737" t="s">
        <v>2466</v>
      </c>
      <c r="C8" s="3737"/>
      <c r="D8" s="2362"/>
      <c r="E8" s="2360"/>
      <c r="F8" s="2363"/>
      <c r="G8" s="2363"/>
      <c r="H8" s="2364"/>
      <c r="I8" s="2365">
        <f t="shared" si="0"/>
        <v>0</v>
      </c>
    </row>
    <row r="9" spans="1:9">
      <c r="A9" s="3736"/>
      <c r="B9" s="3737" t="s">
        <v>2467</v>
      </c>
      <c r="C9" s="3737"/>
      <c r="D9" s="2362"/>
      <c r="E9" s="2360"/>
      <c r="F9" s="2363"/>
      <c r="G9" s="2363"/>
      <c r="H9" s="2364"/>
      <c r="I9" s="2365">
        <f t="shared" si="0"/>
        <v>0</v>
      </c>
    </row>
    <row r="10" spans="1:9">
      <c r="A10" s="3736"/>
      <c r="B10" s="3738" t="s">
        <v>2468</v>
      </c>
      <c r="C10" s="3738"/>
      <c r="D10" s="2366">
        <v>527</v>
      </c>
      <c r="E10" s="2366" t="e">
        <f>ROUND(D1*10000/D10/H9,0)</f>
        <v>#DIV/0!</v>
      </c>
      <c r="F10" s="2367"/>
      <c r="G10" s="2367"/>
      <c r="H10" s="2368"/>
      <c r="I10" s="2369">
        <f>SUM(I3:I9)</f>
        <v>0</v>
      </c>
    </row>
    <row r="11" spans="1:9" ht="14.25">
      <c r="A11" s="3736" t="s">
        <v>2469</v>
      </c>
      <c r="B11" s="3737" t="s">
        <v>2470</v>
      </c>
      <c r="C11" s="3737"/>
      <c r="D11" s="2362" t="s">
        <v>2471</v>
      </c>
      <c r="E11" s="2362" t="s">
        <v>2472</v>
      </c>
      <c r="F11" s="2363" t="s">
        <v>2473</v>
      </c>
      <c r="G11" s="2363" t="s">
        <v>2474</v>
      </c>
      <c r="H11" s="2370" t="s">
        <v>2475</v>
      </c>
      <c r="I11" s="2361" t="s">
        <v>2476</v>
      </c>
    </row>
    <row r="12" spans="1:9">
      <c r="A12" s="3736"/>
      <c r="B12" s="3737" t="s">
        <v>2477</v>
      </c>
      <c r="C12" s="3737"/>
      <c r="D12" s="2362"/>
      <c r="E12" s="2362"/>
      <c r="F12" s="2363"/>
      <c r="G12" s="2364"/>
      <c r="H12" s="2371"/>
      <c r="I12" s="2361">
        <f>ROUND(D12*E12*F12*G12/10000,0)</f>
        <v>0</v>
      </c>
    </row>
    <row r="13" spans="1:9">
      <c r="A13" s="3736"/>
      <c r="B13" s="3737" t="s">
        <v>2478</v>
      </c>
      <c r="C13" s="3737"/>
      <c r="D13" s="2362"/>
      <c r="E13" s="2362"/>
      <c r="F13" s="2363"/>
      <c r="G13" s="2364"/>
      <c r="H13" s="2371"/>
      <c r="I13" s="2361">
        <f>ROUND(D13*E13*F13*G13/10000,0)</f>
        <v>0</v>
      </c>
    </row>
    <row r="14" spans="1:9">
      <c r="A14" s="3736"/>
      <c r="B14" s="3737" t="s">
        <v>2479</v>
      </c>
      <c r="C14" s="3737"/>
      <c r="D14" s="2362"/>
      <c r="E14" s="2362"/>
      <c r="F14" s="2363"/>
      <c r="G14" s="2364"/>
      <c r="H14" s="2371"/>
      <c r="I14" s="2361">
        <f>ROUND(D14*E14*F14*G14/10000,0)</f>
        <v>0</v>
      </c>
    </row>
    <row r="15" spans="1:9">
      <c r="A15" s="3736"/>
      <c r="B15" s="3738" t="s">
        <v>2468</v>
      </c>
      <c r="C15" s="3738"/>
      <c r="D15" s="2366"/>
      <c r="E15" s="2366">
        <f>SUM(E12:E14)</f>
        <v>0</v>
      </c>
      <c r="F15" s="2367"/>
      <c r="G15" s="2364"/>
      <c r="H15" s="2371"/>
      <c r="I15" s="2372">
        <f>SUM(I12:I14)</f>
        <v>0</v>
      </c>
    </row>
    <row r="16" spans="1:9" ht="24">
      <c r="A16" s="3736" t="s">
        <v>2480</v>
      </c>
      <c r="B16" s="3737" t="s">
        <v>2481</v>
      </c>
      <c r="C16" s="3737"/>
      <c r="D16" s="2362" t="s">
        <v>2482</v>
      </c>
      <c r="E16" s="2373" t="s">
        <v>2483</v>
      </c>
      <c r="F16" s="2363" t="s">
        <v>2484</v>
      </c>
      <c r="G16" s="2364" t="s">
        <v>2474</v>
      </c>
      <c r="H16" s="2370" t="s">
        <v>2475</v>
      </c>
      <c r="I16" s="2361" t="s">
        <v>2476</v>
      </c>
    </row>
    <row r="17" spans="1:9" ht="14.25">
      <c r="A17" s="3736"/>
      <c r="B17" s="3737" t="s">
        <v>2485</v>
      </c>
      <c r="C17" s="3737"/>
      <c r="D17" s="2362"/>
      <c r="E17" s="2362"/>
      <c r="F17" s="2363"/>
      <c r="G17" s="2364"/>
      <c r="H17" s="2374"/>
      <c r="I17" s="2375">
        <f>ROUND(D17*E17*F17*G17/10000,0)</f>
        <v>0</v>
      </c>
    </row>
    <row r="18" spans="1:9" ht="14.25">
      <c r="A18" s="3736"/>
      <c r="B18" s="3737" t="s">
        <v>2486</v>
      </c>
      <c r="C18" s="3737"/>
      <c r="D18" s="2362"/>
      <c r="E18" s="2362"/>
      <c r="F18" s="2363"/>
      <c r="G18" s="2364"/>
      <c r="H18" s="2374"/>
      <c r="I18" s="2375">
        <f>ROUND(D18*E18*F18*G18/10000,0)</f>
        <v>0</v>
      </c>
    </row>
    <row r="19" spans="1:9" ht="14.25">
      <c r="A19" s="3736"/>
      <c r="B19" s="3737" t="s">
        <v>2487</v>
      </c>
      <c r="C19" s="3737"/>
      <c r="D19" s="2362"/>
      <c r="E19" s="2362"/>
      <c r="F19" s="2363"/>
      <c r="G19" s="2364"/>
      <c r="H19" s="2374"/>
      <c r="I19" s="2375">
        <f>ROUND(D19*E19*F19*G19/10000,0)</f>
        <v>0</v>
      </c>
    </row>
    <row r="20" spans="1:9">
      <c r="A20" s="3736"/>
      <c r="B20" s="3738" t="s">
        <v>2468</v>
      </c>
      <c r="C20" s="3738"/>
      <c r="D20" s="2366">
        <f>SUM(D17:D19)</f>
        <v>0</v>
      </c>
      <c r="E20" s="2366"/>
      <c r="F20" s="2367"/>
      <c r="G20" s="2364"/>
      <c r="H20" s="2371"/>
      <c r="I20" s="2372">
        <f>SUM(I17:I19)</f>
        <v>0</v>
      </c>
    </row>
    <row r="21" spans="1:9">
      <c r="A21" s="3736" t="s">
        <v>2488</v>
      </c>
      <c r="B21" s="3740"/>
      <c r="C21" s="3740"/>
      <c r="D21" s="3740"/>
      <c r="E21" s="3740"/>
      <c r="F21" s="3740"/>
      <c r="G21" s="3740"/>
      <c r="H21" s="2376">
        <v>0.1</v>
      </c>
      <c r="I21" s="2369">
        <f>ROUND(I10*H21,0)</f>
        <v>0</v>
      </c>
    </row>
    <row r="22" spans="1:9" ht="14.25">
      <c r="A22" s="3741" t="s">
        <v>2489</v>
      </c>
      <c r="B22" s="3742"/>
      <c r="C22" s="3743"/>
      <c r="D22" s="2377" t="s">
        <v>2490</v>
      </c>
      <c r="E22" s="2377" t="s">
        <v>2491</v>
      </c>
      <c r="F22" s="2378" t="s">
        <v>2492</v>
      </c>
      <c r="G22" s="2378" t="s">
        <v>2493</v>
      </c>
      <c r="H22" s="2370" t="s">
        <v>2494</v>
      </c>
      <c r="I22" s="2361" t="s">
        <v>2495</v>
      </c>
    </row>
    <row r="23" spans="1:9" ht="14.25" thickBot="1">
      <c r="A23" s="3744"/>
      <c r="B23" s="3745"/>
      <c r="C23" s="3746"/>
      <c r="D23" s="2379"/>
      <c r="E23" s="2379"/>
      <c r="F23" s="2379"/>
      <c r="G23" s="2380"/>
      <c r="H23" s="2381"/>
      <c r="I23" s="2382">
        <f>ROUND(E23*D23*F23*(1-G23)/10000,0)</f>
        <v>0</v>
      </c>
    </row>
    <row r="26" spans="1:9">
      <c r="A26" s="2383" t="s">
        <v>2496</v>
      </c>
      <c r="B26" s="2383"/>
      <c r="C26" s="2383"/>
      <c r="D26" s="2383"/>
      <c r="E26" s="3747">
        <f>C27-C30-C31-C32</f>
        <v>0</v>
      </c>
      <c r="F26" s="3747"/>
      <c r="G26" s="3747"/>
      <c r="H26" s="2756" t="s">
        <v>2822</v>
      </c>
    </row>
    <row r="27" spans="1:9">
      <c r="A27" s="2384">
        <v>1</v>
      </c>
      <c r="B27" s="2385" t="s">
        <v>2497</v>
      </c>
      <c r="C27" s="2385"/>
      <c r="D27" s="2385"/>
      <c r="E27" s="3748"/>
      <c r="F27" s="3748"/>
      <c r="G27" s="3748"/>
    </row>
    <row r="28" spans="1:9">
      <c r="A28" s="2386" t="s">
        <v>2498</v>
      </c>
      <c r="B28" s="2385" t="s">
        <v>2499</v>
      </c>
      <c r="C28" s="2385"/>
      <c r="D28" s="2385"/>
      <c r="E28" s="3748"/>
      <c r="F28" s="3748"/>
      <c r="G28" s="3748"/>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739"/>
      <c r="F32" s="3739"/>
      <c r="G32" s="3739"/>
    </row>
    <row r="33" spans="1:7" hidden="1">
      <c r="A33" s="3749" t="s">
        <v>2507</v>
      </c>
      <c r="B33" s="3750"/>
      <c r="C33" s="3750"/>
      <c r="D33" s="3751"/>
      <c r="E33" s="3747"/>
      <c r="F33" s="3747"/>
      <c r="G33" s="3747"/>
    </row>
    <row r="34" spans="1:7" hidden="1">
      <c r="A34" s="2388">
        <v>1</v>
      </c>
      <c r="B34" s="2385" t="s">
        <v>2508</v>
      </c>
      <c r="C34" s="2385"/>
      <c r="D34" s="2385"/>
      <c r="E34" s="3748"/>
      <c r="F34" s="3748"/>
      <c r="G34" s="3748"/>
    </row>
    <row r="35" spans="1:7" hidden="1">
      <c r="A35" s="2388">
        <v>2</v>
      </c>
      <c r="B35" s="2385" t="s">
        <v>2509</v>
      </c>
      <c r="C35" s="2385"/>
      <c r="D35" s="2385"/>
      <c r="E35" s="3748"/>
      <c r="F35" s="3748"/>
      <c r="G35" s="3748"/>
    </row>
    <row r="36" spans="1:7" hidden="1">
      <c r="A36" s="2388">
        <v>3</v>
      </c>
      <c r="B36" s="2385" t="s">
        <v>2510</v>
      </c>
      <c r="C36" s="2385"/>
      <c r="D36" s="2385"/>
      <c r="E36" s="3748"/>
      <c r="F36" s="3748"/>
      <c r="G36" s="3748"/>
    </row>
    <row r="37" spans="1:7" hidden="1">
      <c r="A37" s="2388">
        <v>4</v>
      </c>
      <c r="B37" s="2385" t="s">
        <v>2511</v>
      </c>
      <c r="C37" s="2385"/>
      <c r="D37" s="2385"/>
      <c r="E37" s="3748"/>
      <c r="F37" s="3748"/>
      <c r="G37" s="3748"/>
    </row>
    <row r="38" spans="1:7" hidden="1">
      <c r="A38" s="3749" t="s">
        <v>2512</v>
      </c>
      <c r="B38" s="3750"/>
      <c r="C38" s="3750"/>
      <c r="D38" s="3751"/>
      <c r="E38" s="3747"/>
      <c r="F38" s="3747"/>
      <c r="G38" s="37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6"/>
      <c r="D2" s="3266"/>
      <c r="E2" s="3266"/>
      <c r="F2" s="3266"/>
      <c r="G2" s="3266"/>
    </row>
    <row r="3" spans="1:25" s="1942" customFormat="1" ht="18" customHeight="1">
      <c r="A3" s="1330" t="s">
        <v>1675</v>
      </c>
      <c r="B3" s="419">
        <f ca="1">ROUND(B2*10000/'数据-汇总表'!E3,0)</f>
        <v>0</v>
      </c>
      <c r="C3" s="3266"/>
      <c r="D3" s="3266"/>
      <c r="E3" s="3266"/>
      <c r="F3" s="3266"/>
      <c r="G3" s="3266"/>
    </row>
    <row r="4" spans="1:25" s="1942" customFormat="1" ht="18" customHeight="1">
      <c r="A4" s="420" t="s">
        <v>462</v>
      </c>
      <c r="B4" s="421">
        <f ca="1">ROUND(B2*10000/'数据-汇总表'!D3,0)</f>
        <v>0</v>
      </c>
      <c r="C4" s="3219"/>
      <c r="D4" s="3266"/>
      <c r="E4" s="3266"/>
      <c r="F4" s="3266"/>
      <c r="G4" s="3266"/>
    </row>
    <row r="5" spans="1:25" s="1942" customFormat="1" ht="18" customHeight="1" thickBot="1">
      <c r="A5" s="423"/>
      <c r="B5" s="424">
        <f ca="1">ROUND(B2/('数据-汇总表'!D3/666.67),0)</f>
        <v>0</v>
      </c>
      <c r="C5" s="425" t="s">
        <v>463</v>
      </c>
      <c r="D5" s="3266"/>
      <c r="E5" s="3266"/>
      <c r="F5" s="3266"/>
      <c r="G5" s="3266"/>
    </row>
    <row r="6" spans="1:25" s="2064" customFormat="1" ht="13.5" customHeight="1">
      <c r="A6" s="735"/>
      <c r="B6" s="736" t="s">
        <v>598</v>
      </c>
      <c r="C6" s="737" t="s">
        <v>599</v>
      </c>
      <c r="D6" s="737" t="s">
        <v>600</v>
      </c>
      <c r="E6" s="738" t="s">
        <v>601</v>
      </c>
      <c r="F6" s="738" t="s">
        <v>602</v>
      </c>
      <c r="G6" s="3265" t="s">
        <v>2990</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69">
        <f t="shared" ref="C8:C9" si="0">ROUND(D8*E8/10000,0)</f>
        <v>0</v>
      </c>
      <c r="D8" s="3269">
        <v>0</v>
      </c>
      <c r="E8" s="3270">
        <v>0</v>
      </c>
      <c r="F8" s="741"/>
      <c r="G8" s="742"/>
    </row>
    <row r="9" spans="1:25" s="2064" customFormat="1" ht="13.5" customHeight="1">
      <c r="A9" s="2323" t="s">
        <v>2423</v>
      </c>
      <c r="B9" s="2326" t="s">
        <v>2425</v>
      </c>
      <c r="C9" s="3269">
        <f t="shared" si="0"/>
        <v>0</v>
      </c>
      <c r="D9" s="3269">
        <v>0</v>
      </c>
      <c r="E9" s="3270">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243</v>
      </c>
      <c r="D12" s="3269">
        <f>'数据-汇总表'!E5</f>
        <v>161781.29999999999</v>
      </c>
      <c r="E12" s="3269">
        <f>'数据-取费表'!B27</f>
        <v>15</v>
      </c>
      <c r="F12" s="746"/>
      <c r="G12" s="749"/>
    </row>
    <row r="13" spans="1:25" s="2064" customFormat="1" ht="13.5" customHeight="1">
      <c r="A13" s="2329" t="s">
        <v>2429</v>
      </c>
      <c r="B13" s="747" t="s">
        <v>606</v>
      </c>
      <c r="C13" s="748">
        <f>ROUND(D13*E13/10000,0)</f>
        <v>85</v>
      </c>
      <c r="D13" s="3269">
        <f>'数据-汇总表'!E6</f>
        <v>56623.459999999992</v>
      </c>
      <c r="E13" s="3269">
        <f>'数据-取费表'!B28</f>
        <v>15</v>
      </c>
      <c r="F13" s="746"/>
      <c r="G13" s="749"/>
    </row>
    <row r="14" spans="1:25" s="2064" customFormat="1" ht="13.5" customHeight="1">
      <c r="A14" s="2323" t="s">
        <v>2423</v>
      </c>
      <c r="B14" s="2328" t="s">
        <v>2426</v>
      </c>
      <c r="C14" s="3271">
        <f t="shared" ref="C14:C15" si="1">ROUND(D14*E14/10000,0)</f>
        <v>0</v>
      </c>
      <c r="D14" s="3269">
        <v>0</v>
      </c>
      <c r="E14" s="3270">
        <v>0</v>
      </c>
      <c r="F14" s="2327"/>
      <c r="G14" s="2330" t="s">
        <v>2431</v>
      </c>
    </row>
    <row r="15" spans="1:25" s="2064" customFormat="1" ht="13.5" customHeight="1">
      <c r="A15" s="2323" t="s">
        <v>2428</v>
      </c>
      <c r="B15" s="2328" t="s">
        <v>2427</v>
      </c>
      <c r="C15" s="3271">
        <f t="shared" si="1"/>
        <v>0</v>
      </c>
      <c r="D15" s="3269">
        <v>0</v>
      </c>
      <c r="E15" s="3270">
        <v>0</v>
      </c>
      <c r="F15" s="2327"/>
      <c r="G15" s="2330" t="s">
        <v>2432</v>
      </c>
    </row>
    <row r="16" spans="1:25" s="2065" customFormat="1" ht="48">
      <c r="A16" s="2323">
        <v>3</v>
      </c>
      <c r="B16" s="739" t="s">
        <v>609</v>
      </c>
      <c r="C16" s="3271">
        <f t="shared" ref="C16" si="2">ROUND(D16*E16/10000,0)</f>
        <v>0</v>
      </c>
      <c r="D16" s="3269">
        <v>0</v>
      </c>
      <c r="E16" s="3270">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0.96599999999999997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8" customFormat="1">
      <c r="A24" s="3267"/>
      <c r="D24" s="1884"/>
      <c r="E24" s="1884"/>
    </row>
    <row r="25" spans="1:25" s="3268" customFormat="1">
      <c r="A25" s="3267"/>
      <c r="D25" s="1884"/>
      <c r="E25" s="1884"/>
    </row>
    <row r="26" spans="1:25" s="3268" customFormat="1">
      <c r="A26" s="3267"/>
      <c r="D26" s="1884"/>
      <c r="E26" s="1884"/>
    </row>
    <row r="27" spans="1:25" s="3268" customFormat="1">
      <c r="A27" s="3267"/>
      <c r="D27" s="1884"/>
      <c r="E27" s="1884"/>
    </row>
    <row r="28" spans="1:25" s="3268" customFormat="1">
      <c r="A28" s="3267"/>
      <c r="D28" s="1884"/>
      <c r="E28" s="1884"/>
    </row>
    <row r="29" spans="1:25" s="3268" customFormat="1">
      <c r="A29" s="3267"/>
      <c r="D29" s="1884"/>
      <c r="E29" s="1884"/>
    </row>
    <row r="30" spans="1:25" s="3268" customFormat="1">
      <c r="A30" s="3267"/>
      <c r="D30" s="1884"/>
      <c r="E30" s="1884"/>
    </row>
    <row r="31" spans="1:25" s="3268" customFormat="1">
      <c r="A31" s="3267"/>
      <c r="D31" s="1884"/>
      <c r="E31" s="1884"/>
    </row>
    <row r="32" spans="1:25" s="3268" customFormat="1">
      <c r="A32" s="3267"/>
      <c r="D32" s="1884"/>
      <c r="E32" s="1884"/>
    </row>
    <row r="33" spans="1:5" s="3268" customFormat="1">
      <c r="A33" s="3267"/>
      <c r="D33" s="1884"/>
      <c r="E33" s="1884"/>
    </row>
    <row r="34" spans="1:5" s="3268" customFormat="1">
      <c r="A34" s="3267"/>
      <c r="D34" s="1884"/>
      <c r="E34" s="1884"/>
    </row>
    <row r="35" spans="1:5" s="3268" customFormat="1">
      <c r="A35" s="3267"/>
      <c r="D35" s="1884"/>
      <c r="E35" s="1884"/>
    </row>
    <row r="36" spans="1:5" s="3268" customFormat="1">
      <c r="A36" s="3267"/>
      <c r="D36" s="1884"/>
      <c r="E36" s="1884"/>
    </row>
    <row r="37" spans="1:5" s="3268" customFormat="1">
      <c r="A37" s="3267"/>
      <c r="D37" s="1884"/>
      <c r="E37" s="1884"/>
    </row>
    <row r="38" spans="1:5" s="3268" customFormat="1">
      <c r="A38" s="3267"/>
      <c r="D38" s="1884"/>
      <c r="E38" s="1884"/>
    </row>
    <row r="39" spans="1:5" s="3268" customFormat="1">
      <c r="A39" s="3267"/>
      <c r="D39" s="1884"/>
      <c r="E39" s="1884"/>
    </row>
    <row r="40" spans="1:5" s="3268" customFormat="1">
      <c r="A40" s="3267"/>
      <c r="D40" s="1884"/>
      <c r="E40" s="1884"/>
    </row>
    <row r="41" spans="1:5" s="3268" customFormat="1">
      <c r="A41" s="3267"/>
      <c r="D41" s="1884"/>
      <c r="E41" s="1884"/>
    </row>
    <row r="42" spans="1:5" s="3268" customFormat="1">
      <c r="A42" s="3267"/>
      <c r="D42" s="1884"/>
      <c r="E42" s="1884"/>
    </row>
    <row r="43" spans="1:5" s="3268" customFormat="1">
      <c r="A43" s="3267"/>
      <c r="D43" s="1884"/>
      <c r="E43" s="1884"/>
    </row>
    <row r="44" spans="1:5" s="3268" customFormat="1">
      <c r="A44" s="3267"/>
      <c r="D44" s="1884"/>
      <c r="E44" s="1884"/>
    </row>
    <row r="45" spans="1:5" s="3268" customFormat="1">
      <c r="A45" s="3267"/>
      <c r="D45" s="1884"/>
      <c r="E45" s="1884"/>
    </row>
    <row r="46" spans="1:5" s="3268" customFormat="1">
      <c r="A46" s="3267"/>
      <c r="D46" s="1884"/>
      <c r="E46" s="1884"/>
    </row>
    <row r="47" spans="1:5" s="3268" customFormat="1">
      <c r="A47" s="3267"/>
      <c r="D47" s="1884"/>
      <c r="E47" s="1884"/>
    </row>
    <row r="48" spans="1:5" s="3268" customFormat="1">
      <c r="A48" s="3267"/>
      <c r="D48" s="1884"/>
      <c r="E48" s="1884"/>
    </row>
    <row r="49" spans="1:5" s="3268" customFormat="1">
      <c r="A49" s="3267"/>
      <c r="D49" s="1884"/>
      <c r="E49" s="1884"/>
    </row>
    <row r="50" spans="1:5" s="3268" customFormat="1">
      <c r="A50" s="3267"/>
      <c r="D50" s="1884"/>
      <c r="E50" s="1884"/>
    </row>
    <row r="51" spans="1:5" s="3268" customFormat="1">
      <c r="A51" s="3267"/>
      <c r="D51" s="1884"/>
      <c r="E51" s="1884"/>
    </row>
    <row r="52" spans="1:5" s="3268" customFormat="1">
      <c r="A52" s="3267"/>
      <c r="D52" s="1884"/>
      <c r="E52" s="1884"/>
    </row>
    <row r="53" spans="1:5" s="3268" customFormat="1">
      <c r="A53" s="3267"/>
      <c r="D53" s="1884"/>
      <c r="E53" s="1884"/>
    </row>
    <row r="54" spans="1:5" s="3268" customFormat="1">
      <c r="A54" s="3267"/>
      <c r="D54" s="1884"/>
      <c r="E54" s="1884"/>
    </row>
    <row r="55" spans="1:5" s="3268" customFormat="1">
      <c r="A55" s="3267"/>
      <c r="D55" s="1884"/>
      <c r="E55" s="1884"/>
    </row>
    <row r="56" spans="1:5" s="3268" customFormat="1">
      <c r="A56" s="3267"/>
      <c r="D56" s="1884"/>
      <c r="E56" s="1884"/>
    </row>
    <row r="57" spans="1:5" s="3268" customFormat="1">
      <c r="A57" s="3267"/>
      <c r="D57" s="1884"/>
      <c r="E57" s="1884"/>
    </row>
    <row r="58" spans="1:5" s="3268" customFormat="1">
      <c r="A58" s="3267"/>
      <c r="D58" s="1884"/>
      <c r="E58" s="1884"/>
    </row>
    <row r="59" spans="1:5" s="3268" customFormat="1">
      <c r="A59" s="3267"/>
      <c r="D59" s="1884"/>
      <c r="E59" s="1884"/>
    </row>
    <row r="60" spans="1:5" s="3268" customFormat="1">
      <c r="A60" s="3267"/>
      <c r="D60" s="1884"/>
      <c r="E60" s="1884"/>
    </row>
    <row r="61" spans="1:5" s="3268" customFormat="1">
      <c r="A61" s="3267"/>
      <c r="D61" s="1884"/>
      <c r="E61" s="1884"/>
    </row>
    <row r="62" spans="1:5" s="3268" customFormat="1">
      <c r="A62" s="3267"/>
      <c r="D62" s="1884"/>
      <c r="E62" s="1884"/>
    </row>
    <row r="63" spans="1:5" s="3268" customFormat="1">
      <c r="A63" s="3267"/>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636" t="s">
        <v>516</v>
      </c>
      <c r="D4" s="3637"/>
      <c r="E4" s="3670" t="s">
        <v>517</v>
      </c>
      <c r="F4" s="3671"/>
      <c r="G4" s="3636" t="s">
        <v>518</v>
      </c>
      <c r="H4" s="3637"/>
      <c r="I4" s="3636" t="s">
        <v>519</v>
      </c>
      <c r="J4" s="3637"/>
      <c r="K4" s="508" t="s">
        <v>520</v>
      </c>
      <c r="L4" s="2015"/>
      <c r="M4" s="2016"/>
      <c r="N4" s="2016"/>
      <c r="O4" s="2016"/>
      <c r="P4" s="3638" t="s">
        <v>521</v>
      </c>
      <c r="Q4" s="3639"/>
      <c r="R4" s="3644" t="s">
        <v>517</v>
      </c>
      <c r="S4" s="3645"/>
      <c r="T4" s="3644" t="s">
        <v>518</v>
      </c>
      <c r="U4" s="3645"/>
      <c r="V4" s="3631" t="s">
        <v>519</v>
      </c>
      <c r="W4" s="3631"/>
      <c r="X4" s="1501"/>
      <c r="Y4" s="3644" t="s">
        <v>521</v>
      </c>
      <c r="Z4" s="3645"/>
      <c r="AA4" s="3633" t="s">
        <v>517</v>
      </c>
      <c r="AB4" s="3631" t="s">
        <v>518</v>
      </c>
      <c r="AC4" s="3633" t="s">
        <v>519</v>
      </c>
    </row>
    <row r="5" spans="1:29" ht="15">
      <c r="A5" s="509"/>
      <c r="B5" s="510"/>
      <c r="C5" s="3652" t="s">
        <v>2889</v>
      </c>
      <c r="D5" s="3653"/>
      <c r="E5" s="3672" t="s">
        <v>2890</v>
      </c>
      <c r="F5" s="3673"/>
      <c r="G5" s="3652" t="s">
        <v>2891</v>
      </c>
      <c r="H5" s="3653"/>
      <c r="I5" s="3652" t="s">
        <v>2892</v>
      </c>
      <c r="J5" s="3653"/>
      <c r="K5" s="508"/>
      <c r="L5" s="2015"/>
      <c r="M5" s="2016"/>
      <c r="N5" s="2016"/>
      <c r="O5" s="2016"/>
      <c r="P5" s="3640"/>
      <c r="Q5" s="3641"/>
      <c r="R5" s="3646"/>
      <c r="S5" s="3647"/>
      <c r="T5" s="3646"/>
      <c r="U5" s="3647"/>
      <c r="V5" s="3631"/>
      <c r="W5" s="3631"/>
      <c r="X5" s="1501"/>
      <c r="Y5" s="3646"/>
      <c r="Z5" s="3647"/>
      <c r="AA5" s="3634"/>
      <c r="AB5" s="3631"/>
      <c r="AC5" s="3634"/>
    </row>
    <row r="6" spans="1:29" ht="15.75" thickBot="1">
      <c r="A6" s="511"/>
      <c r="B6" s="512"/>
      <c r="C6" s="3650" t="s">
        <v>2893</v>
      </c>
      <c r="D6" s="3651"/>
      <c r="E6" s="3668" t="s">
        <v>2893</v>
      </c>
      <c r="F6" s="3669"/>
      <c r="G6" s="3650" t="s">
        <v>2893</v>
      </c>
      <c r="H6" s="3651"/>
      <c r="I6" s="3650" t="s">
        <v>2893</v>
      </c>
      <c r="J6" s="3651"/>
      <c r="K6" s="508" t="s">
        <v>522</v>
      </c>
      <c r="L6" s="2015"/>
      <c r="M6" s="2016"/>
      <c r="N6" s="2016"/>
      <c r="O6" s="2016"/>
      <c r="P6" s="3642"/>
      <c r="Q6" s="3643"/>
      <c r="R6" s="3646"/>
      <c r="S6" s="3647"/>
      <c r="T6" s="3648"/>
      <c r="U6" s="3649"/>
      <c r="V6" s="3631"/>
      <c r="W6" s="3631"/>
      <c r="X6" s="1501"/>
      <c r="Y6" s="3648"/>
      <c r="Z6" s="3649"/>
      <c r="AA6" s="3635"/>
      <c r="AB6" s="3631"/>
      <c r="AC6" s="3635"/>
    </row>
    <row r="7" spans="1:29" s="1202" customFormat="1" ht="15.75" thickBot="1">
      <c r="A7" s="2629"/>
      <c r="B7" s="2636" t="s">
        <v>523</v>
      </c>
      <c r="C7" s="513">
        <f>'数据-取费表'!B2</f>
        <v>44139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661" t="s">
        <v>524</v>
      </c>
      <c r="Q7" s="3663"/>
      <c r="R7" s="1502" t="s">
        <v>8</v>
      </c>
      <c r="S7" s="1503">
        <f t="shared" ref="S7:S15" si="0">F7</f>
        <v>0</v>
      </c>
      <c r="T7" s="1502" t="s">
        <v>8</v>
      </c>
      <c r="U7" s="1503">
        <f t="shared" ref="U7:U15" si="1">H7</f>
        <v>0</v>
      </c>
      <c r="V7" s="1502" t="s">
        <v>8</v>
      </c>
      <c r="W7" s="1503">
        <f t="shared" ref="W7:W15" si="2">J7</f>
        <v>0</v>
      </c>
      <c r="X7" s="1504"/>
      <c r="Y7" s="3661" t="s">
        <v>524</v>
      </c>
      <c r="Z7" s="3662"/>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661" t="s">
        <v>527</v>
      </c>
      <c r="Q8" s="3662"/>
      <c r="R8" s="1502" t="s">
        <v>8</v>
      </c>
      <c r="S8" s="1503">
        <f t="shared" si="0"/>
        <v>0</v>
      </c>
      <c r="T8" s="1502" t="s">
        <v>8</v>
      </c>
      <c r="U8" s="1503">
        <f t="shared" si="1"/>
        <v>0</v>
      </c>
      <c r="V8" s="1502" t="s">
        <v>8</v>
      </c>
      <c r="W8" s="1503">
        <f t="shared" si="2"/>
        <v>0</v>
      </c>
      <c r="X8" s="1504"/>
      <c r="Y8" s="3661" t="s">
        <v>527</v>
      </c>
      <c r="Z8" s="3662"/>
      <c r="AA8" s="1505" t="e">
        <f t="shared" ref="AA8:AA46" si="3">D8/F8</f>
        <v>#DIV/0!</v>
      </c>
      <c r="AB8" s="1505" t="e">
        <f t="shared" ref="AB8:AB46" si="4">D8/H8</f>
        <v>#DIV/0!</v>
      </c>
      <c r="AC8" s="1505" t="e">
        <f t="shared" ref="AC8:AC46" si="5">D8/J8</f>
        <v>#DIV/0!</v>
      </c>
    </row>
    <row r="9" spans="1:29" s="1202"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630" t="s">
        <v>529</v>
      </c>
      <c r="Q9" s="1133" t="str">
        <f t="shared" ref="Q9:Q15" si="6">B9</f>
        <v>用途</v>
      </c>
      <c r="R9" s="1502" t="s">
        <v>8</v>
      </c>
      <c r="S9" s="1503">
        <f t="shared" si="0"/>
        <v>100</v>
      </c>
      <c r="T9" s="1502" t="s">
        <v>8</v>
      </c>
      <c r="U9" s="1503">
        <f t="shared" si="1"/>
        <v>100</v>
      </c>
      <c r="V9" s="1502" t="s">
        <v>8</v>
      </c>
      <c r="W9" s="1503">
        <f t="shared" si="2"/>
        <v>100</v>
      </c>
      <c r="X9" s="1504"/>
      <c r="Y9" s="3576"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630"/>
      <c r="Q10" s="1133" t="str">
        <f t="shared" si="6"/>
        <v>土地使用年限（年）</v>
      </c>
      <c r="R10" s="1502" t="s">
        <v>8</v>
      </c>
      <c r="S10" s="1503">
        <f t="shared" si="0"/>
        <v>100</v>
      </c>
      <c r="T10" s="1502" t="s">
        <v>8</v>
      </c>
      <c r="U10" s="1503">
        <f t="shared" si="1"/>
        <v>100</v>
      </c>
      <c r="V10" s="1502" t="s">
        <v>8</v>
      </c>
      <c r="W10" s="1503">
        <f t="shared" si="2"/>
        <v>100</v>
      </c>
      <c r="X10" s="1504"/>
      <c r="Y10" s="3576"/>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630"/>
      <c r="Q11" s="1133" t="str">
        <f t="shared" si="6"/>
        <v>容积率</v>
      </c>
      <c r="R11" s="1502" t="s">
        <v>8</v>
      </c>
      <c r="S11" s="1503" t="e">
        <f t="shared" si="0"/>
        <v>#N/A</v>
      </c>
      <c r="T11" s="1502" t="s">
        <v>8</v>
      </c>
      <c r="U11" s="1503" t="e">
        <f t="shared" si="1"/>
        <v>#N/A</v>
      </c>
      <c r="V11" s="1502" t="s">
        <v>8</v>
      </c>
      <c r="W11" s="1503" t="e">
        <f t="shared" si="2"/>
        <v>#N/A</v>
      </c>
      <c r="X11" s="1504"/>
      <c r="Y11" s="3576"/>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630"/>
      <c r="Q12" s="1133">
        <f t="shared" si="6"/>
        <v>111</v>
      </c>
      <c r="R12" s="1502" t="s">
        <v>8</v>
      </c>
      <c r="S12" s="1503">
        <f t="shared" si="0"/>
        <v>100</v>
      </c>
      <c r="T12" s="1502" t="s">
        <v>8</v>
      </c>
      <c r="U12" s="1503">
        <f t="shared" si="1"/>
        <v>100</v>
      </c>
      <c r="V12" s="1502" t="s">
        <v>8</v>
      </c>
      <c r="W12" s="1503">
        <f t="shared" si="2"/>
        <v>100</v>
      </c>
      <c r="X12" s="1504"/>
      <c r="Y12" s="3576"/>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630"/>
      <c r="Q13" s="1133">
        <f t="shared" si="6"/>
        <v>111</v>
      </c>
      <c r="R13" s="1502" t="s">
        <v>8</v>
      </c>
      <c r="S13" s="1503">
        <f t="shared" si="0"/>
        <v>100</v>
      </c>
      <c r="T13" s="1502" t="s">
        <v>8</v>
      </c>
      <c r="U13" s="1503">
        <f t="shared" si="1"/>
        <v>100</v>
      </c>
      <c r="V13" s="1502" t="s">
        <v>8</v>
      </c>
      <c r="W13" s="1503">
        <f t="shared" si="2"/>
        <v>100</v>
      </c>
      <c r="X13" s="1504"/>
      <c r="Y13" s="3576"/>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630"/>
      <c r="Q14" s="1133">
        <f t="shared" si="6"/>
        <v>111</v>
      </c>
      <c r="R14" s="1502" t="s">
        <v>8</v>
      </c>
      <c r="S14" s="1503">
        <f t="shared" si="0"/>
        <v>100</v>
      </c>
      <c r="T14" s="1502" t="s">
        <v>8</v>
      </c>
      <c r="U14" s="1503">
        <f t="shared" si="1"/>
        <v>100</v>
      </c>
      <c r="V14" s="1502" t="s">
        <v>8</v>
      </c>
      <c r="W14" s="1503">
        <f t="shared" si="2"/>
        <v>100</v>
      </c>
      <c r="X14" s="1504"/>
      <c r="Y14" s="3576"/>
      <c r="Z14" s="1132">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664" t="s">
        <v>534</v>
      </c>
      <c r="Q15" s="1506" t="str">
        <f t="shared" si="6"/>
        <v>商业繁华度</v>
      </c>
      <c r="R15" s="1507" t="s">
        <v>8</v>
      </c>
      <c r="S15" s="1508">
        <f t="shared" si="0"/>
        <v>100</v>
      </c>
      <c r="T15" s="1507" t="s">
        <v>8</v>
      </c>
      <c r="U15" s="1508">
        <f t="shared" si="1"/>
        <v>100</v>
      </c>
      <c r="V15" s="1507" t="s">
        <v>8</v>
      </c>
      <c r="W15" s="1508">
        <f t="shared" si="2"/>
        <v>100</v>
      </c>
      <c r="X15" s="1501"/>
      <c r="Y15" s="3664"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665"/>
      <c r="Q16" s="1506"/>
      <c r="R16" s="1507"/>
      <c r="S16" s="1508"/>
      <c r="T16" s="1507"/>
      <c r="U16" s="1508"/>
      <c r="V16" s="1507"/>
      <c r="W16" s="1508"/>
      <c r="X16" s="1501"/>
      <c r="Y16" s="3665"/>
      <c r="Z16" s="1509"/>
      <c r="AA16" s="1510">
        <v>1</v>
      </c>
      <c r="AB16" s="1510">
        <v>1</v>
      </c>
      <c r="AC16" s="1510">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665"/>
      <c r="Q17" s="1506" t="str">
        <f>B17</f>
        <v>交通便捷度</v>
      </c>
      <c r="R17" s="1507" t="s">
        <v>8</v>
      </c>
      <c r="S17" s="1508">
        <f>F17</f>
        <v>100</v>
      </c>
      <c r="T17" s="1507" t="s">
        <v>8</v>
      </c>
      <c r="U17" s="1508">
        <f>H17</f>
        <v>100</v>
      </c>
      <c r="V17" s="1507" t="s">
        <v>8</v>
      </c>
      <c r="W17" s="1508">
        <f>J17</f>
        <v>100</v>
      </c>
      <c r="X17" s="1501"/>
      <c r="Y17" s="366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665"/>
      <c r="Q18" s="1506"/>
      <c r="R18" s="1507"/>
      <c r="S18" s="1508"/>
      <c r="T18" s="1507"/>
      <c r="U18" s="1508"/>
      <c r="V18" s="1507"/>
      <c r="W18" s="1508"/>
      <c r="X18" s="1501"/>
      <c r="Y18" s="3665"/>
      <c r="Z18" s="1509"/>
      <c r="AA18" s="1510">
        <v>1</v>
      </c>
      <c r="AB18" s="1510">
        <v>1</v>
      </c>
      <c r="AC18" s="1510">
        <v>1</v>
      </c>
    </row>
    <row r="19" spans="1:29" ht="15">
      <c r="A19" s="526"/>
      <c r="B19" s="2444" t="s">
        <v>2527</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665"/>
      <c r="Q19" s="1506" t="str">
        <f>B19</f>
        <v>公共配套设施</v>
      </c>
      <c r="R19" s="1507" t="s">
        <v>8</v>
      </c>
      <c r="S19" s="1508">
        <f>F19</f>
        <v>100</v>
      </c>
      <c r="T19" s="1507" t="s">
        <v>8</v>
      </c>
      <c r="U19" s="1508">
        <f>H19</f>
        <v>100</v>
      </c>
      <c r="V19" s="1507" t="s">
        <v>8</v>
      </c>
      <c r="W19" s="1508">
        <f>J19</f>
        <v>100</v>
      </c>
      <c r="X19" s="1501"/>
      <c r="Y19" s="3665"/>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665"/>
      <c r="Q20" s="1506"/>
      <c r="R20" s="1507"/>
      <c r="S20" s="1508"/>
      <c r="T20" s="1507"/>
      <c r="U20" s="1508"/>
      <c r="V20" s="1507"/>
      <c r="W20" s="1508"/>
      <c r="X20" s="1501"/>
      <c r="Y20" s="3665"/>
      <c r="Z20" s="1509"/>
      <c r="AA20" s="1510">
        <v>1</v>
      </c>
      <c r="AB20" s="1510">
        <v>1</v>
      </c>
      <c r="AC20" s="1510">
        <v>1</v>
      </c>
    </row>
    <row r="21" spans="1:29" ht="15">
      <c r="A21" s="526"/>
      <c r="B21" s="2437" t="s">
        <v>2539</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665"/>
      <c r="Q21" s="2429" t="str">
        <f>B21</f>
        <v>基础设施水平</v>
      </c>
      <c r="R21" s="1507" t="s">
        <v>8</v>
      </c>
      <c r="S21" s="1508">
        <f>F21</f>
        <v>100</v>
      </c>
      <c r="T21" s="1507" t="s">
        <v>8</v>
      </c>
      <c r="U21" s="1508">
        <f>H21</f>
        <v>100</v>
      </c>
      <c r="V21" s="1507" t="s">
        <v>8</v>
      </c>
      <c r="W21" s="1508">
        <f>J21</f>
        <v>100</v>
      </c>
      <c r="X21" s="2431"/>
      <c r="Y21" s="3665"/>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665"/>
      <c r="Q22" s="2429"/>
      <c r="R22" s="1507"/>
      <c r="S22" s="1508"/>
      <c r="T22" s="1507"/>
      <c r="U22" s="1508"/>
      <c r="V22" s="1507"/>
      <c r="W22" s="1508"/>
      <c r="X22" s="2431"/>
      <c r="Y22" s="3665"/>
      <c r="Z22" s="2430"/>
      <c r="AA22" s="1510">
        <v>1</v>
      </c>
      <c r="AB22" s="1510">
        <v>1</v>
      </c>
      <c r="AC22" s="1510">
        <v>1</v>
      </c>
    </row>
    <row r="23" spans="1:29" ht="15">
      <c r="A23" s="526"/>
      <c r="B23" s="860" t="s">
        <v>297</v>
      </c>
      <c r="C23" s="888"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665"/>
      <c r="Q23" s="1506" t="str">
        <f>B23</f>
        <v>自然及人文环境</v>
      </c>
      <c r="R23" s="1507" t="s">
        <v>8</v>
      </c>
      <c r="S23" s="1508">
        <f>F23</f>
        <v>100</v>
      </c>
      <c r="T23" s="1507" t="s">
        <v>8</v>
      </c>
      <c r="U23" s="1508">
        <f>H23</f>
        <v>100</v>
      </c>
      <c r="V23" s="1507" t="s">
        <v>8</v>
      </c>
      <c r="W23" s="1508">
        <f>J23</f>
        <v>100</v>
      </c>
      <c r="X23" s="1501"/>
      <c r="Y23" s="3665"/>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665"/>
      <c r="Q24" s="1506"/>
      <c r="R24" s="1507"/>
      <c r="S24" s="1508"/>
      <c r="T24" s="1507"/>
      <c r="U24" s="1508"/>
      <c r="V24" s="1507"/>
      <c r="W24" s="1508"/>
      <c r="X24" s="1501"/>
      <c r="Y24" s="3665"/>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665"/>
      <c r="Q25" s="1506" t="str">
        <f t="shared" ref="Q25:Q46" si="11">B25</f>
        <v>临街状况</v>
      </c>
      <c r="R25" s="1507" t="s">
        <v>8</v>
      </c>
      <c r="S25" s="1508">
        <f>F25</f>
        <v>100</v>
      </c>
      <c r="T25" s="1507" t="s">
        <v>8</v>
      </c>
      <c r="U25" s="1508">
        <f>H25</f>
        <v>100</v>
      </c>
      <c r="V25" s="1507" t="s">
        <v>8</v>
      </c>
      <c r="W25" s="1508">
        <f>J25</f>
        <v>100</v>
      </c>
      <c r="X25" s="1501"/>
      <c r="Y25" s="3665"/>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665"/>
      <c r="Q26" s="1506" t="str">
        <f t="shared" si="11"/>
        <v>平面位置/可视性</v>
      </c>
      <c r="R26" s="1507" t="s">
        <v>8</v>
      </c>
      <c r="S26" s="1508">
        <f>F26</f>
        <v>100</v>
      </c>
      <c r="T26" s="1507" t="s">
        <v>8</v>
      </c>
      <c r="U26" s="1508">
        <f>H26</f>
        <v>100</v>
      </c>
      <c r="V26" s="1507" t="s">
        <v>8</v>
      </c>
      <c r="W26" s="1508">
        <f>J26</f>
        <v>100</v>
      </c>
      <c r="X26" s="1501"/>
      <c r="Y26" s="3665"/>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665"/>
      <c r="Q27" s="1133" t="str">
        <f t="shared" si="11"/>
        <v>人流量</v>
      </c>
      <c r="R27" s="1502" t="s">
        <v>8</v>
      </c>
      <c r="S27" s="1503">
        <f>F27</f>
        <v>100</v>
      </c>
      <c r="T27" s="1502" t="s">
        <v>8</v>
      </c>
      <c r="U27" s="1503">
        <f>H27</f>
        <v>100</v>
      </c>
      <c r="V27" s="1502" t="s">
        <v>8</v>
      </c>
      <c r="W27" s="1503">
        <f>J27</f>
        <v>100</v>
      </c>
      <c r="X27" s="1504"/>
      <c r="Y27" s="3665"/>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665"/>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665"/>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665"/>
      <c r="Q29" s="1506">
        <f t="shared" si="11"/>
        <v>111</v>
      </c>
      <c r="R29" s="1507" t="s">
        <v>8</v>
      </c>
      <c r="S29" s="1508">
        <f t="shared" si="12"/>
        <v>100</v>
      </c>
      <c r="T29" s="1507" t="s">
        <v>8</v>
      </c>
      <c r="U29" s="1508">
        <f t="shared" si="13"/>
        <v>100</v>
      </c>
      <c r="V29" s="1507" t="s">
        <v>8</v>
      </c>
      <c r="W29" s="1508">
        <f t="shared" si="14"/>
        <v>100</v>
      </c>
      <c r="X29" s="1501"/>
      <c r="Y29" s="366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665"/>
      <c r="Q30" s="1506">
        <f t="shared" si="11"/>
        <v>111</v>
      </c>
      <c r="R30" s="1507" t="s">
        <v>8</v>
      </c>
      <c r="S30" s="1508">
        <f t="shared" si="12"/>
        <v>100</v>
      </c>
      <c r="T30" s="1507" t="s">
        <v>8</v>
      </c>
      <c r="U30" s="1508">
        <f t="shared" si="13"/>
        <v>100</v>
      </c>
      <c r="V30" s="1507" t="s">
        <v>8</v>
      </c>
      <c r="W30" s="1508">
        <f t="shared" si="14"/>
        <v>100</v>
      </c>
      <c r="X30" s="1501"/>
      <c r="Y30" s="3665"/>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665"/>
      <c r="Q31" s="1506">
        <f t="shared" si="11"/>
        <v>111</v>
      </c>
      <c r="R31" s="1507" t="s">
        <v>8</v>
      </c>
      <c r="S31" s="1508">
        <f t="shared" si="12"/>
        <v>100</v>
      </c>
      <c r="T31" s="1507" t="s">
        <v>8</v>
      </c>
      <c r="U31" s="1508">
        <f t="shared" si="13"/>
        <v>100</v>
      </c>
      <c r="V31" s="1507" t="s">
        <v>8</v>
      </c>
      <c r="W31" s="1508">
        <f t="shared" si="14"/>
        <v>100</v>
      </c>
      <c r="X31" s="1501"/>
      <c r="Y31" s="3665"/>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666" t="s">
        <v>544</v>
      </c>
      <c r="Q32" s="1506" t="str">
        <f t="shared" si="11"/>
        <v>商业类型</v>
      </c>
      <c r="R32" s="1507" t="s">
        <v>8</v>
      </c>
      <c r="S32" s="1508">
        <f t="shared" si="12"/>
        <v>100</v>
      </c>
      <c r="T32" s="1507" t="s">
        <v>8</v>
      </c>
      <c r="U32" s="1508">
        <f t="shared" si="13"/>
        <v>100</v>
      </c>
      <c r="V32" s="1507" t="s">
        <v>8</v>
      </c>
      <c r="W32" s="1508">
        <f t="shared" si="14"/>
        <v>100</v>
      </c>
      <c r="X32" s="1501"/>
      <c r="Y32" s="3667"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667"/>
      <c r="Q33" s="1535" t="str">
        <f t="shared" si="11"/>
        <v>项目建筑规模</v>
      </c>
      <c r="R33" s="1511" t="s">
        <v>8</v>
      </c>
      <c r="S33" s="1512" t="e">
        <f t="shared" si="12"/>
        <v>#N/A</v>
      </c>
      <c r="T33" s="1511" t="s">
        <v>8</v>
      </c>
      <c r="U33" s="1512" t="e">
        <f t="shared" si="13"/>
        <v>#N/A</v>
      </c>
      <c r="V33" s="1511" t="s">
        <v>8</v>
      </c>
      <c r="W33" s="1512" t="e">
        <f t="shared" si="14"/>
        <v>#N/A</v>
      </c>
      <c r="X33" s="1513"/>
      <c r="Y33" s="3667"/>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667"/>
      <c r="Q34" s="1506" t="str">
        <f t="shared" si="11"/>
        <v>建筑结构</v>
      </c>
      <c r="R34" s="1507" t="s">
        <v>8</v>
      </c>
      <c r="S34" s="1508">
        <f t="shared" si="12"/>
        <v>100</v>
      </c>
      <c r="T34" s="1507" t="s">
        <v>8</v>
      </c>
      <c r="U34" s="1508">
        <f t="shared" si="13"/>
        <v>100</v>
      </c>
      <c r="V34" s="1507" t="s">
        <v>8</v>
      </c>
      <c r="W34" s="1508">
        <f t="shared" si="14"/>
        <v>100</v>
      </c>
      <c r="X34" s="1501"/>
      <c r="Y34" s="3667"/>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667"/>
      <c r="Q35" s="1506" t="str">
        <f t="shared" si="11"/>
        <v>公共部分装修</v>
      </c>
      <c r="R35" s="1507" t="s">
        <v>8</v>
      </c>
      <c r="S35" s="1508">
        <f t="shared" si="12"/>
        <v>100</v>
      </c>
      <c r="T35" s="1507" t="s">
        <v>8</v>
      </c>
      <c r="U35" s="1508">
        <f t="shared" si="13"/>
        <v>100</v>
      </c>
      <c r="V35" s="1507" t="s">
        <v>8</v>
      </c>
      <c r="W35" s="1508">
        <f t="shared" si="14"/>
        <v>100</v>
      </c>
      <c r="X35" s="1501"/>
      <c r="Y35" s="3667"/>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667"/>
      <c r="Q36" s="1506" t="str">
        <f t="shared" si="11"/>
        <v>成新度</v>
      </c>
      <c r="R36" s="1507" t="s">
        <v>8</v>
      </c>
      <c r="S36" s="1508" t="e">
        <f t="shared" si="12"/>
        <v>#N/A</v>
      </c>
      <c r="T36" s="1507" t="s">
        <v>8</v>
      </c>
      <c r="U36" s="1508" t="e">
        <f t="shared" si="13"/>
        <v>#N/A</v>
      </c>
      <c r="V36" s="1507" t="s">
        <v>8</v>
      </c>
      <c r="W36" s="1508" t="e">
        <f t="shared" si="14"/>
        <v>#N/A</v>
      </c>
      <c r="X36" s="1501"/>
      <c r="Y36" s="3667"/>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667"/>
      <c r="Q37" s="1133" t="str">
        <f t="shared" si="11"/>
        <v>市政基础设施</v>
      </c>
      <c r="R37" s="1502" t="s">
        <v>8</v>
      </c>
      <c r="S37" s="1503">
        <f t="shared" si="12"/>
        <v>100</v>
      </c>
      <c r="T37" s="1502" t="s">
        <v>8</v>
      </c>
      <c r="U37" s="1503">
        <f t="shared" si="13"/>
        <v>100</v>
      </c>
      <c r="V37" s="1502" t="s">
        <v>8</v>
      </c>
      <c r="W37" s="1503">
        <f t="shared" si="14"/>
        <v>100</v>
      </c>
      <c r="X37" s="1504"/>
      <c r="Y37" s="3667"/>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667" t="s">
        <v>760</v>
      </c>
      <c r="Q38" s="1506" t="str">
        <f t="shared" si="11"/>
        <v>业态</v>
      </c>
      <c r="R38" s="1507" t="s">
        <v>8</v>
      </c>
      <c r="S38" s="1508">
        <f t="shared" si="12"/>
        <v>100</v>
      </c>
      <c r="T38" s="1507" t="s">
        <v>8</v>
      </c>
      <c r="U38" s="1508">
        <f t="shared" si="13"/>
        <v>100</v>
      </c>
      <c r="V38" s="1507" t="s">
        <v>8</v>
      </c>
      <c r="W38" s="1508">
        <f t="shared" si="14"/>
        <v>100</v>
      </c>
      <c r="X38" s="1501"/>
      <c r="Y38" s="3667"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67"/>
      <c r="Q39" s="1506" t="str">
        <f t="shared" si="11"/>
        <v>层高</v>
      </c>
      <c r="R39" s="1507" t="s">
        <v>8</v>
      </c>
      <c r="S39" s="1508">
        <f t="shared" si="12"/>
        <v>100</v>
      </c>
      <c r="T39" s="1507" t="s">
        <v>8</v>
      </c>
      <c r="U39" s="1508">
        <f t="shared" si="13"/>
        <v>100</v>
      </c>
      <c r="V39" s="1507" t="s">
        <v>8</v>
      </c>
      <c r="W39" s="1508">
        <f t="shared" si="14"/>
        <v>100</v>
      </c>
      <c r="X39" s="1501"/>
      <c r="Y39" s="3667"/>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667"/>
      <c r="Q40" s="1506" t="str">
        <f t="shared" si="11"/>
        <v>单套建筑面积</v>
      </c>
      <c r="R40" s="1507" t="s">
        <v>8</v>
      </c>
      <c r="S40" s="1508">
        <f t="shared" si="12"/>
        <v>100</v>
      </c>
      <c r="T40" s="1507" t="s">
        <v>8</v>
      </c>
      <c r="U40" s="1508">
        <f t="shared" si="13"/>
        <v>100</v>
      </c>
      <c r="V40" s="1507" t="s">
        <v>8</v>
      </c>
      <c r="W40" s="1508">
        <f t="shared" si="14"/>
        <v>100</v>
      </c>
      <c r="X40" s="1501"/>
      <c r="Y40" s="3667"/>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667"/>
      <c r="Q41" s="1535" t="str">
        <f t="shared" si="11"/>
        <v>进深比</v>
      </c>
      <c r="R41" s="1511" t="s">
        <v>8</v>
      </c>
      <c r="S41" s="1512">
        <f t="shared" si="12"/>
        <v>100</v>
      </c>
      <c r="T41" s="1511" t="s">
        <v>8</v>
      </c>
      <c r="U41" s="1512">
        <f t="shared" si="13"/>
        <v>100</v>
      </c>
      <c r="V41" s="1511" t="s">
        <v>8</v>
      </c>
      <c r="W41" s="1512">
        <f t="shared" si="14"/>
        <v>100</v>
      </c>
      <c r="X41" s="1513"/>
      <c r="Y41" s="3667"/>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667"/>
      <c r="Q42" s="1506" t="str">
        <f t="shared" si="11"/>
        <v>内部装修</v>
      </c>
      <c r="R42" s="1507" t="s">
        <v>8</v>
      </c>
      <c r="S42" s="1508">
        <f t="shared" si="12"/>
        <v>100</v>
      </c>
      <c r="T42" s="1507" t="s">
        <v>8</v>
      </c>
      <c r="U42" s="1508">
        <f t="shared" si="13"/>
        <v>100</v>
      </c>
      <c r="V42" s="1507" t="s">
        <v>8</v>
      </c>
      <c r="W42" s="1508">
        <f t="shared" si="14"/>
        <v>100</v>
      </c>
      <c r="X42" s="1501"/>
      <c r="Y42" s="3667"/>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667"/>
      <c r="Q43" s="1506" t="str">
        <f t="shared" si="11"/>
        <v>内部装修维护情况</v>
      </c>
      <c r="R43" s="1507" t="s">
        <v>8</v>
      </c>
      <c r="S43" s="1508">
        <f t="shared" si="12"/>
        <v>100</v>
      </c>
      <c r="T43" s="1507" t="s">
        <v>8</v>
      </c>
      <c r="U43" s="1508">
        <f t="shared" si="13"/>
        <v>100</v>
      </c>
      <c r="V43" s="1507" t="s">
        <v>8</v>
      </c>
      <c r="W43" s="1508">
        <f t="shared" si="14"/>
        <v>100</v>
      </c>
      <c r="X43" s="1501"/>
      <c r="Y43" s="3667"/>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667"/>
      <c r="Q44" s="1133">
        <f t="shared" si="11"/>
        <v>111</v>
      </c>
      <c r="R44" s="1502" t="s">
        <v>8</v>
      </c>
      <c r="S44" s="1503">
        <f t="shared" si="12"/>
        <v>100</v>
      </c>
      <c r="T44" s="1502" t="s">
        <v>8</v>
      </c>
      <c r="U44" s="1503">
        <f t="shared" si="13"/>
        <v>100</v>
      </c>
      <c r="V44" s="1502" t="s">
        <v>8</v>
      </c>
      <c r="W44" s="1503">
        <f t="shared" si="14"/>
        <v>100</v>
      </c>
      <c r="X44" s="1504"/>
      <c r="Y44" s="3667"/>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667"/>
      <c r="Q45" s="1506">
        <f t="shared" si="11"/>
        <v>111</v>
      </c>
      <c r="R45" s="1507" t="s">
        <v>8</v>
      </c>
      <c r="S45" s="1508">
        <f t="shared" si="12"/>
        <v>100</v>
      </c>
      <c r="T45" s="1507" t="s">
        <v>8</v>
      </c>
      <c r="U45" s="1508">
        <f t="shared" si="13"/>
        <v>100</v>
      </c>
      <c r="V45" s="1507" t="s">
        <v>8</v>
      </c>
      <c r="W45" s="1508">
        <f t="shared" si="14"/>
        <v>100</v>
      </c>
      <c r="X45" s="1501"/>
      <c r="Y45" s="3667"/>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726"/>
      <c r="Q46" s="1506">
        <f t="shared" si="11"/>
        <v>111</v>
      </c>
      <c r="R46" s="1507" t="s">
        <v>8</v>
      </c>
      <c r="S46" s="1508">
        <f t="shared" si="12"/>
        <v>100</v>
      </c>
      <c r="T46" s="1507" t="s">
        <v>8</v>
      </c>
      <c r="U46" s="1508">
        <f t="shared" si="13"/>
        <v>100</v>
      </c>
      <c r="V46" s="1507" t="s">
        <v>8</v>
      </c>
      <c r="W46" s="1508">
        <f t="shared" si="14"/>
        <v>100</v>
      </c>
      <c r="X46" s="1501"/>
      <c r="Y46" s="3726"/>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630" t="str">
        <f>A47</f>
        <v>成交单价（元/平方米）</v>
      </c>
      <c r="Q47" s="3630"/>
      <c r="R47" s="3725">
        <f>E47</f>
        <v>0</v>
      </c>
      <c r="S47" s="3725"/>
      <c r="T47" s="3725">
        <f>G47</f>
        <v>0</v>
      </c>
      <c r="U47" s="3725"/>
      <c r="V47" s="3725">
        <f>I47</f>
        <v>0</v>
      </c>
      <c r="W47" s="3725"/>
      <c r="X47" s="1496"/>
      <c r="Y47" s="1515"/>
      <c r="Z47" s="1496"/>
      <c r="AA47" s="1496"/>
      <c r="AB47" s="1496"/>
      <c r="AC47" s="1496"/>
    </row>
    <row r="48" spans="1:29" ht="15.75" thickBot="1">
      <c r="A48" s="609" t="s">
        <v>2740</v>
      </c>
      <c r="B48" s="876"/>
      <c r="C48" s="2476" t="e">
        <f>R49</f>
        <v>#DIV/0!</v>
      </c>
      <c r="D48" s="3013" t="s">
        <v>2963</v>
      </c>
      <c r="E48" s="2477" t="e">
        <f>R48</f>
        <v>#DIV/0!</v>
      </c>
      <c r="F48" s="3014"/>
      <c r="G48" s="2476" t="e">
        <f>T48</f>
        <v>#DIV/0!</v>
      </c>
      <c r="H48" s="3014"/>
      <c r="I48" s="2477" t="e">
        <f>V48</f>
        <v>#DIV/0!</v>
      </c>
      <c r="J48" s="3014"/>
      <c r="K48" s="3022">
        <f>F48+H48+J48</f>
        <v>0</v>
      </c>
      <c r="L48" s="2026"/>
      <c r="M48" s="2027"/>
      <c r="N48" s="2016"/>
      <c r="O48" s="2027"/>
      <c r="P48" s="3630" t="str">
        <f>A48</f>
        <v>比较价格（元/平方米）</v>
      </c>
      <c r="Q48" s="3630"/>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1496"/>
      <c r="Y48" s="1496"/>
      <c r="Z48" s="1496"/>
      <c r="AA48" s="1496"/>
      <c r="AB48" s="1496"/>
      <c r="AC48" s="1496"/>
    </row>
    <row r="49" spans="1:29" ht="15.75" thickBot="1">
      <c r="A49" s="613" t="s">
        <v>2895</v>
      </c>
      <c r="B49" s="614"/>
      <c r="C49" s="2478" t="e">
        <f>R49</f>
        <v>#DIV/0!</v>
      </c>
      <c r="D49" s="2478"/>
      <c r="E49" s="2478"/>
      <c r="F49" s="2478"/>
      <c r="G49" s="2478"/>
      <c r="H49" s="2478"/>
      <c r="I49" s="2478"/>
      <c r="J49" s="2478"/>
      <c r="K49" s="1541"/>
      <c r="L49" s="2026"/>
      <c r="M49" s="2027"/>
      <c r="N49" s="2016"/>
      <c r="O49" s="2027"/>
      <c r="P49" s="3627" t="str">
        <f>A49</f>
        <v>估价对象XX用房的比较价格（楼面单价，元/平方米）</v>
      </c>
      <c r="Q49" s="3628"/>
      <c r="R49" s="3724" t="e">
        <f>IF(F1="售价",ROUND(IF(D48="简单平均",AVERAGE(R48:V48),R48*F48+T48*H48+V48*J48),0),ROUND(IF(D48="简单平均",AVERAGE(R48:V48),R48*F48+T48*H48+V48*J48),1))</f>
        <v>#DIV/0!</v>
      </c>
      <c r="S49" s="3724"/>
      <c r="T49" s="3724"/>
      <c r="U49" s="3724"/>
      <c r="V49" s="3724"/>
      <c r="W49" s="3724"/>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2020-11</v>
      </c>
      <c r="D58" s="2521">
        <f>EDATE(C58,-1)</f>
        <v>44105</v>
      </c>
      <c r="E58" s="2521">
        <f t="shared" ref="E58:O58" si="16">EDATE(D58,-1)</f>
        <v>44075</v>
      </c>
      <c r="F58" s="2521">
        <f t="shared" si="16"/>
        <v>44044</v>
      </c>
      <c r="G58" s="2521">
        <f t="shared" si="16"/>
        <v>44013</v>
      </c>
      <c r="H58" s="2521">
        <f t="shared" si="16"/>
        <v>43983</v>
      </c>
      <c r="I58" s="2521">
        <f t="shared" si="16"/>
        <v>43952</v>
      </c>
      <c r="J58" s="2521">
        <f t="shared" si="16"/>
        <v>43922</v>
      </c>
      <c r="K58" s="2521">
        <f t="shared" si="16"/>
        <v>43891</v>
      </c>
      <c r="L58" s="2521">
        <f t="shared" si="16"/>
        <v>43862</v>
      </c>
      <c r="M58" s="2521">
        <f t="shared" si="16"/>
        <v>43831</v>
      </c>
      <c r="N58" s="2521">
        <f t="shared" si="16"/>
        <v>43800</v>
      </c>
      <c r="O58" s="2521">
        <f t="shared" si="16"/>
        <v>43770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8"/>
      <c r="M1" s="3209"/>
      <c r="N1" s="3209"/>
      <c r="O1" s="3209"/>
      <c r="P1" s="3272"/>
      <c r="Q1" s="2014"/>
      <c r="R1" s="2014"/>
      <c r="S1" s="2014"/>
      <c r="T1" s="2014"/>
      <c r="U1" s="2014"/>
      <c r="V1" s="2014"/>
      <c r="W1" s="2014"/>
      <c r="X1" s="2014"/>
      <c r="Y1" s="2014"/>
      <c r="Z1" s="2014"/>
      <c r="AA1" s="2014"/>
      <c r="AB1" s="2014"/>
      <c r="AC1" s="3210"/>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2"/>
      <c r="Q2" s="2014"/>
      <c r="R2" s="2014"/>
      <c r="S2" s="2014"/>
      <c r="T2" s="2014"/>
      <c r="U2" s="2014"/>
      <c r="V2" s="2014"/>
      <c r="W2" s="2014"/>
      <c r="X2" s="2014"/>
      <c r="Y2" s="2014"/>
      <c r="Z2" s="2014"/>
      <c r="AA2" s="2014"/>
      <c r="AB2" s="2014"/>
      <c r="AC2" s="3210"/>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2"/>
      <c r="Q3" s="2014"/>
      <c r="R3" s="2014"/>
      <c r="S3" s="2014"/>
      <c r="T3" s="2014"/>
      <c r="U3" s="2014"/>
      <c r="V3" s="2014"/>
      <c r="W3" s="2014"/>
      <c r="X3" s="2014"/>
      <c r="Y3" s="2014"/>
      <c r="Z3" s="2014"/>
      <c r="AA3" s="2014"/>
      <c r="AB3" s="2014"/>
      <c r="AC3" s="3210"/>
    </row>
    <row r="4" spans="1:29" ht="15">
      <c r="A4" s="506" t="s">
        <v>515</v>
      </c>
      <c r="B4" s="507"/>
      <c r="C4" s="3636" t="s">
        <v>516</v>
      </c>
      <c r="D4" s="3637"/>
      <c r="E4" s="3670" t="s">
        <v>517</v>
      </c>
      <c r="F4" s="3671"/>
      <c r="G4" s="3636" t="s">
        <v>518</v>
      </c>
      <c r="H4" s="3637"/>
      <c r="I4" s="3636" t="s">
        <v>519</v>
      </c>
      <c r="J4" s="3637"/>
      <c r="K4" s="508" t="s">
        <v>520</v>
      </c>
      <c r="L4" s="2015"/>
      <c r="M4" s="2016"/>
      <c r="N4" s="2016"/>
      <c r="O4" s="2016"/>
      <c r="P4" s="3753" t="s">
        <v>521</v>
      </c>
      <c r="Q4" s="3639"/>
      <c r="R4" s="3644" t="s">
        <v>517</v>
      </c>
      <c r="S4" s="3645"/>
      <c r="T4" s="3644" t="s">
        <v>518</v>
      </c>
      <c r="U4" s="3645"/>
      <c r="V4" s="3631" t="s">
        <v>519</v>
      </c>
      <c r="W4" s="3631"/>
      <c r="X4" s="1501"/>
      <c r="Y4" s="3644" t="s">
        <v>521</v>
      </c>
      <c r="Z4" s="3645"/>
      <c r="AA4" s="3633" t="s">
        <v>517</v>
      </c>
      <c r="AB4" s="3633" t="s">
        <v>518</v>
      </c>
      <c r="AC4" s="3633" t="s">
        <v>519</v>
      </c>
    </row>
    <row r="5" spans="1:29" ht="15">
      <c r="A5" s="509"/>
      <c r="B5" s="510"/>
      <c r="C5" s="3652" t="s">
        <v>2889</v>
      </c>
      <c r="D5" s="3653"/>
      <c r="E5" s="3672" t="s">
        <v>2890</v>
      </c>
      <c r="F5" s="3673"/>
      <c r="G5" s="3652" t="s">
        <v>2891</v>
      </c>
      <c r="H5" s="3653"/>
      <c r="I5" s="3652" t="s">
        <v>2892</v>
      </c>
      <c r="J5" s="3653"/>
      <c r="K5" s="508"/>
      <c r="L5" s="2015"/>
      <c r="M5" s="2016"/>
      <c r="N5" s="2016"/>
      <c r="O5" s="2016"/>
      <c r="P5" s="3754"/>
      <c r="Q5" s="3641"/>
      <c r="R5" s="3646"/>
      <c r="S5" s="3647"/>
      <c r="T5" s="3646"/>
      <c r="U5" s="3647"/>
      <c r="V5" s="3631"/>
      <c r="W5" s="3631"/>
      <c r="X5" s="1501"/>
      <c r="Y5" s="3646"/>
      <c r="Z5" s="3647"/>
      <c r="AA5" s="3634"/>
      <c r="AB5" s="3634"/>
      <c r="AC5" s="3634"/>
    </row>
    <row r="6" spans="1:29" ht="15.75" thickBot="1">
      <c r="A6" s="511"/>
      <c r="B6" s="512"/>
      <c r="C6" s="3650" t="s">
        <v>2893</v>
      </c>
      <c r="D6" s="3651"/>
      <c r="E6" s="3668" t="s">
        <v>2893</v>
      </c>
      <c r="F6" s="3669"/>
      <c r="G6" s="3650" t="s">
        <v>2893</v>
      </c>
      <c r="H6" s="3651"/>
      <c r="I6" s="3650" t="s">
        <v>2893</v>
      </c>
      <c r="J6" s="3651"/>
      <c r="K6" s="508" t="s">
        <v>522</v>
      </c>
      <c r="L6" s="2015"/>
      <c r="M6" s="2016"/>
      <c r="N6" s="2016"/>
      <c r="O6" s="2016"/>
      <c r="P6" s="3755"/>
      <c r="Q6" s="3643"/>
      <c r="R6" s="3646"/>
      <c r="S6" s="3647"/>
      <c r="T6" s="3648"/>
      <c r="U6" s="3649"/>
      <c r="V6" s="3631"/>
      <c r="W6" s="3631"/>
      <c r="X6" s="1501"/>
      <c r="Y6" s="3648"/>
      <c r="Z6" s="3649"/>
      <c r="AA6" s="3635"/>
      <c r="AB6" s="3635"/>
      <c r="AC6" s="3635"/>
    </row>
    <row r="7" spans="1:29" s="1202" customFormat="1" ht="15.75" thickBot="1">
      <c r="A7" s="2629"/>
      <c r="B7" s="2636" t="s">
        <v>523</v>
      </c>
      <c r="C7" s="513">
        <f>'数据-取费表'!B2</f>
        <v>44139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663" t="s">
        <v>524</v>
      </c>
      <c r="Q7" s="3663"/>
      <c r="R7" s="1502" t="s">
        <v>8</v>
      </c>
      <c r="S7" s="1503">
        <f t="shared" ref="S7:S15" si="0">F7</f>
        <v>0</v>
      </c>
      <c r="T7" s="1502" t="s">
        <v>8</v>
      </c>
      <c r="U7" s="1503">
        <f t="shared" ref="U7:U15" si="1">H7</f>
        <v>0</v>
      </c>
      <c r="V7" s="1502" t="s">
        <v>8</v>
      </c>
      <c r="W7" s="1503">
        <f t="shared" ref="W7:W15" si="2">J7</f>
        <v>0</v>
      </c>
      <c r="X7" s="1504"/>
      <c r="Y7" s="3661" t="s">
        <v>524</v>
      </c>
      <c r="Z7" s="3662"/>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663" t="s">
        <v>527</v>
      </c>
      <c r="Q8" s="3662"/>
      <c r="R8" s="1502" t="s">
        <v>8</v>
      </c>
      <c r="S8" s="1503">
        <f t="shared" si="0"/>
        <v>0</v>
      </c>
      <c r="T8" s="1502" t="s">
        <v>8</v>
      </c>
      <c r="U8" s="1503">
        <f t="shared" si="1"/>
        <v>0</v>
      </c>
      <c r="V8" s="1502" t="s">
        <v>8</v>
      </c>
      <c r="W8" s="1503">
        <f t="shared" si="2"/>
        <v>0</v>
      </c>
      <c r="X8" s="1504"/>
      <c r="Y8" s="3661" t="s">
        <v>527</v>
      </c>
      <c r="Z8" s="3662"/>
      <c r="AA8" s="1505" t="e">
        <f t="shared" ref="AA8:AA47" si="3">D8/F8</f>
        <v>#DIV/0!</v>
      </c>
      <c r="AB8" s="1505" t="e">
        <f t="shared" ref="AB8:AB47" si="4">D8/H8</f>
        <v>#DIV/0!</v>
      </c>
      <c r="AC8" s="1505" t="e">
        <f t="shared" ref="AC8:AC47" si="5">D8/J8</f>
        <v>#DIV/0!</v>
      </c>
    </row>
    <row r="9" spans="1:29" s="1202"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630" t="s">
        <v>529</v>
      </c>
      <c r="Q9" s="1133" t="str">
        <f t="shared" ref="Q9:Q15" si="6">B9</f>
        <v>用途</v>
      </c>
      <c r="R9" s="1502" t="s">
        <v>8</v>
      </c>
      <c r="S9" s="1503">
        <f t="shared" si="0"/>
        <v>100</v>
      </c>
      <c r="T9" s="1502" t="s">
        <v>8</v>
      </c>
      <c r="U9" s="1503">
        <f t="shared" si="1"/>
        <v>100</v>
      </c>
      <c r="V9" s="1502" t="s">
        <v>8</v>
      </c>
      <c r="W9" s="1503">
        <f t="shared" si="2"/>
        <v>100</v>
      </c>
      <c r="X9" s="1504"/>
      <c r="Y9" s="3576"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630"/>
      <c r="Q10" s="1133" t="str">
        <f t="shared" si="6"/>
        <v>土地使用年限（年）</v>
      </c>
      <c r="R10" s="1502" t="s">
        <v>8</v>
      </c>
      <c r="S10" s="1503">
        <f t="shared" si="0"/>
        <v>100</v>
      </c>
      <c r="T10" s="1502" t="s">
        <v>8</v>
      </c>
      <c r="U10" s="1503">
        <f t="shared" si="1"/>
        <v>100</v>
      </c>
      <c r="V10" s="1502" t="s">
        <v>8</v>
      </c>
      <c r="W10" s="1503">
        <f t="shared" si="2"/>
        <v>100</v>
      </c>
      <c r="X10" s="1504"/>
      <c r="Y10" s="3576"/>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630"/>
      <c r="Q11" s="1133" t="str">
        <f t="shared" si="6"/>
        <v>容积率</v>
      </c>
      <c r="R11" s="1502" t="s">
        <v>8</v>
      </c>
      <c r="S11" s="1503" t="e">
        <f t="shared" si="0"/>
        <v>#N/A</v>
      </c>
      <c r="T11" s="1502" t="s">
        <v>8</v>
      </c>
      <c r="U11" s="1503" t="e">
        <f t="shared" si="1"/>
        <v>#N/A</v>
      </c>
      <c r="V11" s="1502" t="s">
        <v>8</v>
      </c>
      <c r="W11" s="1503" t="e">
        <f t="shared" si="2"/>
        <v>#N/A</v>
      </c>
      <c r="X11" s="1504"/>
      <c r="Y11" s="3576"/>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630"/>
      <c r="Q12" s="1133">
        <f t="shared" si="6"/>
        <v>111</v>
      </c>
      <c r="R12" s="1502" t="s">
        <v>8</v>
      </c>
      <c r="S12" s="1503">
        <f t="shared" si="0"/>
        <v>100</v>
      </c>
      <c r="T12" s="1502" t="s">
        <v>8</v>
      </c>
      <c r="U12" s="1503">
        <f t="shared" si="1"/>
        <v>100</v>
      </c>
      <c r="V12" s="1502" t="s">
        <v>8</v>
      </c>
      <c r="W12" s="1503">
        <f t="shared" si="2"/>
        <v>100</v>
      </c>
      <c r="X12" s="1504"/>
      <c r="Y12" s="3576"/>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630"/>
      <c r="Q13" s="1133">
        <f t="shared" si="6"/>
        <v>111</v>
      </c>
      <c r="R13" s="1502" t="s">
        <v>8</v>
      </c>
      <c r="S13" s="1503">
        <f t="shared" si="0"/>
        <v>100</v>
      </c>
      <c r="T13" s="1502" t="s">
        <v>8</v>
      </c>
      <c r="U13" s="1503">
        <f t="shared" si="1"/>
        <v>100</v>
      </c>
      <c r="V13" s="1502" t="s">
        <v>8</v>
      </c>
      <c r="W13" s="1503">
        <f t="shared" si="2"/>
        <v>100</v>
      </c>
      <c r="X13" s="1504"/>
      <c r="Y13" s="3576"/>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630"/>
      <c r="Q14" s="1133">
        <f t="shared" si="6"/>
        <v>111</v>
      </c>
      <c r="R14" s="1502" t="s">
        <v>8</v>
      </c>
      <c r="S14" s="1503">
        <f t="shared" si="0"/>
        <v>100</v>
      </c>
      <c r="T14" s="1502" t="s">
        <v>8</v>
      </c>
      <c r="U14" s="1503">
        <f t="shared" si="1"/>
        <v>100</v>
      </c>
      <c r="V14" s="1502" t="s">
        <v>8</v>
      </c>
      <c r="W14" s="1503">
        <f t="shared" si="2"/>
        <v>100</v>
      </c>
      <c r="X14" s="1504"/>
      <c r="Y14" s="3576"/>
      <c r="Z14" s="1132">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664" t="s">
        <v>534</v>
      </c>
      <c r="Q15" s="1506" t="str">
        <f t="shared" si="6"/>
        <v>办公集聚程度</v>
      </c>
      <c r="R15" s="1507" t="s">
        <v>8</v>
      </c>
      <c r="S15" s="1508">
        <f t="shared" si="0"/>
        <v>100</v>
      </c>
      <c r="T15" s="1507" t="s">
        <v>8</v>
      </c>
      <c r="U15" s="1508">
        <f t="shared" si="1"/>
        <v>100</v>
      </c>
      <c r="V15" s="1507" t="s">
        <v>8</v>
      </c>
      <c r="W15" s="1508">
        <f t="shared" si="2"/>
        <v>100</v>
      </c>
      <c r="X15" s="1501"/>
      <c r="Y15" s="3664"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665"/>
      <c r="Q16" s="1506"/>
      <c r="R16" s="1507"/>
      <c r="S16" s="1508"/>
      <c r="T16" s="1507"/>
      <c r="U16" s="1508"/>
      <c r="V16" s="1507"/>
      <c r="W16" s="1508"/>
      <c r="X16" s="1501"/>
      <c r="Y16" s="3665"/>
      <c r="Z16" s="1509"/>
      <c r="AA16" s="1510">
        <v>1</v>
      </c>
      <c r="AB16" s="1510">
        <v>1</v>
      </c>
      <c r="AC16" s="1510">
        <v>1</v>
      </c>
    </row>
    <row r="17" spans="1:29" ht="15">
      <c r="A17" s="526"/>
      <c r="B17" s="554" t="s">
        <v>296</v>
      </c>
      <c r="C17" s="567" t="str">
        <f>估价对象房地状况!C6</f>
        <v>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665"/>
      <c r="Q17" s="1506" t="str">
        <f>B17</f>
        <v>交通便捷度</v>
      </c>
      <c r="R17" s="1507" t="s">
        <v>8</v>
      </c>
      <c r="S17" s="1508">
        <f>F17</f>
        <v>100</v>
      </c>
      <c r="T17" s="1507" t="s">
        <v>8</v>
      </c>
      <c r="U17" s="1508">
        <f>H17</f>
        <v>100</v>
      </c>
      <c r="V17" s="1507" t="s">
        <v>8</v>
      </c>
      <c r="W17" s="1508">
        <f>J17</f>
        <v>100</v>
      </c>
      <c r="X17" s="1501"/>
      <c r="Y17" s="3665"/>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665"/>
      <c r="Q18" s="1506"/>
      <c r="R18" s="1507"/>
      <c r="S18" s="1508"/>
      <c r="T18" s="1507"/>
      <c r="U18" s="1508"/>
      <c r="V18" s="1507"/>
      <c r="W18" s="1508"/>
      <c r="X18" s="1501"/>
      <c r="Y18" s="3665"/>
      <c r="Z18" s="1509"/>
      <c r="AA18" s="1510">
        <v>1</v>
      </c>
      <c r="AB18" s="1510">
        <v>1</v>
      </c>
      <c r="AC18" s="1510">
        <v>1</v>
      </c>
    </row>
    <row r="19" spans="1:29" ht="15">
      <c r="A19" s="526"/>
      <c r="B19" s="2447" t="s">
        <v>2527</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665"/>
      <c r="Q19" s="1506" t="str">
        <f>B19</f>
        <v>公共配套设施</v>
      </c>
      <c r="R19" s="1507" t="s">
        <v>8</v>
      </c>
      <c r="S19" s="1508">
        <f>F19</f>
        <v>100</v>
      </c>
      <c r="T19" s="1507" t="s">
        <v>8</v>
      </c>
      <c r="U19" s="1508">
        <f>H19</f>
        <v>100</v>
      </c>
      <c r="V19" s="1507" t="s">
        <v>8</v>
      </c>
      <c r="W19" s="1508">
        <f>J19</f>
        <v>100</v>
      </c>
      <c r="X19" s="1501"/>
      <c r="Y19" s="3665"/>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665"/>
      <c r="Q20" s="1506"/>
      <c r="R20" s="1507"/>
      <c r="S20" s="1508"/>
      <c r="T20" s="1507"/>
      <c r="U20" s="1508"/>
      <c r="V20" s="1507"/>
      <c r="W20" s="1508"/>
      <c r="X20" s="1501"/>
      <c r="Y20" s="3665"/>
      <c r="Z20" s="1509"/>
      <c r="AA20" s="1510">
        <v>1</v>
      </c>
      <c r="AB20" s="1510">
        <v>1</v>
      </c>
      <c r="AC20" s="1510">
        <v>1</v>
      </c>
    </row>
    <row r="21" spans="1:29" ht="15">
      <c r="A21" s="526"/>
      <c r="B21" s="2435" t="s">
        <v>2539</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665"/>
      <c r="Q21" s="2429" t="str">
        <f>B21</f>
        <v>基础设施水平</v>
      </c>
      <c r="R21" s="1507" t="s">
        <v>8</v>
      </c>
      <c r="S21" s="1508">
        <f>F21</f>
        <v>100</v>
      </c>
      <c r="T21" s="1507" t="s">
        <v>8</v>
      </c>
      <c r="U21" s="1508">
        <f>H21</f>
        <v>100</v>
      </c>
      <c r="V21" s="1507" t="s">
        <v>8</v>
      </c>
      <c r="W21" s="1508">
        <f>J21</f>
        <v>100</v>
      </c>
      <c r="X21" s="2431"/>
      <c r="Y21" s="3665"/>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665"/>
      <c r="Q22" s="2429"/>
      <c r="R22" s="1507"/>
      <c r="S22" s="1508"/>
      <c r="T22" s="1507"/>
      <c r="U22" s="1508"/>
      <c r="V22" s="1507"/>
      <c r="W22" s="1508"/>
      <c r="X22" s="2431"/>
      <c r="Y22" s="3665"/>
      <c r="Z22" s="2430"/>
      <c r="AA22" s="1510">
        <v>1</v>
      </c>
      <c r="AB22" s="1510">
        <v>1</v>
      </c>
      <c r="AC22" s="1510">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665"/>
      <c r="Q23" s="1506" t="str">
        <f>B23</f>
        <v>环境质量</v>
      </c>
      <c r="R23" s="1507" t="s">
        <v>8</v>
      </c>
      <c r="S23" s="1508">
        <f>F23</f>
        <v>100</v>
      </c>
      <c r="T23" s="1507" t="s">
        <v>8</v>
      </c>
      <c r="U23" s="1508">
        <f>H23</f>
        <v>100</v>
      </c>
      <c r="V23" s="1507" t="s">
        <v>8</v>
      </c>
      <c r="W23" s="1508">
        <f>J23</f>
        <v>100</v>
      </c>
      <c r="X23" s="1501"/>
      <c r="Y23" s="3665"/>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665"/>
      <c r="Q24" s="1506"/>
      <c r="R24" s="1507"/>
      <c r="S24" s="1508"/>
      <c r="T24" s="1507"/>
      <c r="U24" s="1508"/>
      <c r="V24" s="1507"/>
      <c r="W24" s="1508"/>
      <c r="X24" s="1501"/>
      <c r="Y24" s="3665"/>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665"/>
      <c r="Q25" s="1506" t="str">
        <f>B25</f>
        <v>毗邻道路的类型与等级</v>
      </c>
      <c r="R25" s="1507" t="s">
        <v>8</v>
      </c>
      <c r="S25" s="1508">
        <f>F25</f>
        <v>100</v>
      </c>
      <c r="T25" s="1507" t="s">
        <v>8</v>
      </c>
      <c r="U25" s="1508">
        <f>H25</f>
        <v>100</v>
      </c>
      <c r="V25" s="1507" t="s">
        <v>8</v>
      </c>
      <c r="W25" s="1508">
        <f>J25</f>
        <v>100</v>
      </c>
      <c r="X25" s="1501"/>
      <c r="Y25" s="3665"/>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665"/>
      <c r="Q26" s="1506"/>
      <c r="R26" s="1507"/>
      <c r="S26" s="1508"/>
      <c r="T26" s="1507"/>
      <c r="U26" s="1508"/>
      <c r="V26" s="1507"/>
      <c r="W26" s="1508"/>
      <c r="X26" s="1501"/>
      <c r="Y26" s="3665"/>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665"/>
      <c r="Q27" s="1506" t="str">
        <f t="shared" ref="Q27:Q47" si="11">B27</f>
        <v>楼层</v>
      </c>
      <c r="R27" s="1507" t="s">
        <v>8</v>
      </c>
      <c r="S27" s="1508">
        <f>F27</f>
        <v>100</v>
      </c>
      <c r="T27" s="1507" t="s">
        <v>8</v>
      </c>
      <c r="U27" s="1508">
        <f>H27</f>
        <v>100</v>
      </c>
      <c r="V27" s="1507" t="s">
        <v>8</v>
      </c>
      <c r="W27" s="1508">
        <f>J27</f>
        <v>100</v>
      </c>
      <c r="X27" s="1501"/>
      <c r="Y27" s="3665"/>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665"/>
      <c r="Q28" s="1133" t="str">
        <f t="shared" si="11"/>
        <v>朝向</v>
      </c>
      <c r="R28" s="1502" t="s">
        <v>8</v>
      </c>
      <c r="S28" s="1503">
        <f>F28</f>
        <v>100</v>
      </c>
      <c r="T28" s="1502" t="s">
        <v>8</v>
      </c>
      <c r="U28" s="1503">
        <f>H28</f>
        <v>100</v>
      </c>
      <c r="V28" s="1502" t="s">
        <v>8</v>
      </c>
      <c r="W28" s="1503">
        <f>J28</f>
        <v>100</v>
      </c>
      <c r="X28" s="1504"/>
      <c r="Y28" s="3665"/>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665"/>
      <c r="Q29" s="1506">
        <f t="shared" si="11"/>
        <v>111</v>
      </c>
      <c r="R29" s="1507" t="s">
        <v>8</v>
      </c>
      <c r="S29" s="1508">
        <f t="shared" ref="S29:S47" si="12">F29</f>
        <v>100</v>
      </c>
      <c r="T29" s="1507" t="s">
        <v>8</v>
      </c>
      <c r="U29" s="1508">
        <f t="shared" ref="U29:U47" si="13">H29</f>
        <v>100</v>
      </c>
      <c r="V29" s="1507" t="s">
        <v>8</v>
      </c>
      <c r="W29" s="1508">
        <f t="shared" ref="W29:W47" si="14">J29</f>
        <v>100</v>
      </c>
      <c r="X29" s="1501"/>
      <c r="Y29" s="3665"/>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665"/>
      <c r="Q30" s="1506">
        <f t="shared" si="11"/>
        <v>111</v>
      </c>
      <c r="R30" s="1507" t="s">
        <v>8</v>
      </c>
      <c r="S30" s="1508">
        <f t="shared" si="12"/>
        <v>100</v>
      </c>
      <c r="T30" s="1507" t="s">
        <v>8</v>
      </c>
      <c r="U30" s="1508">
        <f t="shared" si="13"/>
        <v>100</v>
      </c>
      <c r="V30" s="1507" t="s">
        <v>8</v>
      </c>
      <c r="W30" s="1508">
        <f t="shared" si="14"/>
        <v>100</v>
      </c>
      <c r="X30" s="1501"/>
      <c r="Y30" s="3665"/>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665"/>
      <c r="Q31" s="1506">
        <f t="shared" si="11"/>
        <v>111</v>
      </c>
      <c r="R31" s="1507" t="s">
        <v>8</v>
      </c>
      <c r="S31" s="1508">
        <f t="shared" si="12"/>
        <v>100</v>
      </c>
      <c r="T31" s="1507" t="s">
        <v>8</v>
      </c>
      <c r="U31" s="1508">
        <f t="shared" si="13"/>
        <v>100</v>
      </c>
      <c r="V31" s="1507" t="s">
        <v>8</v>
      </c>
      <c r="W31" s="1508">
        <f t="shared" si="14"/>
        <v>100</v>
      </c>
      <c r="X31" s="1501"/>
      <c r="Y31" s="3665"/>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665"/>
      <c r="Q32" s="1506">
        <f t="shared" si="11"/>
        <v>111</v>
      </c>
      <c r="R32" s="1507" t="s">
        <v>8</v>
      </c>
      <c r="S32" s="1508">
        <f t="shared" si="12"/>
        <v>100</v>
      </c>
      <c r="T32" s="1507" t="s">
        <v>8</v>
      </c>
      <c r="U32" s="1508">
        <f t="shared" si="13"/>
        <v>100</v>
      </c>
      <c r="V32" s="1507" t="s">
        <v>8</v>
      </c>
      <c r="W32" s="1508">
        <f t="shared" si="14"/>
        <v>100</v>
      </c>
      <c r="X32" s="1501"/>
      <c r="Y32" s="3665"/>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666" t="s">
        <v>544</v>
      </c>
      <c r="Q33" s="1506" t="str">
        <f t="shared" si="11"/>
        <v>建筑类型</v>
      </c>
      <c r="R33" s="1507" t="s">
        <v>8</v>
      </c>
      <c r="S33" s="1508">
        <f t="shared" si="12"/>
        <v>100</v>
      </c>
      <c r="T33" s="1507" t="s">
        <v>8</v>
      </c>
      <c r="U33" s="1508">
        <f t="shared" si="13"/>
        <v>100</v>
      </c>
      <c r="V33" s="1507" t="s">
        <v>8</v>
      </c>
      <c r="W33" s="1508">
        <f t="shared" si="14"/>
        <v>100</v>
      </c>
      <c r="X33" s="1501"/>
      <c r="Y33" s="3667"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667"/>
      <c r="Q34" s="1535" t="str">
        <f t="shared" si="11"/>
        <v>项目建筑规模</v>
      </c>
      <c r="R34" s="1511" t="s">
        <v>8</v>
      </c>
      <c r="S34" s="1512" t="e">
        <f t="shared" si="12"/>
        <v>#N/A</v>
      </c>
      <c r="T34" s="1511" t="s">
        <v>8</v>
      </c>
      <c r="U34" s="1512" t="e">
        <f t="shared" si="13"/>
        <v>#N/A</v>
      </c>
      <c r="V34" s="1511" t="s">
        <v>8</v>
      </c>
      <c r="W34" s="1512" t="e">
        <f t="shared" si="14"/>
        <v>#N/A</v>
      </c>
      <c r="X34" s="1513"/>
      <c r="Y34" s="3667"/>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667"/>
      <c r="Q35" s="1506" t="str">
        <f t="shared" si="11"/>
        <v>建筑结构</v>
      </c>
      <c r="R35" s="1507" t="s">
        <v>8</v>
      </c>
      <c r="S35" s="1508">
        <f t="shared" si="12"/>
        <v>100</v>
      </c>
      <c r="T35" s="1507" t="s">
        <v>8</v>
      </c>
      <c r="U35" s="1508">
        <f t="shared" si="13"/>
        <v>100</v>
      </c>
      <c r="V35" s="1507" t="s">
        <v>8</v>
      </c>
      <c r="W35" s="1508">
        <f t="shared" si="14"/>
        <v>100</v>
      </c>
      <c r="X35" s="1501"/>
      <c r="Y35" s="3667"/>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667"/>
      <c r="Q36" s="1506" t="str">
        <f t="shared" si="11"/>
        <v>公共部分装修</v>
      </c>
      <c r="R36" s="1507" t="s">
        <v>8</v>
      </c>
      <c r="S36" s="1508">
        <f t="shared" si="12"/>
        <v>100</v>
      </c>
      <c r="T36" s="1507" t="s">
        <v>8</v>
      </c>
      <c r="U36" s="1508">
        <f t="shared" si="13"/>
        <v>100</v>
      </c>
      <c r="V36" s="1507" t="s">
        <v>8</v>
      </c>
      <c r="W36" s="1508">
        <f t="shared" si="14"/>
        <v>100</v>
      </c>
      <c r="X36" s="1501"/>
      <c r="Y36" s="3667"/>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667"/>
      <c r="Q37" s="1506" t="str">
        <f t="shared" si="11"/>
        <v>成新度</v>
      </c>
      <c r="R37" s="1507" t="s">
        <v>8</v>
      </c>
      <c r="S37" s="1508" t="e">
        <f t="shared" si="12"/>
        <v>#N/A</v>
      </c>
      <c r="T37" s="1507" t="s">
        <v>8</v>
      </c>
      <c r="U37" s="1508" t="e">
        <f t="shared" si="13"/>
        <v>#N/A</v>
      </c>
      <c r="V37" s="1507" t="s">
        <v>8</v>
      </c>
      <c r="W37" s="1508" t="e">
        <f t="shared" si="14"/>
        <v>#N/A</v>
      </c>
      <c r="X37" s="1501"/>
      <c r="Y37" s="3667"/>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667"/>
      <c r="Q38" s="1133" t="str">
        <f t="shared" si="11"/>
        <v>写字楼等级</v>
      </c>
      <c r="R38" s="1502" t="s">
        <v>8</v>
      </c>
      <c r="S38" s="1503">
        <f t="shared" si="12"/>
        <v>100</v>
      </c>
      <c r="T38" s="1502" t="s">
        <v>8</v>
      </c>
      <c r="U38" s="1503">
        <f t="shared" si="13"/>
        <v>100</v>
      </c>
      <c r="V38" s="1502" t="s">
        <v>8</v>
      </c>
      <c r="W38" s="1503">
        <f t="shared" si="14"/>
        <v>100</v>
      </c>
      <c r="X38" s="1504"/>
      <c r="Y38" s="3667"/>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667" t="s">
        <v>544</v>
      </c>
      <c r="Q39" s="1506" t="str">
        <f t="shared" si="11"/>
        <v>物业管理</v>
      </c>
      <c r="R39" s="1507" t="s">
        <v>8</v>
      </c>
      <c r="S39" s="1508">
        <f t="shared" si="12"/>
        <v>100</v>
      </c>
      <c r="T39" s="1507" t="s">
        <v>8</v>
      </c>
      <c r="U39" s="1508">
        <f t="shared" si="13"/>
        <v>100</v>
      </c>
      <c r="V39" s="1507" t="s">
        <v>8</v>
      </c>
      <c r="W39" s="1508">
        <f t="shared" si="14"/>
        <v>100</v>
      </c>
      <c r="X39" s="1501"/>
      <c r="Y39" s="3667"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667"/>
      <c r="Q40" s="1506" t="str">
        <f t="shared" si="11"/>
        <v>市政基础设施</v>
      </c>
      <c r="R40" s="1507" t="s">
        <v>8</v>
      </c>
      <c r="S40" s="1508">
        <f t="shared" si="12"/>
        <v>100</v>
      </c>
      <c r="T40" s="1507" t="s">
        <v>8</v>
      </c>
      <c r="U40" s="1508">
        <f t="shared" si="13"/>
        <v>100</v>
      </c>
      <c r="V40" s="1507" t="s">
        <v>8</v>
      </c>
      <c r="W40" s="1508">
        <f t="shared" si="14"/>
        <v>100</v>
      </c>
      <c r="X40" s="1501"/>
      <c r="Y40" s="3667"/>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667"/>
      <c r="Q41" s="1506" t="str">
        <f t="shared" si="11"/>
        <v>层高</v>
      </c>
      <c r="R41" s="1507" t="s">
        <v>8</v>
      </c>
      <c r="S41" s="1508">
        <f t="shared" si="12"/>
        <v>100</v>
      </c>
      <c r="T41" s="1507" t="s">
        <v>8</v>
      </c>
      <c r="U41" s="1508">
        <f t="shared" si="13"/>
        <v>100</v>
      </c>
      <c r="V41" s="1507" t="s">
        <v>8</v>
      </c>
      <c r="W41" s="1508">
        <f t="shared" si="14"/>
        <v>100</v>
      </c>
      <c r="X41" s="1501"/>
      <c r="Y41" s="3667"/>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667"/>
      <c r="Q42" s="1535" t="str">
        <f t="shared" si="11"/>
        <v>单套建筑面积</v>
      </c>
      <c r="R42" s="1511" t="s">
        <v>8</v>
      </c>
      <c r="S42" s="1512">
        <f t="shared" si="12"/>
        <v>100</v>
      </c>
      <c r="T42" s="1511" t="s">
        <v>8</v>
      </c>
      <c r="U42" s="1512">
        <f t="shared" si="13"/>
        <v>100</v>
      </c>
      <c r="V42" s="1511" t="s">
        <v>8</v>
      </c>
      <c r="W42" s="1512">
        <f t="shared" si="14"/>
        <v>100</v>
      </c>
      <c r="X42" s="1513"/>
      <c r="Y42" s="3667"/>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667"/>
      <c r="Q43" s="1506" t="str">
        <f t="shared" si="11"/>
        <v>内部装修</v>
      </c>
      <c r="R43" s="1507" t="s">
        <v>8</v>
      </c>
      <c r="S43" s="1508">
        <f t="shared" si="12"/>
        <v>100</v>
      </c>
      <c r="T43" s="1507" t="s">
        <v>8</v>
      </c>
      <c r="U43" s="1508">
        <f t="shared" si="13"/>
        <v>100</v>
      </c>
      <c r="V43" s="1507" t="s">
        <v>8</v>
      </c>
      <c r="W43" s="1508">
        <f t="shared" si="14"/>
        <v>100</v>
      </c>
      <c r="X43" s="1501"/>
      <c r="Y43" s="3667"/>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667"/>
      <c r="Q44" s="1506" t="str">
        <f t="shared" si="11"/>
        <v>内部装修维护情况</v>
      </c>
      <c r="R44" s="1507" t="s">
        <v>8</v>
      </c>
      <c r="S44" s="1508">
        <f t="shared" si="12"/>
        <v>100</v>
      </c>
      <c r="T44" s="1507" t="s">
        <v>8</v>
      </c>
      <c r="U44" s="1508">
        <f t="shared" si="13"/>
        <v>100</v>
      </c>
      <c r="V44" s="1507" t="s">
        <v>8</v>
      </c>
      <c r="W44" s="1508">
        <f t="shared" si="14"/>
        <v>100</v>
      </c>
      <c r="X44" s="1501"/>
      <c r="Y44" s="3667"/>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667"/>
      <c r="Q45" s="1133">
        <f t="shared" si="11"/>
        <v>111</v>
      </c>
      <c r="R45" s="1502" t="s">
        <v>8</v>
      </c>
      <c r="S45" s="1503">
        <f t="shared" si="12"/>
        <v>100</v>
      </c>
      <c r="T45" s="1502" t="s">
        <v>8</v>
      </c>
      <c r="U45" s="1503">
        <f t="shared" si="13"/>
        <v>100</v>
      </c>
      <c r="V45" s="1502" t="s">
        <v>8</v>
      </c>
      <c r="W45" s="1503">
        <f t="shared" si="14"/>
        <v>100</v>
      </c>
      <c r="X45" s="1504"/>
      <c r="Y45" s="3667"/>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667"/>
      <c r="Q46" s="1506">
        <f t="shared" si="11"/>
        <v>111</v>
      </c>
      <c r="R46" s="1507" t="s">
        <v>8</v>
      </c>
      <c r="S46" s="1508">
        <f t="shared" si="12"/>
        <v>100</v>
      </c>
      <c r="T46" s="1507" t="s">
        <v>8</v>
      </c>
      <c r="U46" s="1508">
        <f t="shared" si="13"/>
        <v>100</v>
      </c>
      <c r="V46" s="1507" t="s">
        <v>8</v>
      </c>
      <c r="W46" s="1508">
        <f t="shared" si="14"/>
        <v>100</v>
      </c>
      <c r="X46" s="1501"/>
      <c r="Y46" s="3667"/>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726"/>
      <c r="Q47" s="1506">
        <f t="shared" si="11"/>
        <v>111</v>
      </c>
      <c r="R47" s="1507" t="s">
        <v>8</v>
      </c>
      <c r="S47" s="1508">
        <f t="shared" si="12"/>
        <v>100</v>
      </c>
      <c r="T47" s="1507" t="s">
        <v>8</v>
      </c>
      <c r="U47" s="1508">
        <f t="shared" si="13"/>
        <v>100</v>
      </c>
      <c r="V47" s="1507" t="s">
        <v>8</v>
      </c>
      <c r="W47" s="1508">
        <f t="shared" si="14"/>
        <v>100</v>
      </c>
      <c r="X47" s="1501"/>
      <c r="Y47" s="3726"/>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628" t="str">
        <f>A48</f>
        <v>成交单价（元/平方米）</v>
      </c>
      <c r="Q48" s="3630"/>
      <c r="R48" s="3725">
        <f>E48</f>
        <v>0</v>
      </c>
      <c r="S48" s="3725"/>
      <c r="T48" s="3725">
        <f>G48</f>
        <v>0</v>
      </c>
      <c r="U48" s="3725"/>
      <c r="V48" s="3725">
        <f>I48</f>
        <v>0</v>
      </c>
      <c r="W48" s="3725"/>
      <c r="X48" s="1496"/>
      <c r="Y48" s="1515"/>
      <c r="Z48" s="1496"/>
      <c r="AA48" s="1496"/>
      <c r="AB48" s="1496"/>
      <c r="AC48" s="1496"/>
    </row>
    <row r="49" spans="1:29" ht="15.75" thickBot="1">
      <c r="A49" s="609" t="s">
        <v>2740</v>
      </c>
      <c r="B49" s="876"/>
      <c r="C49" s="2476" t="e">
        <f>R50</f>
        <v>#DIV/0!</v>
      </c>
      <c r="D49" s="3013" t="s">
        <v>2963</v>
      </c>
      <c r="E49" s="2477" t="e">
        <f>R49</f>
        <v>#DIV/0!</v>
      </c>
      <c r="F49" s="3014"/>
      <c r="G49" s="2476" t="e">
        <f>T49</f>
        <v>#DIV/0!</v>
      </c>
      <c r="H49" s="3014"/>
      <c r="I49" s="2477" t="e">
        <f>V49</f>
        <v>#DIV/0!</v>
      </c>
      <c r="J49" s="3014"/>
      <c r="K49" s="3022">
        <f>F49+H49+J49</f>
        <v>0</v>
      </c>
      <c r="L49" s="2026"/>
      <c r="M49" s="2016"/>
      <c r="N49" s="2016"/>
      <c r="O49" s="2016"/>
      <c r="P49" s="3628" t="str">
        <f>A49</f>
        <v>比较价格（元/平方米）</v>
      </c>
      <c r="Q49" s="3630"/>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1496"/>
      <c r="Y49" s="1496"/>
      <c r="Z49" s="1496"/>
      <c r="AA49" s="1496"/>
      <c r="AB49" s="1496"/>
      <c r="AC49" s="1496"/>
    </row>
    <row r="50" spans="1:29" ht="15.75" thickBot="1">
      <c r="A50" s="613" t="s">
        <v>2895</v>
      </c>
      <c r="B50" s="614"/>
      <c r="C50" s="2478" t="e">
        <f>R50</f>
        <v>#DIV/0!</v>
      </c>
      <c r="D50" s="2478"/>
      <c r="E50" s="2478"/>
      <c r="F50" s="2478"/>
      <c r="G50" s="2478"/>
      <c r="H50" s="2478"/>
      <c r="I50" s="2478"/>
      <c r="J50" s="2478"/>
      <c r="K50" s="1541"/>
      <c r="L50" s="2026"/>
      <c r="M50" s="2016"/>
      <c r="N50" s="2016"/>
      <c r="O50" s="2016"/>
      <c r="P50" s="3752" t="str">
        <f>A50</f>
        <v>估价对象XX用房的比较价格（楼面单价，元/平方米）</v>
      </c>
      <c r="Q50" s="3628"/>
      <c r="R50" s="3724" t="e">
        <f>IF(F1="售价",ROUND(IF(D49="简单平均",AVERAGE(R49:V49),R49*F49+T49*H49+V49*J49),0),ROUND(IF(D49="简单平均",AVERAGE(R49:V49),R49*F49+T49*H49+V49*J49),1))</f>
        <v>#DIV/0!</v>
      </c>
      <c r="S50" s="3724"/>
      <c r="T50" s="3724"/>
      <c r="U50" s="3724"/>
      <c r="V50" s="3724"/>
      <c r="W50" s="3724"/>
      <c r="X50" s="1496"/>
      <c r="Y50" s="1496"/>
      <c r="Z50" s="1496"/>
      <c r="AA50" s="1496"/>
      <c r="AB50" s="1496"/>
      <c r="AC50" s="1496"/>
    </row>
    <row r="51" spans="1:29">
      <c r="A51" s="3212"/>
      <c r="B51" s="3212"/>
      <c r="C51" s="3212"/>
      <c r="D51" s="3212"/>
      <c r="E51" s="3212"/>
      <c r="F51" s="3212"/>
      <c r="G51" s="3214"/>
      <c r="H51" s="3212"/>
      <c r="I51" s="3212"/>
      <c r="J51" s="3212"/>
      <c r="K51" s="3215"/>
      <c r="L51" s="2031"/>
      <c r="M51" s="2027"/>
      <c r="N51" s="2027"/>
      <c r="O51" s="2027"/>
      <c r="P51" s="2088"/>
      <c r="Q51" s="2027"/>
      <c r="R51" s="2027"/>
      <c r="S51" s="2027"/>
      <c r="T51" s="2027"/>
      <c r="U51" s="2027"/>
      <c r="V51" s="2027"/>
      <c r="W51" s="2027"/>
      <c r="X51" s="2027"/>
      <c r="Y51" s="2027"/>
      <c r="Z51" s="2027"/>
      <c r="AA51" s="2027"/>
      <c r="AB51" s="2027"/>
      <c r="AC51" s="2027"/>
    </row>
    <row r="52" spans="1:29">
      <c r="A52" s="3212"/>
      <c r="B52" s="3212"/>
      <c r="C52" s="3212"/>
      <c r="D52" s="3212"/>
      <c r="E52" s="3212"/>
      <c r="F52" s="3212"/>
      <c r="G52" s="3212"/>
      <c r="H52" s="3212"/>
      <c r="I52" s="3212"/>
      <c r="J52" s="3212"/>
      <c r="K52" s="3215"/>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2020-11</v>
      </c>
      <c r="D59" s="2521">
        <f>EDATE(C59,-1)</f>
        <v>44105</v>
      </c>
      <c r="E59" s="2521">
        <f t="shared" ref="E59:O59" si="16">EDATE(D59,-1)</f>
        <v>44075</v>
      </c>
      <c r="F59" s="2521">
        <f t="shared" si="16"/>
        <v>44044</v>
      </c>
      <c r="G59" s="2521">
        <f t="shared" si="16"/>
        <v>44013</v>
      </c>
      <c r="H59" s="2521">
        <f t="shared" si="16"/>
        <v>43983</v>
      </c>
      <c r="I59" s="2521">
        <f t="shared" si="16"/>
        <v>43952</v>
      </c>
      <c r="J59" s="2521">
        <f t="shared" si="16"/>
        <v>43922</v>
      </c>
      <c r="K59" s="2521">
        <f t="shared" si="16"/>
        <v>43891</v>
      </c>
      <c r="L59" s="2521">
        <f t="shared" si="16"/>
        <v>43862</v>
      </c>
      <c r="M59" s="2521">
        <f t="shared" si="16"/>
        <v>43831</v>
      </c>
      <c r="N59" s="2521">
        <f t="shared" si="16"/>
        <v>43800</v>
      </c>
      <c r="O59" s="2521">
        <f t="shared" si="16"/>
        <v>43770</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受贵公司委托，我公司对98号地出让国有建设用地使用权抵押价格进行了预评估。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spans="1:4" ht="93.75">
      <c r="A7" s="2590" t="s">
        <v>2728</v>
      </c>
    </row>
    <row r="8" spans="1:4" ht="18.75">
      <c r="A8" s="1709" t="s">
        <v>1896</v>
      </c>
    </row>
    <row r="9" spans="1:4" ht="75">
      <c r="A9" s="1711"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2020年11月4日（评估专业人员勘察现场之日）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2729</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515</v>
      </c>
      <c r="B4" s="507"/>
      <c r="C4" s="3636" t="s">
        <v>516</v>
      </c>
      <c r="D4" s="3637"/>
      <c r="E4" s="3670" t="s">
        <v>517</v>
      </c>
      <c r="F4" s="3671"/>
      <c r="G4" s="3636" t="s">
        <v>518</v>
      </c>
      <c r="H4" s="3637"/>
      <c r="I4" s="3636" t="s">
        <v>519</v>
      </c>
      <c r="J4" s="3637"/>
      <c r="K4" s="508" t="s">
        <v>520</v>
      </c>
      <c r="L4" s="2015"/>
      <c r="M4" s="2016"/>
      <c r="N4" s="2016"/>
      <c r="O4" s="2016"/>
      <c r="P4" s="3638" t="s">
        <v>521</v>
      </c>
      <c r="Q4" s="3639"/>
      <c r="R4" s="3644" t="s">
        <v>517</v>
      </c>
      <c r="S4" s="3645"/>
      <c r="T4" s="3644" t="s">
        <v>518</v>
      </c>
      <c r="U4" s="3645"/>
      <c r="V4" s="3631" t="s">
        <v>519</v>
      </c>
      <c r="W4" s="3631"/>
      <c r="X4" s="1501"/>
      <c r="Y4" s="3644" t="s">
        <v>521</v>
      </c>
      <c r="Z4" s="3645"/>
      <c r="AA4" s="3633" t="s">
        <v>517</v>
      </c>
      <c r="AB4" s="3634" t="s">
        <v>518</v>
      </c>
      <c r="AC4" s="3633" t="s">
        <v>519</v>
      </c>
    </row>
    <row r="5" spans="1:29" ht="15">
      <c r="A5" s="509"/>
      <c r="B5" s="510"/>
      <c r="C5" s="3652" t="s">
        <v>2889</v>
      </c>
      <c r="D5" s="3653"/>
      <c r="E5" s="3672" t="s">
        <v>2890</v>
      </c>
      <c r="F5" s="3673"/>
      <c r="G5" s="3652" t="s">
        <v>2891</v>
      </c>
      <c r="H5" s="3653"/>
      <c r="I5" s="3652" t="s">
        <v>2892</v>
      </c>
      <c r="J5" s="3653"/>
      <c r="K5" s="508"/>
      <c r="L5" s="2015"/>
      <c r="M5" s="2016"/>
      <c r="N5" s="2016"/>
      <c r="O5" s="2016"/>
      <c r="P5" s="3640"/>
      <c r="Q5" s="3641"/>
      <c r="R5" s="3646"/>
      <c r="S5" s="3647"/>
      <c r="T5" s="3646"/>
      <c r="U5" s="3647"/>
      <c r="V5" s="3631"/>
      <c r="W5" s="3631"/>
      <c r="X5" s="1501"/>
      <c r="Y5" s="3646"/>
      <c r="Z5" s="3647"/>
      <c r="AA5" s="3634"/>
      <c r="AB5" s="3634"/>
      <c r="AC5" s="3634"/>
    </row>
    <row r="6" spans="1:29" ht="15.75" thickBot="1">
      <c r="A6" s="511"/>
      <c r="B6" s="512"/>
      <c r="C6" s="3650" t="s">
        <v>2893</v>
      </c>
      <c r="D6" s="3651"/>
      <c r="E6" s="3668" t="s">
        <v>2893</v>
      </c>
      <c r="F6" s="3669"/>
      <c r="G6" s="3650" t="s">
        <v>2893</v>
      </c>
      <c r="H6" s="3651"/>
      <c r="I6" s="3650" t="s">
        <v>2893</v>
      </c>
      <c r="J6" s="3651"/>
      <c r="K6" s="508" t="s">
        <v>522</v>
      </c>
      <c r="L6" s="2015"/>
      <c r="M6" s="2016"/>
      <c r="N6" s="2016"/>
      <c r="O6" s="2016"/>
      <c r="P6" s="3642"/>
      <c r="Q6" s="3643"/>
      <c r="R6" s="3646"/>
      <c r="S6" s="3647"/>
      <c r="T6" s="3648"/>
      <c r="U6" s="3649"/>
      <c r="V6" s="3631"/>
      <c r="W6" s="3631"/>
      <c r="X6" s="1501"/>
      <c r="Y6" s="3648"/>
      <c r="Z6" s="3649"/>
      <c r="AA6" s="3635"/>
      <c r="AB6" s="3635"/>
      <c r="AC6" s="3635"/>
    </row>
    <row r="7" spans="1:29" s="1202" customFormat="1" ht="15.75" thickBot="1">
      <c r="A7" s="2629"/>
      <c r="B7" s="2636" t="s">
        <v>523</v>
      </c>
      <c r="C7" s="513">
        <f>'数据-取费表'!B2</f>
        <v>44139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661" t="s">
        <v>524</v>
      </c>
      <c r="Q7" s="3663"/>
      <c r="R7" s="1502" t="s">
        <v>8</v>
      </c>
      <c r="S7" s="1503">
        <f t="shared" ref="S7:S15" si="0">F7</f>
        <v>0</v>
      </c>
      <c r="T7" s="1502" t="s">
        <v>8</v>
      </c>
      <c r="U7" s="1503">
        <f t="shared" ref="U7:U15" si="1">H7</f>
        <v>0</v>
      </c>
      <c r="V7" s="1502" t="s">
        <v>8</v>
      </c>
      <c r="W7" s="1503">
        <f t="shared" ref="W7:W15" si="2">J7</f>
        <v>0</v>
      </c>
      <c r="X7" s="1504"/>
      <c r="Y7" s="3661" t="s">
        <v>524</v>
      </c>
      <c r="Z7" s="3662"/>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661" t="s">
        <v>527</v>
      </c>
      <c r="Q8" s="3662"/>
      <c r="R8" s="1502" t="s">
        <v>8</v>
      </c>
      <c r="S8" s="1503">
        <f t="shared" si="0"/>
        <v>0</v>
      </c>
      <c r="T8" s="1502" t="s">
        <v>8</v>
      </c>
      <c r="U8" s="1503">
        <f t="shared" si="1"/>
        <v>0</v>
      </c>
      <c r="V8" s="1502" t="s">
        <v>8</v>
      </c>
      <c r="W8" s="1503">
        <f t="shared" si="2"/>
        <v>0</v>
      </c>
      <c r="X8" s="1504"/>
      <c r="Y8" s="3661" t="s">
        <v>527</v>
      </c>
      <c r="Z8" s="3662"/>
      <c r="AA8" s="1505" t="e">
        <f t="shared" ref="AA8:AA40" si="3">D8/F8</f>
        <v>#DIV/0!</v>
      </c>
      <c r="AB8" s="1505" t="e">
        <f t="shared" ref="AB8:AB40" si="4">D8/H8</f>
        <v>#DIV/0!</v>
      </c>
      <c r="AC8" s="1505" t="e">
        <f t="shared" ref="AC8:AC40" si="5">D8/J8</f>
        <v>#DIV/0!</v>
      </c>
    </row>
    <row r="9" spans="1:29" s="1202"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630" t="s">
        <v>529</v>
      </c>
      <c r="Q9" s="1133" t="str">
        <f t="shared" ref="Q9:Q15" si="6">B9</f>
        <v>用途</v>
      </c>
      <c r="R9" s="1502" t="s">
        <v>8</v>
      </c>
      <c r="S9" s="1503">
        <f t="shared" si="0"/>
        <v>100</v>
      </c>
      <c r="T9" s="1502" t="s">
        <v>8</v>
      </c>
      <c r="U9" s="1503">
        <f t="shared" si="1"/>
        <v>100</v>
      </c>
      <c r="V9" s="1502" t="s">
        <v>8</v>
      </c>
      <c r="W9" s="1503">
        <f t="shared" si="2"/>
        <v>100</v>
      </c>
      <c r="X9" s="1504"/>
      <c r="Y9" s="3576"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630"/>
      <c r="Q10" s="1133" t="str">
        <f t="shared" si="6"/>
        <v>土地使用年限（年）</v>
      </c>
      <c r="R10" s="1502" t="s">
        <v>8</v>
      </c>
      <c r="S10" s="1503">
        <f t="shared" si="0"/>
        <v>100</v>
      </c>
      <c r="T10" s="1502" t="s">
        <v>8</v>
      </c>
      <c r="U10" s="1503">
        <f t="shared" si="1"/>
        <v>100</v>
      </c>
      <c r="V10" s="1502" t="s">
        <v>8</v>
      </c>
      <c r="W10" s="1503">
        <f t="shared" si="2"/>
        <v>100</v>
      </c>
      <c r="X10" s="1504"/>
      <c r="Y10" s="3576"/>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630"/>
      <c r="Q11" s="1133" t="str">
        <f t="shared" si="6"/>
        <v>容积率</v>
      </c>
      <c r="R11" s="1502" t="s">
        <v>8</v>
      </c>
      <c r="S11" s="1503" t="e">
        <f t="shared" si="0"/>
        <v>#N/A</v>
      </c>
      <c r="T11" s="1502" t="s">
        <v>8</v>
      </c>
      <c r="U11" s="1503" t="e">
        <f t="shared" si="1"/>
        <v>#N/A</v>
      </c>
      <c r="V11" s="1502" t="s">
        <v>8</v>
      </c>
      <c r="W11" s="1503" t="e">
        <f t="shared" si="2"/>
        <v>#N/A</v>
      </c>
      <c r="X11" s="1504"/>
      <c r="Y11" s="3576"/>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630"/>
      <c r="Q12" s="1133">
        <f t="shared" si="6"/>
        <v>111</v>
      </c>
      <c r="R12" s="1502" t="s">
        <v>8</v>
      </c>
      <c r="S12" s="1503">
        <f t="shared" si="0"/>
        <v>100</v>
      </c>
      <c r="T12" s="1502" t="s">
        <v>8</v>
      </c>
      <c r="U12" s="1503">
        <f t="shared" si="1"/>
        <v>100</v>
      </c>
      <c r="V12" s="1502" t="s">
        <v>8</v>
      </c>
      <c r="W12" s="1503">
        <f t="shared" si="2"/>
        <v>100</v>
      </c>
      <c r="X12" s="1504"/>
      <c r="Y12" s="3576"/>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630"/>
      <c r="Q13" s="1133">
        <f t="shared" si="6"/>
        <v>111</v>
      </c>
      <c r="R13" s="1502" t="s">
        <v>8</v>
      </c>
      <c r="S13" s="1503">
        <f t="shared" si="0"/>
        <v>100</v>
      </c>
      <c r="T13" s="1502" t="s">
        <v>8</v>
      </c>
      <c r="U13" s="1503">
        <f t="shared" si="1"/>
        <v>100</v>
      </c>
      <c r="V13" s="1502" t="s">
        <v>8</v>
      </c>
      <c r="W13" s="1503">
        <f t="shared" si="2"/>
        <v>100</v>
      </c>
      <c r="X13" s="1504"/>
      <c r="Y13" s="3576"/>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630"/>
      <c r="Q14" s="1133">
        <f t="shared" si="6"/>
        <v>111</v>
      </c>
      <c r="R14" s="1502" t="s">
        <v>8</v>
      </c>
      <c r="S14" s="1503">
        <f t="shared" si="0"/>
        <v>100</v>
      </c>
      <c r="T14" s="1502" t="s">
        <v>8</v>
      </c>
      <c r="U14" s="1503">
        <f t="shared" si="1"/>
        <v>100</v>
      </c>
      <c r="V14" s="1502" t="s">
        <v>8</v>
      </c>
      <c r="W14" s="1503">
        <f t="shared" si="2"/>
        <v>100</v>
      </c>
      <c r="X14" s="1504"/>
      <c r="Y14" s="3576"/>
      <c r="Z14" s="1132">
        <f t="shared" si="7"/>
        <v>111</v>
      </c>
      <c r="AA14" s="1505">
        <f t="shared" si="3"/>
        <v>1</v>
      </c>
      <c r="AB14" s="1505">
        <f t="shared" si="4"/>
        <v>1</v>
      </c>
      <c r="AC14" s="1505">
        <f t="shared" si="5"/>
        <v>1</v>
      </c>
    </row>
    <row r="15" spans="1:29" ht="57">
      <c r="A15" s="2627"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664" t="s">
        <v>534</v>
      </c>
      <c r="Q15" s="1506" t="str">
        <f t="shared" si="6"/>
        <v>产业集聚程度</v>
      </c>
      <c r="R15" s="1507" t="s">
        <v>8</v>
      </c>
      <c r="S15" s="1508">
        <f t="shared" si="0"/>
        <v>100</v>
      </c>
      <c r="T15" s="1507" t="s">
        <v>8</v>
      </c>
      <c r="U15" s="1508">
        <f t="shared" si="1"/>
        <v>100</v>
      </c>
      <c r="V15" s="1507" t="s">
        <v>8</v>
      </c>
      <c r="W15" s="1508">
        <f t="shared" si="2"/>
        <v>100</v>
      </c>
      <c r="X15" s="1501"/>
      <c r="Y15" s="3664"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665"/>
      <c r="Q16" s="1506"/>
      <c r="R16" s="1507"/>
      <c r="S16" s="1508"/>
      <c r="T16" s="1507"/>
      <c r="U16" s="1508"/>
      <c r="V16" s="1507"/>
      <c r="W16" s="1508"/>
      <c r="X16" s="1501"/>
      <c r="Y16" s="3665"/>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665"/>
      <c r="Q17" s="1506" t="str">
        <f>B17</f>
        <v>交通便捷度</v>
      </c>
      <c r="R17" s="1507" t="s">
        <v>8</v>
      </c>
      <c r="S17" s="1508">
        <f>F17</f>
        <v>100</v>
      </c>
      <c r="T17" s="1507" t="s">
        <v>8</v>
      </c>
      <c r="U17" s="1508">
        <f>H17</f>
        <v>100</v>
      </c>
      <c r="V17" s="1507" t="s">
        <v>8</v>
      </c>
      <c r="W17" s="1508">
        <f>J17</f>
        <v>100</v>
      </c>
      <c r="X17" s="1501"/>
      <c r="Y17" s="366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665"/>
      <c r="Q18" s="1506"/>
      <c r="R18" s="1507"/>
      <c r="S18" s="1508"/>
      <c r="T18" s="1507"/>
      <c r="U18" s="1508"/>
      <c r="V18" s="1507"/>
      <c r="W18" s="1508"/>
      <c r="X18" s="1501"/>
      <c r="Y18" s="3665"/>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665"/>
      <c r="Q19" s="1506" t="str">
        <f>B19</f>
        <v>公共配套设施</v>
      </c>
      <c r="R19" s="1507" t="s">
        <v>8</v>
      </c>
      <c r="S19" s="1508">
        <f>F19</f>
        <v>100</v>
      </c>
      <c r="T19" s="1507" t="s">
        <v>8</v>
      </c>
      <c r="U19" s="1508">
        <f>H19</f>
        <v>100</v>
      </c>
      <c r="V19" s="1507" t="s">
        <v>8</v>
      </c>
      <c r="W19" s="1508">
        <f>J19</f>
        <v>100</v>
      </c>
      <c r="X19" s="1501"/>
      <c r="Y19" s="3665"/>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665"/>
      <c r="Q20" s="1506"/>
      <c r="R20" s="1507"/>
      <c r="S20" s="1508"/>
      <c r="T20" s="1507"/>
      <c r="U20" s="1508"/>
      <c r="V20" s="1507"/>
      <c r="W20" s="1508"/>
      <c r="X20" s="1501"/>
      <c r="Y20" s="3665"/>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665"/>
      <c r="Q21" s="2429" t="str">
        <f>B21</f>
        <v>基础设施水平</v>
      </c>
      <c r="R21" s="1507" t="s">
        <v>8</v>
      </c>
      <c r="S21" s="1508">
        <f>F21</f>
        <v>100</v>
      </c>
      <c r="T21" s="1507" t="s">
        <v>8</v>
      </c>
      <c r="U21" s="1508">
        <f>H21</f>
        <v>100</v>
      </c>
      <c r="V21" s="1507" t="s">
        <v>8</v>
      </c>
      <c r="W21" s="1508">
        <f>J21</f>
        <v>100</v>
      </c>
      <c r="X21" s="2431"/>
      <c r="Y21" s="3665"/>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665"/>
      <c r="Q22" s="2429"/>
      <c r="R22" s="1507"/>
      <c r="S22" s="1508"/>
      <c r="T22" s="1507"/>
      <c r="U22" s="1508"/>
      <c r="V22" s="1507"/>
      <c r="W22" s="1508"/>
      <c r="X22" s="2431"/>
      <c r="Y22" s="3665"/>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665"/>
      <c r="Q23" s="1506" t="str">
        <f>B23</f>
        <v>环境质量</v>
      </c>
      <c r="R23" s="1507" t="s">
        <v>8</v>
      </c>
      <c r="S23" s="1508">
        <f>F23</f>
        <v>100</v>
      </c>
      <c r="T23" s="1507" t="s">
        <v>8</v>
      </c>
      <c r="U23" s="1508">
        <f>H23</f>
        <v>100</v>
      </c>
      <c r="V23" s="1507" t="s">
        <v>8</v>
      </c>
      <c r="W23" s="1508">
        <f>J23</f>
        <v>100</v>
      </c>
      <c r="X23" s="1501"/>
      <c r="Y23" s="3665"/>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665"/>
      <c r="Q24" s="1506"/>
      <c r="R24" s="1507"/>
      <c r="S24" s="1508"/>
      <c r="T24" s="1507"/>
      <c r="U24" s="1508"/>
      <c r="V24" s="1507"/>
      <c r="W24" s="1508"/>
      <c r="X24" s="1501"/>
      <c r="Y24" s="3665"/>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665"/>
      <c r="Q25" s="1506">
        <f>B25</f>
        <v>111</v>
      </c>
      <c r="R25" s="1507" t="s">
        <v>8</v>
      </c>
      <c r="S25" s="1508">
        <f>F25</f>
        <v>100</v>
      </c>
      <c r="T25" s="1507" t="s">
        <v>8</v>
      </c>
      <c r="U25" s="1508">
        <f>H25</f>
        <v>100</v>
      </c>
      <c r="V25" s="1507" t="s">
        <v>8</v>
      </c>
      <c r="W25" s="1508">
        <f>J25</f>
        <v>100</v>
      </c>
      <c r="X25" s="1501"/>
      <c r="Y25" s="3665"/>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665"/>
      <c r="Q26" s="1506">
        <f t="shared" ref="Q26:Q40" si="11">B26</f>
        <v>111</v>
      </c>
      <c r="R26" s="1507" t="s">
        <v>8</v>
      </c>
      <c r="S26" s="1508">
        <f>F26</f>
        <v>100</v>
      </c>
      <c r="T26" s="1507" t="s">
        <v>8</v>
      </c>
      <c r="U26" s="1508">
        <f>H26</f>
        <v>100</v>
      </c>
      <c r="V26" s="1507" t="s">
        <v>8</v>
      </c>
      <c r="W26" s="1508">
        <f>J26</f>
        <v>100</v>
      </c>
      <c r="X26" s="1501"/>
      <c r="Y26" s="3665"/>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665"/>
      <c r="Q27" s="1133">
        <f t="shared" si="11"/>
        <v>111</v>
      </c>
      <c r="R27" s="1502" t="s">
        <v>8</v>
      </c>
      <c r="S27" s="1503">
        <f>F27</f>
        <v>100</v>
      </c>
      <c r="T27" s="1502" t="s">
        <v>8</v>
      </c>
      <c r="U27" s="1503">
        <f>H27</f>
        <v>100</v>
      </c>
      <c r="V27" s="1502" t="s">
        <v>8</v>
      </c>
      <c r="W27" s="1503">
        <f>J27</f>
        <v>100</v>
      </c>
      <c r="X27" s="1504"/>
      <c r="Y27" s="3665"/>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665"/>
      <c r="Q28" s="1506">
        <f t="shared" si="11"/>
        <v>111</v>
      </c>
      <c r="R28" s="1507" t="s">
        <v>8</v>
      </c>
      <c r="S28" s="1508">
        <f t="shared" ref="S28:S40" si="12">F28</f>
        <v>100</v>
      </c>
      <c r="T28" s="1507" t="s">
        <v>8</v>
      </c>
      <c r="U28" s="1508">
        <f t="shared" ref="U28:U40" si="13">H28</f>
        <v>100</v>
      </c>
      <c r="V28" s="1507" t="s">
        <v>8</v>
      </c>
      <c r="W28" s="1508">
        <f t="shared" ref="W28:W40" si="14">J28</f>
        <v>100</v>
      </c>
      <c r="X28" s="1501"/>
      <c r="Y28" s="3665"/>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666" t="s">
        <v>544</v>
      </c>
      <c r="Q29" s="1506" t="str">
        <f t="shared" si="11"/>
        <v>建筑类型</v>
      </c>
      <c r="R29" s="1507" t="s">
        <v>8</v>
      </c>
      <c r="S29" s="1508">
        <f t="shared" si="12"/>
        <v>100</v>
      </c>
      <c r="T29" s="1507" t="s">
        <v>8</v>
      </c>
      <c r="U29" s="1508">
        <f t="shared" si="13"/>
        <v>100</v>
      </c>
      <c r="V29" s="1507" t="s">
        <v>8</v>
      </c>
      <c r="W29" s="1508">
        <f t="shared" si="14"/>
        <v>100</v>
      </c>
      <c r="X29" s="1501"/>
      <c r="Y29" s="3667"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667"/>
      <c r="Q30" s="1535" t="str">
        <f t="shared" si="11"/>
        <v>项目建筑规模</v>
      </c>
      <c r="R30" s="1511" t="s">
        <v>8</v>
      </c>
      <c r="S30" s="1512" t="e">
        <f t="shared" si="12"/>
        <v>#N/A</v>
      </c>
      <c r="T30" s="1511" t="s">
        <v>8</v>
      </c>
      <c r="U30" s="1512" t="e">
        <f t="shared" si="13"/>
        <v>#N/A</v>
      </c>
      <c r="V30" s="1511" t="s">
        <v>8</v>
      </c>
      <c r="W30" s="1512" t="e">
        <f t="shared" si="14"/>
        <v>#N/A</v>
      </c>
      <c r="X30" s="1513"/>
      <c r="Y30" s="3667"/>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667"/>
      <c r="Q31" s="1506" t="str">
        <f t="shared" si="11"/>
        <v>建筑结构</v>
      </c>
      <c r="R31" s="1507" t="s">
        <v>8</v>
      </c>
      <c r="S31" s="1508">
        <f t="shared" si="12"/>
        <v>100</v>
      </c>
      <c r="T31" s="1507" t="s">
        <v>8</v>
      </c>
      <c r="U31" s="1508">
        <f t="shared" si="13"/>
        <v>100</v>
      </c>
      <c r="V31" s="1507" t="s">
        <v>8</v>
      </c>
      <c r="W31" s="1508">
        <f t="shared" si="14"/>
        <v>100</v>
      </c>
      <c r="X31" s="1501"/>
      <c r="Y31" s="3667"/>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667"/>
      <c r="Q32" s="1506" t="str">
        <f t="shared" si="11"/>
        <v>公共部分装修</v>
      </c>
      <c r="R32" s="1507" t="s">
        <v>8</v>
      </c>
      <c r="S32" s="1508">
        <f t="shared" si="12"/>
        <v>100</v>
      </c>
      <c r="T32" s="1507" t="s">
        <v>8</v>
      </c>
      <c r="U32" s="1508">
        <f t="shared" si="13"/>
        <v>100</v>
      </c>
      <c r="V32" s="1507" t="s">
        <v>8</v>
      </c>
      <c r="W32" s="1508">
        <f t="shared" si="14"/>
        <v>100</v>
      </c>
      <c r="X32" s="1501"/>
      <c r="Y32" s="3667"/>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667"/>
      <c r="Q33" s="1506" t="str">
        <f t="shared" si="11"/>
        <v>成新度</v>
      </c>
      <c r="R33" s="1507" t="s">
        <v>8</v>
      </c>
      <c r="S33" s="1508" t="e">
        <f t="shared" si="12"/>
        <v>#N/A</v>
      </c>
      <c r="T33" s="1507" t="s">
        <v>8</v>
      </c>
      <c r="U33" s="1508" t="e">
        <f t="shared" si="13"/>
        <v>#N/A</v>
      </c>
      <c r="V33" s="1507" t="s">
        <v>8</v>
      </c>
      <c r="W33" s="1508" t="e">
        <f t="shared" si="14"/>
        <v>#N/A</v>
      </c>
      <c r="X33" s="1501"/>
      <c r="Y33" s="3667"/>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667"/>
      <c r="Q34" s="1133" t="str">
        <f t="shared" si="11"/>
        <v>物业管理</v>
      </c>
      <c r="R34" s="1502" t="s">
        <v>8</v>
      </c>
      <c r="S34" s="1503">
        <f t="shared" si="12"/>
        <v>100</v>
      </c>
      <c r="T34" s="1502" t="s">
        <v>8</v>
      </c>
      <c r="U34" s="1503">
        <f t="shared" si="13"/>
        <v>100</v>
      </c>
      <c r="V34" s="1502" t="s">
        <v>8</v>
      </c>
      <c r="W34" s="1503">
        <f t="shared" si="14"/>
        <v>100</v>
      </c>
      <c r="X34" s="1504"/>
      <c r="Y34" s="3667"/>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667" t="s">
        <v>544</v>
      </c>
      <c r="Q35" s="1506" t="str">
        <f t="shared" si="11"/>
        <v>市政基础设施</v>
      </c>
      <c r="R35" s="1507" t="s">
        <v>8</v>
      </c>
      <c r="S35" s="1508">
        <f t="shared" si="12"/>
        <v>100</v>
      </c>
      <c r="T35" s="1507" t="s">
        <v>8</v>
      </c>
      <c r="U35" s="1508">
        <f t="shared" si="13"/>
        <v>100</v>
      </c>
      <c r="V35" s="1507" t="s">
        <v>8</v>
      </c>
      <c r="W35" s="1508">
        <f t="shared" si="14"/>
        <v>100</v>
      </c>
      <c r="X35" s="1501"/>
      <c r="Y35" s="3667"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667"/>
      <c r="Q36" s="1506" t="str">
        <f t="shared" si="11"/>
        <v>内部装修</v>
      </c>
      <c r="R36" s="1507" t="s">
        <v>8</v>
      </c>
      <c r="S36" s="1508">
        <f t="shared" si="12"/>
        <v>100</v>
      </c>
      <c r="T36" s="1507" t="s">
        <v>8</v>
      </c>
      <c r="U36" s="1508">
        <f t="shared" si="13"/>
        <v>100</v>
      </c>
      <c r="V36" s="1507" t="s">
        <v>8</v>
      </c>
      <c r="W36" s="1508">
        <f t="shared" si="14"/>
        <v>100</v>
      </c>
      <c r="X36" s="1501"/>
      <c r="Y36" s="3667"/>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667"/>
      <c r="Q37" s="1506" t="str">
        <f t="shared" si="11"/>
        <v>内部装修状况</v>
      </c>
      <c r="R37" s="1507" t="s">
        <v>8</v>
      </c>
      <c r="S37" s="1508">
        <f t="shared" si="12"/>
        <v>100</v>
      </c>
      <c r="T37" s="1507" t="s">
        <v>8</v>
      </c>
      <c r="U37" s="1508">
        <f t="shared" si="13"/>
        <v>100</v>
      </c>
      <c r="V37" s="1507" t="s">
        <v>8</v>
      </c>
      <c r="W37" s="1508">
        <f t="shared" si="14"/>
        <v>100</v>
      </c>
      <c r="X37" s="1501"/>
      <c r="Y37" s="3667"/>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667"/>
      <c r="Q38" s="1535">
        <f t="shared" si="11"/>
        <v>111</v>
      </c>
      <c r="R38" s="1511" t="s">
        <v>8</v>
      </c>
      <c r="S38" s="1512">
        <f t="shared" si="12"/>
        <v>100</v>
      </c>
      <c r="T38" s="1511" t="s">
        <v>8</v>
      </c>
      <c r="U38" s="1512">
        <f t="shared" si="13"/>
        <v>100</v>
      </c>
      <c r="V38" s="1511" t="s">
        <v>8</v>
      </c>
      <c r="W38" s="1512">
        <f t="shared" si="14"/>
        <v>100</v>
      </c>
      <c r="X38" s="1513"/>
      <c r="Y38" s="3667"/>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667"/>
      <c r="Q39" s="1506">
        <f t="shared" si="11"/>
        <v>111</v>
      </c>
      <c r="R39" s="1507" t="s">
        <v>8</v>
      </c>
      <c r="S39" s="1508">
        <f t="shared" si="12"/>
        <v>100</v>
      </c>
      <c r="T39" s="1507" t="s">
        <v>8</v>
      </c>
      <c r="U39" s="1508">
        <f t="shared" si="13"/>
        <v>100</v>
      </c>
      <c r="V39" s="1507" t="s">
        <v>8</v>
      </c>
      <c r="W39" s="1508">
        <f t="shared" si="14"/>
        <v>100</v>
      </c>
      <c r="X39" s="1501"/>
      <c r="Y39" s="3667"/>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726"/>
      <c r="Q40" s="1506">
        <f t="shared" si="11"/>
        <v>111</v>
      </c>
      <c r="R40" s="1507" t="s">
        <v>8</v>
      </c>
      <c r="S40" s="1508">
        <f t="shared" si="12"/>
        <v>100</v>
      </c>
      <c r="T40" s="1507" t="s">
        <v>8</v>
      </c>
      <c r="U40" s="1508">
        <f t="shared" si="13"/>
        <v>100</v>
      </c>
      <c r="V40" s="1507" t="s">
        <v>8</v>
      </c>
      <c r="W40" s="1508">
        <f t="shared" si="14"/>
        <v>100</v>
      </c>
      <c r="X40" s="1501"/>
      <c r="Y40" s="3726"/>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630" t="str">
        <f>A41</f>
        <v>成交单价（元/平方米）</v>
      </c>
      <c r="Q41" s="3630"/>
      <c r="R41" s="3725">
        <f>E41</f>
        <v>0</v>
      </c>
      <c r="S41" s="3725"/>
      <c r="T41" s="3725">
        <f>G41</f>
        <v>0</v>
      </c>
      <c r="U41" s="3725"/>
      <c r="V41" s="3725">
        <f>I41</f>
        <v>0</v>
      </c>
      <c r="W41" s="3725"/>
      <c r="X41" s="1496"/>
      <c r="Y41" s="1515"/>
      <c r="Z41" s="1496"/>
      <c r="AA41" s="1496"/>
      <c r="AB41" s="1496"/>
      <c r="AC41" s="1496"/>
    </row>
    <row r="42" spans="1:29" ht="15.75" thickBot="1">
      <c r="A42" s="609" t="s">
        <v>2740</v>
      </c>
      <c r="B42" s="876"/>
      <c r="C42" s="2476" t="e">
        <f>R43</f>
        <v>#DIV/0!</v>
      </c>
      <c r="D42" s="3013" t="s">
        <v>2963</v>
      </c>
      <c r="E42" s="2477" t="e">
        <f>R42</f>
        <v>#DIV/0!</v>
      </c>
      <c r="F42" s="3014"/>
      <c r="G42" s="2476" t="e">
        <f>T42</f>
        <v>#DIV/0!</v>
      </c>
      <c r="H42" s="3014"/>
      <c r="I42" s="2477" t="e">
        <f>V42</f>
        <v>#DIV/0!</v>
      </c>
      <c r="J42" s="3014"/>
      <c r="K42" s="3022">
        <f>F42+H42+J42</f>
        <v>0</v>
      </c>
      <c r="L42" s="2026"/>
      <c r="M42" s="2027"/>
      <c r="N42" s="2016"/>
      <c r="O42" s="2027"/>
      <c r="P42" s="3630" t="str">
        <f>A42</f>
        <v>比较价格（元/平方米）</v>
      </c>
      <c r="Q42" s="3630"/>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1496"/>
      <c r="Y42" s="1496"/>
      <c r="Z42" s="1496"/>
      <c r="AA42" s="1496"/>
      <c r="AB42" s="1496"/>
      <c r="AC42" s="1496"/>
    </row>
    <row r="43" spans="1:29" ht="15.75" thickBot="1">
      <c r="A43" s="613" t="s">
        <v>2895</v>
      </c>
      <c r="B43" s="614"/>
      <c r="C43" s="2478" t="e">
        <f>R43</f>
        <v>#DIV/0!</v>
      </c>
      <c r="D43" s="2478"/>
      <c r="E43" s="2478"/>
      <c r="F43" s="2478"/>
      <c r="G43" s="2478"/>
      <c r="H43" s="2478"/>
      <c r="I43" s="2478"/>
      <c r="J43" s="2478"/>
      <c r="K43" s="1541"/>
      <c r="L43" s="2026"/>
      <c r="M43" s="2027"/>
      <c r="N43" s="2027"/>
      <c r="O43" s="2027"/>
      <c r="P43" s="3627" t="str">
        <f>A43</f>
        <v>估价对象XX用房的比较价格（楼面单价，元/平方米）</v>
      </c>
      <c r="Q43" s="3628"/>
      <c r="R43" s="3724" t="e">
        <f>IF(F1="售价",ROUND(IF(D42="简单平均",AVERAGE(R42:V42),R42*F42+T42*H42+V42*J42),0),ROUND(IF(D42="简单平均",AVERAGE(R42:V42),R42*F42+T42*H42+V42*J42),1))</f>
        <v>#DIV/0!</v>
      </c>
      <c r="S43" s="3724"/>
      <c r="T43" s="3724"/>
      <c r="U43" s="3724"/>
      <c r="V43" s="3724"/>
      <c r="W43" s="3724"/>
      <c r="X43" s="1496"/>
      <c r="Y43" s="1496"/>
      <c r="Z43" s="1496"/>
      <c r="AA43" s="1496"/>
      <c r="AB43" s="1496"/>
      <c r="AC43" s="1496"/>
    </row>
    <row r="44" spans="1:29">
      <c r="A44" s="3212"/>
      <c r="B44" s="3212"/>
      <c r="C44" s="3212"/>
      <c r="D44" s="3212"/>
      <c r="E44" s="3212"/>
      <c r="F44" s="3212"/>
      <c r="G44" s="3214"/>
      <c r="H44" s="3212"/>
      <c r="I44" s="3212"/>
      <c r="J44" s="3212"/>
      <c r="K44" s="3215"/>
      <c r="L44" s="2031"/>
      <c r="M44" s="2027"/>
      <c r="N44" s="2027"/>
      <c r="O44" s="2027"/>
      <c r="P44" s="2027"/>
      <c r="Q44" s="2027"/>
      <c r="R44" s="2027"/>
      <c r="S44" s="2027"/>
      <c r="T44" s="2027"/>
      <c r="U44" s="2027"/>
      <c r="V44" s="2027"/>
      <c r="W44" s="2027"/>
      <c r="X44" s="2027"/>
      <c r="Y44" s="2027"/>
      <c r="Z44" s="2027"/>
      <c r="AA44" s="2027"/>
      <c r="AB44" s="2027"/>
      <c r="AC44" s="2027"/>
    </row>
    <row r="45" spans="1:29">
      <c r="A45" s="3212"/>
      <c r="B45" s="3212"/>
      <c r="C45" s="3212"/>
      <c r="D45" s="3212"/>
      <c r="E45" s="3212"/>
      <c r="F45" s="3212"/>
      <c r="G45" s="3212"/>
      <c r="H45" s="3212"/>
      <c r="I45" s="3212"/>
      <c r="J45" s="3212"/>
      <c r="K45" s="3215"/>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2020-11</v>
      </c>
      <c r="D52" s="2521">
        <f>EDATE(C52,-1)</f>
        <v>44105</v>
      </c>
      <c r="E52" s="2521">
        <f t="shared" ref="E52:O52" si="16">EDATE(D52,-1)</f>
        <v>44075</v>
      </c>
      <c r="F52" s="2521">
        <f t="shared" si="16"/>
        <v>44044</v>
      </c>
      <c r="G52" s="2521">
        <f t="shared" si="16"/>
        <v>44013</v>
      </c>
      <c r="H52" s="2521">
        <f t="shared" si="16"/>
        <v>43983</v>
      </c>
      <c r="I52" s="2521">
        <f t="shared" si="16"/>
        <v>43952</v>
      </c>
      <c r="J52" s="2521">
        <f t="shared" si="16"/>
        <v>43922</v>
      </c>
      <c r="K52" s="2521">
        <f t="shared" si="16"/>
        <v>43891</v>
      </c>
      <c r="L52" s="2521">
        <f t="shared" si="16"/>
        <v>43862</v>
      </c>
      <c r="M52" s="2521">
        <f t="shared" si="16"/>
        <v>43831</v>
      </c>
      <c r="N52" s="2521">
        <f t="shared" si="16"/>
        <v>43800</v>
      </c>
      <c r="O52" s="2521">
        <f t="shared" si="16"/>
        <v>43770</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636" t="s">
        <v>792</v>
      </c>
      <c r="D4" s="3637"/>
      <c r="E4" s="3636" t="s">
        <v>793</v>
      </c>
      <c r="F4" s="3637"/>
      <c r="G4" s="3636" t="s">
        <v>794</v>
      </c>
      <c r="H4" s="3637"/>
      <c r="I4" s="3636" t="s">
        <v>795</v>
      </c>
      <c r="J4" s="3637"/>
      <c r="K4" s="508" t="s">
        <v>796</v>
      </c>
      <c r="L4" s="2015"/>
      <c r="M4" s="2016"/>
      <c r="N4" s="2016"/>
      <c r="O4" s="2016"/>
      <c r="P4" s="3638" t="s">
        <v>797</v>
      </c>
      <c r="Q4" s="3639"/>
      <c r="R4" s="3644" t="s">
        <v>793</v>
      </c>
      <c r="S4" s="3645"/>
      <c r="T4" s="3644" t="s">
        <v>794</v>
      </c>
      <c r="U4" s="3645"/>
      <c r="V4" s="3631" t="s">
        <v>795</v>
      </c>
      <c r="W4" s="3631"/>
      <c r="X4" s="1501"/>
      <c r="Y4" s="3644" t="s">
        <v>797</v>
      </c>
      <c r="Z4" s="3645"/>
      <c r="AA4" s="3633" t="s">
        <v>793</v>
      </c>
      <c r="AB4" s="3634" t="s">
        <v>794</v>
      </c>
      <c r="AC4" s="3633" t="s">
        <v>795</v>
      </c>
    </row>
    <row r="5" spans="1:29" ht="15">
      <c r="A5" s="509"/>
      <c r="B5" s="510"/>
      <c r="C5" s="3652" t="s">
        <v>2889</v>
      </c>
      <c r="D5" s="3653"/>
      <c r="E5" s="3652" t="s">
        <v>2890</v>
      </c>
      <c r="F5" s="3653"/>
      <c r="G5" s="3652" t="s">
        <v>2891</v>
      </c>
      <c r="H5" s="3653"/>
      <c r="I5" s="3652" t="s">
        <v>2892</v>
      </c>
      <c r="J5" s="3653"/>
      <c r="K5" s="508"/>
      <c r="L5" s="2015"/>
      <c r="M5" s="2016"/>
      <c r="N5" s="2016"/>
      <c r="O5" s="2016"/>
      <c r="P5" s="3640"/>
      <c r="Q5" s="3641"/>
      <c r="R5" s="3646"/>
      <c r="S5" s="3647"/>
      <c r="T5" s="3646"/>
      <c r="U5" s="3647"/>
      <c r="V5" s="3631"/>
      <c r="W5" s="3631"/>
      <c r="X5" s="1501"/>
      <c r="Y5" s="3646"/>
      <c r="Z5" s="3647"/>
      <c r="AA5" s="3634"/>
      <c r="AB5" s="3634"/>
      <c r="AC5" s="3634"/>
    </row>
    <row r="6" spans="1:29" ht="15.75" thickBot="1">
      <c r="A6" s="511"/>
      <c r="B6" s="512"/>
      <c r="C6" s="3650" t="s">
        <v>2893</v>
      </c>
      <c r="D6" s="3651"/>
      <c r="E6" s="3654" t="s">
        <v>2893</v>
      </c>
      <c r="F6" s="3655"/>
      <c r="G6" s="3650" t="s">
        <v>2893</v>
      </c>
      <c r="H6" s="3651"/>
      <c r="I6" s="3650" t="s">
        <v>2893</v>
      </c>
      <c r="J6" s="3651"/>
      <c r="K6" s="508" t="s">
        <v>522</v>
      </c>
      <c r="L6" s="2015"/>
      <c r="M6" s="2016"/>
      <c r="N6" s="2016"/>
      <c r="O6" s="2016"/>
      <c r="P6" s="3642"/>
      <c r="Q6" s="3643"/>
      <c r="R6" s="3646"/>
      <c r="S6" s="3647"/>
      <c r="T6" s="3648"/>
      <c r="U6" s="3649"/>
      <c r="V6" s="3631"/>
      <c r="W6" s="3631"/>
      <c r="X6" s="1501"/>
      <c r="Y6" s="3648"/>
      <c r="Z6" s="3649"/>
      <c r="AA6" s="3635"/>
      <c r="AB6" s="3635"/>
      <c r="AC6" s="3635"/>
    </row>
    <row r="7" spans="1:29" s="1202" customFormat="1" ht="15.75" thickBot="1">
      <c r="A7" s="2629"/>
      <c r="B7" s="2636" t="s">
        <v>523</v>
      </c>
      <c r="C7" s="513">
        <f>'数据-取费表'!B2</f>
        <v>44139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661" t="s">
        <v>524</v>
      </c>
      <c r="Q7" s="3663"/>
      <c r="R7" s="1502" t="s">
        <v>8</v>
      </c>
      <c r="S7" s="1503">
        <f t="shared" ref="S7:S14" si="0">F7</f>
        <v>0</v>
      </c>
      <c r="T7" s="1502" t="s">
        <v>8</v>
      </c>
      <c r="U7" s="1503">
        <f t="shared" ref="U7:U14" si="1">H7</f>
        <v>0</v>
      </c>
      <c r="V7" s="1502" t="s">
        <v>8</v>
      </c>
      <c r="W7" s="1503">
        <f t="shared" ref="W7:W14" si="2">J7</f>
        <v>0</v>
      </c>
      <c r="X7" s="1504"/>
      <c r="Y7" s="3661" t="s">
        <v>524</v>
      </c>
      <c r="Z7" s="3662"/>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661" t="s">
        <v>527</v>
      </c>
      <c r="Q8" s="3662"/>
      <c r="R8" s="1502" t="s">
        <v>8</v>
      </c>
      <c r="S8" s="1503">
        <f t="shared" si="0"/>
        <v>0</v>
      </c>
      <c r="T8" s="1502" t="s">
        <v>8</v>
      </c>
      <c r="U8" s="1503">
        <f t="shared" si="1"/>
        <v>0</v>
      </c>
      <c r="V8" s="1502" t="s">
        <v>8</v>
      </c>
      <c r="W8" s="1503">
        <f t="shared" si="2"/>
        <v>0</v>
      </c>
      <c r="X8" s="1504"/>
      <c r="Y8" s="3661" t="s">
        <v>527</v>
      </c>
      <c r="Z8" s="3662"/>
      <c r="AA8" s="1505" t="e">
        <f t="shared" ref="AA8:AA36" si="3">D8/F8</f>
        <v>#DIV/0!</v>
      </c>
      <c r="AB8" s="1505" t="e">
        <f t="shared" ref="AB8:AB36" si="4">D8/H8</f>
        <v>#DIV/0!</v>
      </c>
      <c r="AC8" s="1505" t="e">
        <f t="shared" ref="AC8:AC36" si="5">D8/J8</f>
        <v>#DIV/0!</v>
      </c>
    </row>
    <row r="9" spans="1:29" s="1202"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630" t="s">
        <v>529</v>
      </c>
      <c r="Q9" s="1133" t="str">
        <f t="shared" ref="Q9:Q14" si="6">B9</f>
        <v>用途</v>
      </c>
      <c r="R9" s="1502" t="s">
        <v>8</v>
      </c>
      <c r="S9" s="1503">
        <f t="shared" si="0"/>
        <v>100</v>
      </c>
      <c r="T9" s="1502" t="s">
        <v>8</v>
      </c>
      <c r="U9" s="1503">
        <f t="shared" si="1"/>
        <v>100</v>
      </c>
      <c r="V9" s="1502" t="s">
        <v>8</v>
      </c>
      <c r="W9" s="1503">
        <f t="shared" si="2"/>
        <v>100</v>
      </c>
      <c r="X9" s="1504"/>
      <c r="Y9" s="3576"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630"/>
      <c r="Q10" s="1133" t="str">
        <f t="shared" si="6"/>
        <v>土地使用年限（年）</v>
      </c>
      <c r="R10" s="1502" t="s">
        <v>8</v>
      </c>
      <c r="S10" s="1503">
        <f t="shared" si="0"/>
        <v>100</v>
      </c>
      <c r="T10" s="1502" t="s">
        <v>8</v>
      </c>
      <c r="U10" s="1503">
        <f t="shared" si="1"/>
        <v>100</v>
      </c>
      <c r="V10" s="1502" t="s">
        <v>8</v>
      </c>
      <c r="W10" s="1503">
        <f t="shared" si="2"/>
        <v>100</v>
      </c>
      <c r="X10" s="1504"/>
      <c r="Y10" s="3576"/>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630"/>
      <c r="Q11" s="1133">
        <f t="shared" si="6"/>
        <v>111</v>
      </c>
      <c r="R11" s="1502" t="s">
        <v>8</v>
      </c>
      <c r="S11" s="1503">
        <f t="shared" si="0"/>
        <v>100</v>
      </c>
      <c r="T11" s="1502" t="s">
        <v>8</v>
      </c>
      <c r="U11" s="1503">
        <f t="shared" si="1"/>
        <v>100</v>
      </c>
      <c r="V11" s="1502" t="s">
        <v>8</v>
      </c>
      <c r="W11" s="1503">
        <f t="shared" si="2"/>
        <v>100</v>
      </c>
      <c r="X11" s="1504"/>
      <c r="Y11" s="3576"/>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630"/>
      <c r="Q12" s="1133">
        <f t="shared" si="6"/>
        <v>111</v>
      </c>
      <c r="R12" s="1502" t="s">
        <v>8</v>
      </c>
      <c r="S12" s="1503">
        <f t="shared" si="0"/>
        <v>100</v>
      </c>
      <c r="T12" s="1502" t="s">
        <v>8</v>
      </c>
      <c r="U12" s="1503">
        <f t="shared" si="1"/>
        <v>100</v>
      </c>
      <c r="V12" s="1502" t="s">
        <v>8</v>
      </c>
      <c r="W12" s="1503">
        <f t="shared" si="2"/>
        <v>100</v>
      </c>
      <c r="X12" s="1504"/>
      <c r="Y12" s="3576"/>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630"/>
      <c r="Q13" s="1133">
        <f t="shared" si="6"/>
        <v>111</v>
      </c>
      <c r="R13" s="1502" t="s">
        <v>8</v>
      </c>
      <c r="S13" s="1503">
        <f t="shared" si="0"/>
        <v>100</v>
      </c>
      <c r="T13" s="1502" t="s">
        <v>8</v>
      </c>
      <c r="U13" s="1503">
        <f t="shared" si="1"/>
        <v>100</v>
      </c>
      <c r="V13" s="1502" t="s">
        <v>8</v>
      </c>
      <c r="W13" s="1503">
        <f t="shared" si="2"/>
        <v>100</v>
      </c>
      <c r="X13" s="1504"/>
      <c r="Y13" s="3576"/>
      <c r="Z13" s="1132">
        <f t="shared" si="7"/>
        <v>111</v>
      </c>
      <c r="AA13" s="1505">
        <f t="shared" si="3"/>
        <v>1</v>
      </c>
      <c r="AB13" s="1505">
        <f t="shared" si="4"/>
        <v>1</v>
      </c>
      <c r="AC13" s="1505">
        <f t="shared" si="5"/>
        <v>1</v>
      </c>
    </row>
    <row r="14" spans="1:29" ht="15">
      <c r="A14" s="2627" t="s">
        <v>2734</v>
      </c>
      <c r="B14" s="541" t="s">
        <v>537</v>
      </c>
      <c r="C14" s="909" t="str">
        <f>IF(B1="工业",估价对象房地状况!G4,估价对象房地状况!C6)</f>
        <v>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664" t="s">
        <v>534</v>
      </c>
      <c r="Q14" s="1506" t="str">
        <f t="shared" si="6"/>
        <v>交通便捷度</v>
      </c>
      <c r="R14" s="1507" t="s">
        <v>8</v>
      </c>
      <c r="S14" s="1508">
        <f t="shared" si="0"/>
        <v>100</v>
      </c>
      <c r="T14" s="1507" t="s">
        <v>8</v>
      </c>
      <c r="U14" s="1508">
        <f t="shared" si="1"/>
        <v>100</v>
      </c>
      <c r="V14" s="1507" t="s">
        <v>8</v>
      </c>
      <c r="W14" s="1508">
        <f t="shared" si="2"/>
        <v>100</v>
      </c>
      <c r="X14" s="1501"/>
      <c r="Y14" s="3664"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665"/>
      <c r="Q15" s="1506"/>
      <c r="R15" s="1507"/>
      <c r="S15" s="1508"/>
      <c r="T15" s="1507"/>
      <c r="U15" s="1508"/>
      <c r="V15" s="1507"/>
      <c r="W15" s="1508"/>
      <c r="X15" s="1501"/>
      <c r="Y15" s="3665"/>
      <c r="Z15" s="1509"/>
      <c r="AA15" s="1510">
        <v>1</v>
      </c>
      <c r="AB15" s="1510">
        <v>1</v>
      </c>
      <c r="AC15" s="1510">
        <v>1</v>
      </c>
    </row>
    <row r="16" spans="1:29" ht="15">
      <c r="A16" s="509"/>
      <c r="B16" s="2447" t="s">
        <v>2527</v>
      </c>
      <c r="C16" s="861" t="str">
        <f>IF(B1="工业",估价对象房地状况!G5,估价对象房地状况!C7)</f>
        <v>一般</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665"/>
      <c r="Q16" s="1506" t="str">
        <f>B16</f>
        <v>公共配套设施</v>
      </c>
      <c r="R16" s="1507" t="s">
        <v>8</v>
      </c>
      <c r="S16" s="1508">
        <f>F16</f>
        <v>100</v>
      </c>
      <c r="T16" s="1507" t="s">
        <v>8</v>
      </c>
      <c r="U16" s="1508">
        <f>H16</f>
        <v>100</v>
      </c>
      <c r="V16" s="1507" t="s">
        <v>8</v>
      </c>
      <c r="W16" s="1508">
        <f>J16</f>
        <v>100</v>
      </c>
      <c r="X16" s="1501"/>
      <c r="Y16" s="3665"/>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665"/>
      <c r="Q17" s="1506"/>
      <c r="R17" s="1507"/>
      <c r="S17" s="1508"/>
      <c r="T17" s="1507"/>
      <c r="U17" s="1508"/>
      <c r="V17" s="1507"/>
      <c r="W17" s="1508"/>
      <c r="X17" s="1501"/>
      <c r="Y17" s="3665"/>
      <c r="Z17" s="1509"/>
      <c r="AA17" s="1510">
        <v>1</v>
      </c>
      <c r="AB17" s="1510">
        <v>1</v>
      </c>
      <c r="AC17" s="1510">
        <v>1</v>
      </c>
    </row>
    <row r="18" spans="1:29" ht="15">
      <c r="A18" s="509"/>
      <c r="B18" s="2435" t="s">
        <v>2539</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665"/>
      <c r="Q18" s="2429" t="str">
        <f>B18</f>
        <v>基础设施水平</v>
      </c>
      <c r="R18" s="1507" t="s">
        <v>8</v>
      </c>
      <c r="S18" s="1508">
        <f>F18</f>
        <v>100</v>
      </c>
      <c r="T18" s="1507" t="s">
        <v>8</v>
      </c>
      <c r="U18" s="1508">
        <f>H18</f>
        <v>100</v>
      </c>
      <c r="V18" s="1507" t="s">
        <v>8</v>
      </c>
      <c r="W18" s="1508">
        <f>J18</f>
        <v>100</v>
      </c>
      <c r="X18" s="2431"/>
      <c r="Y18" s="3665"/>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665"/>
      <c r="Q19" s="2429"/>
      <c r="R19" s="1507"/>
      <c r="S19" s="1508"/>
      <c r="T19" s="1507"/>
      <c r="U19" s="1508"/>
      <c r="V19" s="1507"/>
      <c r="W19" s="1508"/>
      <c r="X19" s="2431"/>
      <c r="Y19" s="3665"/>
      <c r="Z19" s="2430"/>
      <c r="AA19" s="1510">
        <v>1</v>
      </c>
      <c r="AB19" s="1510">
        <v>1</v>
      </c>
      <c r="AC19" s="1510">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665"/>
      <c r="Q20" s="1506" t="str">
        <f>B20</f>
        <v>自然及人文环境</v>
      </c>
      <c r="R20" s="1507" t="s">
        <v>8</v>
      </c>
      <c r="S20" s="1508">
        <f>F20</f>
        <v>100</v>
      </c>
      <c r="T20" s="1507" t="s">
        <v>8</v>
      </c>
      <c r="U20" s="1508">
        <f>H20</f>
        <v>100</v>
      </c>
      <c r="V20" s="1507" t="s">
        <v>8</v>
      </c>
      <c r="W20" s="1508">
        <f>J20</f>
        <v>100</v>
      </c>
      <c r="X20" s="1501"/>
      <c r="Y20" s="3665"/>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665"/>
      <c r="Q21" s="1506"/>
      <c r="R21" s="1507"/>
      <c r="S21" s="1508"/>
      <c r="T21" s="1507"/>
      <c r="U21" s="1508"/>
      <c r="V21" s="1507"/>
      <c r="W21" s="1508"/>
      <c r="X21" s="1501"/>
      <c r="Y21" s="3665"/>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665"/>
      <c r="Q22" s="1506" t="str">
        <f>B22</f>
        <v>楼层</v>
      </c>
      <c r="R22" s="1507" t="s">
        <v>8</v>
      </c>
      <c r="S22" s="1508">
        <f>F22</f>
        <v>100</v>
      </c>
      <c r="T22" s="1507" t="s">
        <v>8</v>
      </c>
      <c r="U22" s="1508">
        <f>H22</f>
        <v>100</v>
      </c>
      <c r="V22" s="1507" t="s">
        <v>8</v>
      </c>
      <c r="W22" s="1508">
        <f>J22</f>
        <v>100</v>
      </c>
      <c r="X22" s="1501"/>
      <c r="Y22" s="3665"/>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665"/>
      <c r="Q23" s="1506">
        <f>B23</f>
        <v>111</v>
      </c>
      <c r="R23" s="1507" t="s">
        <v>8</v>
      </c>
      <c r="S23" s="1508">
        <f>F23</f>
        <v>100</v>
      </c>
      <c r="T23" s="1507" t="s">
        <v>8</v>
      </c>
      <c r="U23" s="1508">
        <f>H23</f>
        <v>100</v>
      </c>
      <c r="V23" s="1507" t="s">
        <v>8</v>
      </c>
      <c r="W23" s="1508">
        <f>J23</f>
        <v>100</v>
      </c>
      <c r="X23" s="1501"/>
      <c r="Y23" s="3665"/>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665"/>
      <c r="Q24" s="1506">
        <f t="shared" ref="Q24:Q36" si="11">B24</f>
        <v>111</v>
      </c>
      <c r="R24" s="1507" t="s">
        <v>8</v>
      </c>
      <c r="S24" s="1508">
        <f>F24</f>
        <v>100</v>
      </c>
      <c r="T24" s="1507" t="s">
        <v>8</v>
      </c>
      <c r="U24" s="1508">
        <f>H24</f>
        <v>100</v>
      </c>
      <c r="V24" s="1507" t="s">
        <v>8</v>
      </c>
      <c r="W24" s="1508">
        <f>J24</f>
        <v>100</v>
      </c>
      <c r="X24" s="1501"/>
      <c r="Y24" s="3665"/>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665"/>
      <c r="Q25" s="1133">
        <f t="shared" si="11"/>
        <v>111</v>
      </c>
      <c r="R25" s="1502" t="s">
        <v>8</v>
      </c>
      <c r="S25" s="1503">
        <f>F25</f>
        <v>100</v>
      </c>
      <c r="T25" s="1502" t="s">
        <v>8</v>
      </c>
      <c r="U25" s="1503">
        <f>H25</f>
        <v>100</v>
      </c>
      <c r="V25" s="1502" t="s">
        <v>8</v>
      </c>
      <c r="W25" s="1503">
        <f>J25</f>
        <v>100</v>
      </c>
      <c r="X25" s="1504"/>
      <c r="Y25" s="3665"/>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666"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667"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667"/>
      <c r="Q27" s="1535" t="str">
        <f t="shared" si="11"/>
        <v>项目停车位配比</v>
      </c>
      <c r="R27" s="1511" t="s">
        <v>8</v>
      </c>
      <c r="S27" s="1512">
        <f t="shared" si="12"/>
        <v>100</v>
      </c>
      <c r="T27" s="1511" t="s">
        <v>8</v>
      </c>
      <c r="U27" s="1512">
        <f t="shared" si="13"/>
        <v>100</v>
      </c>
      <c r="V27" s="1511" t="s">
        <v>8</v>
      </c>
      <c r="W27" s="1512">
        <f t="shared" si="14"/>
        <v>100</v>
      </c>
      <c r="X27" s="1513"/>
      <c r="Y27" s="3667"/>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667"/>
      <c r="Q28" s="1506" t="str">
        <f t="shared" si="11"/>
        <v>公共部分装修</v>
      </c>
      <c r="R28" s="1507" t="s">
        <v>8</v>
      </c>
      <c r="S28" s="1508">
        <f t="shared" si="12"/>
        <v>100</v>
      </c>
      <c r="T28" s="1507" t="s">
        <v>8</v>
      </c>
      <c r="U28" s="1508">
        <f t="shared" si="13"/>
        <v>100</v>
      </c>
      <c r="V28" s="1507" t="s">
        <v>8</v>
      </c>
      <c r="W28" s="1508">
        <f t="shared" si="14"/>
        <v>100</v>
      </c>
      <c r="X28" s="1501"/>
      <c r="Y28" s="3667"/>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667"/>
      <c r="Q29" s="1506" t="str">
        <f t="shared" si="11"/>
        <v>成新率</v>
      </c>
      <c r="R29" s="1507" t="s">
        <v>8</v>
      </c>
      <c r="S29" s="1508" t="e">
        <f t="shared" si="12"/>
        <v>#N/A</v>
      </c>
      <c r="T29" s="1507" t="s">
        <v>8</v>
      </c>
      <c r="U29" s="1508" t="e">
        <f t="shared" si="13"/>
        <v>#N/A</v>
      </c>
      <c r="V29" s="1507" t="s">
        <v>8</v>
      </c>
      <c r="W29" s="1508" t="e">
        <f t="shared" si="14"/>
        <v>#N/A</v>
      </c>
      <c r="X29" s="1501"/>
      <c r="Y29" s="3667"/>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667"/>
      <c r="Q30" s="1506" t="str">
        <f t="shared" si="11"/>
        <v>物业等级</v>
      </c>
      <c r="R30" s="1507" t="s">
        <v>8</v>
      </c>
      <c r="S30" s="1508">
        <f t="shared" si="12"/>
        <v>100</v>
      </c>
      <c r="T30" s="1507" t="s">
        <v>8</v>
      </c>
      <c r="U30" s="1508">
        <f t="shared" si="13"/>
        <v>100</v>
      </c>
      <c r="V30" s="1507" t="s">
        <v>8</v>
      </c>
      <c r="W30" s="1508">
        <f t="shared" si="14"/>
        <v>100</v>
      </c>
      <c r="X30" s="1501"/>
      <c r="Y30" s="3667"/>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667"/>
      <c r="Q31" s="1133" t="str">
        <f t="shared" si="11"/>
        <v>停车位面积</v>
      </c>
      <c r="R31" s="1502" t="s">
        <v>8</v>
      </c>
      <c r="S31" s="1503" t="e">
        <f t="shared" si="12"/>
        <v>#N/A</v>
      </c>
      <c r="T31" s="1502" t="s">
        <v>8</v>
      </c>
      <c r="U31" s="1503" t="e">
        <f t="shared" si="13"/>
        <v>#N/A</v>
      </c>
      <c r="V31" s="1502" t="s">
        <v>8</v>
      </c>
      <c r="W31" s="1503" t="e">
        <f t="shared" si="14"/>
        <v>#N/A</v>
      </c>
      <c r="X31" s="1504"/>
      <c r="Y31" s="3667"/>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667" t="s">
        <v>544</v>
      </c>
      <c r="Q32" s="1506" t="str">
        <f t="shared" si="11"/>
        <v>车位类型</v>
      </c>
      <c r="R32" s="1507" t="s">
        <v>8</v>
      </c>
      <c r="S32" s="1508">
        <f t="shared" si="12"/>
        <v>100</v>
      </c>
      <c r="T32" s="1507" t="s">
        <v>8</v>
      </c>
      <c r="U32" s="1508">
        <f t="shared" si="13"/>
        <v>100</v>
      </c>
      <c r="V32" s="1507" t="s">
        <v>8</v>
      </c>
      <c r="W32" s="1508">
        <f t="shared" si="14"/>
        <v>100</v>
      </c>
      <c r="X32" s="1501"/>
      <c r="Y32" s="3667"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667"/>
      <c r="Q33" s="1506" t="str">
        <f t="shared" si="11"/>
        <v>是否直接入户</v>
      </c>
      <c r="R33" s="1507" t="s">
        <v>8</v>
      </c>
      <c r="S33" s="1508">
        <f t="shared" si="12"/>
        <v>100</v>
      </c>
      <c r="T33" s="1507" t="s">
        <v>8</v>
      </c>
      <c r="U33" s="1508">
        <f t="shared" si="13"/>
        <v>100</v>
      </c>
      <c r="V33" s="1507" t="s">
        <v>8</v>
      </c>
      <c r="W33" s="1508">
        <f t="shared" si="14"/>
        <v>100</v>
      </c>
      <c r="X33" s="1501"/>
      <c r="Y33" s="3667"/>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667"/>
      <c r="Q34" s="1506">
        <f t="shared" si="11"/>
        <v>111</v>
      </c>
      <c r="R34" s="1507" t="s">
        <v>8</v>
      </c>
      <c r="S34" s="1508">
        <f t="shared" si="12"/>
        <v>100</v>
      </c>
      <c r="T34" s="1507" t="s">
        <v>8</v>
      </c>
      <c r="U34" s="1508">
        <f t="shared" si="13"/>
        <v>100</v>
      </c>
      <c r="V34" s="1507" t="s">
        <v>8</v>
      </c>
      <c r="W34" s="1508">
        <f t="shared" si="14"/>
        <v>100</v>
      </c>
      <c r="X34" s="1501"/>
      <c r="Y34" s="3667"/>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667"/>
      <c r="Q35" s="1535">
        <f t="shared" si="11"/>
        <v>111</v>
      </c>
      <c r="R35" s="1511" t="s">
        <v>8</v>
      </c>
      <c r="S35" s="1512">
        <f t="shared" si="12"/>
        <v>100</v>
      </c>
      <c r="T35" s="1511" t="s">
        <v>8</v>
      </c>
      <c r="U35" s="1512">
        <f t="shared" si="13"/>
        <v>100</v>
      </c>
      <c r="V35" s="1511" t="s">
        <v>8</v>
      </c>
      <c r="W35" s="1512">
        <f t="shared" si="14"/>
        <v>100</v>
      </c>
      <c r="X35" s="1513"/>
      <c r="Y35" s="3667"/>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667"/>
      <c r="Q36" s="1506">
        <f t="shared" si="11"/>
        <v>111</v>
      </c>
      <c r="R36" s="1507" t="s">
        <v>8</v>
      </c>
      <c r="S36" s="1508">
        <f t="shared" si="12"/>
        <v>100</v>
      </c>
      <c r="T36" s="1507" t="s">
        <v>8</v>
      </c>
      <c r="U36" s="1508">
        <f t="shared" si="13"/>
        <v>100</v>
      </c>
      <c r="V36" s="1507" t="s">
        <v>8</v>
      </c>
      <c r="W36" s="1508">
        <f t="shared" si="14"/>
        <v>100</v>
      </c>
      <c r="X36" s="1501"/>
      <c r="Y36" s="3667"/>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630" t="str">
        <f>A37</f>
        <v>成交单价</v>
      </c>
      <c r="Q37" s="3630"/>
      <c r="R37" s="3725">
        <f>E37</f>
        <v>0</v>
      </c>
      <c r="S37" s="3725"/>
      <c r="T37" s="3725">
        <f>G37</f>
        <v>0</v>
      </c>
      <c r="U37" s="3725"/>
      <c r="V37" s="3725">
        <f>I37</f>
        <v>0</v>
      </c>
      <c r="W37" s="3725"/>
      <c r="X37" s="1496"/>
      <c r="Y37" s="1515"/>
      <c r="Z37" s="1496"/>
      <c r="AA37" s="1496"/>
      <c r="AB37" s="1496"/>
      <c r="AC37" s="1496"/>
    </row>
    <row r="38" spans="1:29" ht="15.75" thickBot="1">
      <c r="A38" s="609" t="s">
        <v>2740</v>
      </c>
      <c r="B38" s="876"/>
      <c r="C38" s="2476" t="e">
        <f>R39</f>
        <v>#DIV/0!</v>
      </c>
      <c r="D38" s="3013" t="s">
        <v>2963</v>
      </c>
      <c r="E38" s="2477" t="e">
        <f>R38</f>
        <v>#DIV/0!</v>
      </c>
      <c r="F38" s="3014"/>
      <c r="G38" s="2476" t="e">
        <f>T38</f>
        <v>#DIV/0!</v>
      </c>
      <c r="H38" s="3014"/>
      <c r="I38" s="2477" t="e">
        <f>V38</f>
        <v>#DIV/0!</v>
      </c>
      <c r="J38" s="3014"/>
      <c r="K38" s="3022">
        <f>F38+H38+J38</f>
        <v>0</v>
      </c>
      <c r="L38" s="2026"/>
      <c r="M38" s="2027"/>
      <c r="N38" s="2027"/>
      <c r="O38" s="2027"/>
      <c r="P38" s="3630" t="str">
        <f>A38</f>
        <v>比较价格（元/平方米）</v>
      </c>
      <c r="Q38" s="3630"/>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1496"/>
      <c r="Y38" s="1496"/>
      <c r="Z38" s="1496"/>
      <c r="AA38" s="1496"/>
      <c r="AB38" s="1496"/>
      <c r="AC38" s="1496"/>
    </row>
    <row r="39" spans="1:29" ht="15.75" thickBot="1">
      <c r="A39" s="613" t="s">
        <v>2895</v>
      </c>
      <c r="B39" s="614"/>
      <c r="C39" s="2478" t="e">
        <f>R39</f>
        <v>#DIV/0!</v>
      </c>
      <c r="D39" s="2478"/>
      <c r="E39" s="2478"/>
      <c r="F39" s="2478"/>
      <c r="G39" s="2478"/>
      <c r="H39" s="2478"/>
      <c r="I39" s="2478"/>
      <c r="J39" s="2478"/>
      <c r="K39" s="1541"/>
      <c r="L39" s="2026"/>
      <c r="M39" s="2027"/>
      <c r="N39" s="2027"/>
      <c r="O39" s="2027"/>
      <c r="P39" s="3627" t="str">
        <f>A39</f>
        <v>估价对象XX用房的比较价格（楼面单价，元/平方米）</v>
      </c>
      <c r="Q39" s="3628"/>
      <c r="R39" s="3724" t="e">
        <f>IF(F1="售价",ROUND(IF(D38="简单平均",AVERAGE(R38:W38),R38*F38+T38*H38+V38*J38),0),ROUND(IF(D38="简单平均",AVERAGE(R38:V38),R38*F38+T38*H38+V38*J38),1))</f>
        <v>#DIV/0!</v>
      </c>
      <c r="S39" s="3724"/>
      <c r="T39" s="3724"/>
      <c r="U39" s="3724"/>
      <c r="V39" s="3724"/>
      <c r="W39" s="3724"/>
      <c r="X39" s="1496"/>
      <c r="Y39" s="1496"/>
      <c r="Z39" s="1496"/>
      <c r="AA39" s="1496"/>
      <c r="AB39" s="1496"/>
      <c r="AC39" s="1496"/>
    </row>
    <row r="40" spans="1:29">
      <c r="A40" s="3212"/>
      <c r="B40" s="3212"/>
      <c r="C40" s="3212"/>
      <c r="D40" s="3212"/>
      <c r="E40" s="3212"/>
      <c r="F40" s="3212"/>
      <c r="G40" s="3214"/>
      <c r="H40" s="3212"/>
      <c r="I40" s="3212"/>
      <c r="J40" s="3212"/>
      <c r="K40" s="3215"/>
      <c r="L40" s="2031"/>
      <c r="M40" s="2027"/>
      <c r="N40" s="2027"/>
      <c r="O40" s="2027"/>
      <c r="P40" s="2027"/>
      <c r="Q40" s="2027"/>
      <c r="R40" s="2027"/>
      <c r="S40" s="2027"/>
      <c r="T40" s="2027"/>
      <c r="U40" s="2027"/>
      <c r="V40" s="2027"/>
      <c r="W40" s="2027"/>
      <c r="X40" s="2027"/>
      <c r="Y40" s="2027"/>
      <c r="Z40" s="2027"/>
      <c r="AA40" s="2027"/>
      <c r="AB40" s="2027"/>
      <c r="AC40" s="2027"/>
    </row>
    <row r="41" spans="1:29">
      <c r="A41" s="3212"/>
      <c r="B41" s="3212"/>
      <c r="C41" s="3212"/>
      <c r="D41" s="3212"/>
      <c r="E41" s="3212"/>
      <c r="F41" s="3212"/>
      <c r="G41" s="3212"/>
      <c r="H41" s="3212"/>
      <c r="I41" s="3212"/>
      <c r="J41" s="3212"/>
      <c r="K41" s="3215"/>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2020-11</v>
      </c>
      <c r="D48" s="2521">
        <f>EDATE(C48,-1)</f>
        <v>44105</v>
      </c>
      <c r="E48" s="2521">
        <f t="shared" ref="E48:O48" si="16">EDATE(D48,-1)</f>
        <v>44075</v>
      </c>
      <c r="F48" s="2521">
        <f t="shared" si="16"/>
        <v>44044</v>
      </c>
      <c r="G48" s="2521">
        <f t="shared" si="16"/>
        <v>44013</v>
      </c>
      <c r="H48" s="2521">
        <f t="shared" si="16"/>
        <v>43983</v>
      </c>
      <c r="I48" s="2521">
        <f t="shared" si="16"/>
        <v>43952</v>
      </c>
      <c r="J48" s="2521">
        <f t="shared" si="16"/>
        <v>43922</v>
      </c>
      <c r="K48" s="2521">
        <f t="shared" si="16"/>
        <v>43891</v>
      </c>
      <c r="L48" s="2521">
        <f t="shared" si="16"/>
        <v>43862</v>
      </c>
      <c r="M48" s="2521">
        <f t="shared" si="16"/>
        <v>43831</v>
      </c>
      <c r="N48" s="2521">
        <f t="shared" si="16"/>
        <v>43800</v>
      </c>
      <c r="O48" s="2521">
        <f t="shared" si="16"/>
        <v>43770</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636" t="s">
        <v>792</v>
      </c>
      <c r="D4" s="3637"/>
      <c r="E4" s="3670" t="s">
        <v>793</v>
      </c>
      <c r="F4" s="3671"/>
      <c r="G4" s="3636" t="s">
        <v>794</v>
      </c>
      <c r="H4" s="3637"/>
      <c r="I4" s="3636" t="s">
        <v>795</v>
      </c>
      <c r="J4" s="3637"/>
      <c r="K4" s="508" t="s">
        <v>796</v>
      </c>
      <c r="L4" s="2015"/>
      <c r="M4" s="2016"/>
      <c r="N4" s="2016"/>
      <c r="O4" s="2016"/>
      <c r="P4" s="3638" t="s">
        <v>797</v>
      </c>
      <c r="Q4" s="3639"/>
      <c r="R4" s="3644" t="s">
        <v>793</v>
      </c>
      <c r="S4" s="3645"/>
      <c r="T4" s="3644" t="s">
        <v>794</v>
      </c>
      <c r="U4" s="3645"/>
      <c r="V4" s="3631" t="s">
        <v>795</v>
      </c>
      <c r="W4" s="3631"/>
      <c r="X4" s="1501"/>
      <c r="Y4" s="3644" t="s">
        <v>797</v>
      </c>
      <c r="Z4" s="3645"/>
      <c r="AA4" s="3633" t="s">
        <v>793</v>
      </c>
      <c r="AB4" s="3634" t="s">
        <v>794</v>
      </c>
      <c r="AC4" s="3633" t="s">
        <v>795</v>
      </c>
    </row>
    <row r="5" spans="1:29" ht="15">
      <c r="A5" s="509"/>
      <c r="B5" s="510"/>
      <c r="C5" s="3652" t="s">
        <v>2889</v>
      </c>
      <c r="D5" s="3653"/>
      <c r="E5" s="3672" t="s">
        <v>2890</v>
      </c>
      <c r="F5" s="3673"/>
      <c r="G5" s="3652" t="s">
        <v>2891</v>
      </c>
      <c r="H5" s="3653"/>
      <c r="I5" s="3652" t="s">
        <v>2892</v>
      </c>
      <c r="J5" s="3653"/>
      <c r="K5" s="508"/>
      <c r="L5" s="2015"/>
      <c r="M5" s="2016"/>
      <c r="N5" s="2016"/>
      <c r="O5" s="2016"/>
      <c r="P5" s="3640"/>
      <c r="Q5" s="3641"/>
      <c r="R5" s="3646"/>
      <c r="S5" s="3647"/>
      <c r="T5" s="3646"/>
      <c r="U5" s="3647"/>
      <c r="V5" s="3631"/>
      <c r="W5" s="3631"/>
      <c r="X5" s="1501"/>
      <c r="Y5" s="3646"/>
      <c r="Z5" s="3647"/>
      <c r="AA5" s="3634"/>
      <c r="AB5" s="3634"/>
      <c r="AC5" s="3634"/>
    </row>
    <row r="6" spans="1:29" ht="15.75" thickBot="1">
      <c r="A6" s="511"/>
      <c r="B6" s="512"/>
      <c r="C6" s="3650" t="s">
        <v>2893</v>
      </c>
      <c r="D6" s="3651"/>
      <c r="E6" s="3668" t="s">
        <v>2893</v>
      </c>
      <c r="F6" s="3669"/>
      <c r="G6" s="3650" t="s">
        <v>2893</v>
      </c>
      <c r="H6" s="3651"/>
      <c r="I6" s="3650" t="s">
        <v>2893</v>
      </c>
      <c r="J6" s="3651"/>
      <c r="K6" s="508" t="s">
        <v>522</v>
      </c>
      <c r="L6" s="2015"/>
      <c r="M6" s="2016"/>
      <c r="N6" s="2016"/>
      <c r="O6" s="2016"/>
      <c r="P6" s="3642"/>
      <c r="Q6" s="3643"/>
      <c r="R6" s="3646"/>
      <c r="S6" s="3647"/>
      <c r="T6" s="3648"/>
      <c r="U6" s="3649"/>
      <c r="V6" s="3631"/>
      <c r="W6" s="3631"/>
      <c r="X6" s="1501"/>
      <c r="Y6" s="3648"/>
      <c r="Z6" s="3649"/>
      <c r="AA6" s="3635"/>
      <c r="AB6" s="3635"/>
      <c r="AC6" s="3635"/>
    </row>
    <row r="7" spans="1:29" s="1202" customFormat="1" ht="15.75" thickBot="1">
      <c r="A7" s="2629"/>
      <c r="B7" s="2636" t="s">
        <v>523</v>
      </c>
      <c r="C7" s="513">
        <f>'数据-取费表'!B2</f>
        <v>44139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661" t="s">
        <v>524</v>
      </c>
      <c r="Q7" s="3663"/>
      <c r="R7" s="1502" t="s">
        <v>8</v>
      </c>
      <c r="S7" s="1503">
        <f t="shared" ref="S7:S14" si="0">F7</f>
        <v>0</v>
      </c>
      <c r="T7" s="1502" t="s">
        <v>8</v>
      </c>
      <c r="U7" s="1503">
        <f t="shared" ref="U7:U14" si="1">H7</f>
        <v>0</v>
      </c>
      <c r="V7" s="1502" t="s">
        <v>8</v>
      </c>
      <c r="W7" s="1503">
        <f t="shared" ref="W7:W14" si="2">J7</f>
        <v>0</v>
      </c>
      <c r="X7" s="1504"/>
      <c r="Y7" s="3661" t="s">
        <v>524</v>
      </c>
      <c r="Z7" s="3662"/>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661" t="s">
        <v>527</v>
      </c>
      <c r="Q8" s="3662"/>
      <c r="R8" s="1502" t="s">
        <v>8</v>
      </c>
      <c r="S8" s="1503">
        <f t="shared" si="0"/>
        <v>0</v>
      </c>
      <c r="T8" s="1502" t="s">
        <v>8</v>
      </c>
      <c r="U8" s="1503">
        <f t="shared" si="1"/>
        <v>0</v>
      </c>
      <c r="V8" s="1502" t="s">
        <v>8</v>
      </c>
      <c r="W8" s="1503">
        <f t="shared" si="2"/>
        <v>0</v>
      </c>
      <c r="X8" s="1504"/>
      <c r="Y8" s="3661" t="s">
        <v>527</v>
      </c>
      <c r="Z8" s="3662"/>
      <c r="AA8" s="1505" t="e">
        <f t="shared" ref="AA8:AA34" si="3">D8/F8</f>
        <v>#DIV/0!</v>
      </c>
      <c r="AB8" s="1505" t="e">
        <f t="shared" ref="AB8:AB34" si="4">D8/H8</f>
        <v>#DIV/0!</v>
      </c>
      <c r="AC8" s="1505" t="e">
        <f t="shared" ref="AC8:AC34" si="5">D8/J8</f>
        <v>#DIV/0!</v>
      </c>
    </row>
    <row r="9" spans="1:29" s="1202"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630" t="s">
        <v>529</v>
      </c>
      <c r="Q9" s="1133" t="str">
        <f t="shared" ref="Q9:Q14" si="6">B9</f>
        <v>用途</v>
      </c>
      <c r="R9" s="1502" t="s">
        <v>8</v>
      </c>
      <c r="S9" s="1503">
        <f t="shared" si="0"/>
        <v>100</v>
      </c>
      <c r="T9" s="1502" t="s">
        <v>8</v>
      </c>
      <c r="U9" s="1503">
        <f t="shared" si="1"/>
        <v>100</v>
      </c>
      <c r="V9" s="1502" t="s">
        <v>8</v>
      </c>
      <c r="W9" s="1503">
        <f t="shared" si="2"/>
        <v>100</v>
      </c>
      <c r="X9" s="1504"/>
      <c r="Y9" s="3576"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630"/>
      <c r="Q10" s="1133" t="str">
        <f t="shared" si="6"/>
        <v>土地使用年限（年）</v>
      </c>
      <c r="R10" s="1502" t="s">
        <v>8</v>
      </c>
      <c r="S10" s="1503">
        <f t="shared" si="0"/>
        <v>100</v>
      </c>
      <c r="T10" s="1502" t="s">
        <v>8</v>
      </c>
      <c r="U10" s="1503">
        <f t="shared" si="1"/>
        <v>100</v>
      </c>
      <c r="V10" s="1502" t="s">
        <v>8</v>
      </c>
      <c r="W10" s="1503">
        <f t="shared" si="2"/>
        <v>100</v>
      </c>
      <c r="X10" s="1504"/>
      <c r="Y10" s="3576"/>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630"/>
      <c r="Q11" s="1133">
        <f t="shared" si="6"/>
        <v>111</v>
      </c>
      <c r="R11" s="1502" t="s">
        <v>8</v>
      </c>
      <c r="S11" s="1503">
        <f t="shared" si="0"/>
        <v>100</v>
      </c>
      <c r="T11" s="1502" t="s">
        <v>8</v>
      </c>
      <c r="U11" s="1503">
        <f t="shared" si="1"/>
        <v>100</v>
      </c>
      <c r="V11" s="1502" t="s">
        <v>8</v>
      </c>
      <c r="W11" s="1503">
        <f t="shared" si="2"/>
        <v>100</v>
      </c>
      <c r="X11" s="1504"/>
      <c r="Y11" s="3576"/>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630"/>
      <c r="Q12" s="1133">
        <f t="shared" si="6"/>
        <v>111</v>
      </c>
      <c r="R12" s="1502" t="s">
        <v>8</v>
      </c>
      <c r="S12" s="1503">
        <f t="shared" si="0"/>
        <v>100</v>
      </c>
      <c r="T12" s="1502" t="s">
        <v>8</v>
      </c>
      <c r="U12" s="1503">
        <f t="shared" si="1"/>
        <v>100</v>
      </c>
      <c r="V12" s="1502" t="s">
        <v>8</v>
      </c>
      <c r="W12" s="1503">
        <f t="shared" si="2"/>
        <v>100</v>
      </c>
      <c r="X12" s="1504"/>
      <c r="Y12" s="3576"/>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630"/>
      <c r="Q13" s="1133">
        <f t="shared" si="6"/>
        <v>111</v>
      </c>
      <c r="R13" s="1502" t="s">
        <v>8</v>
      </c>
      <c r="S13" s="1503">
        <f t="shared" si="0"/>
        <v>100</v>
      </c>
      <c r="T13" s="1502" t="s">
        <v>8</v>
      </c>
      <c r="U13" s="1503">
        <f t="shared" si="1"/>
        <v>100</v>
      </c>
      <c r="V13" s="1502" t="s">
        <v>8</v>
      </c>
      <c r="W13" s="1503">
        <f t="shared" si="2"/>
        <v>100</v>
      </c>
      <c r="X13" s="1504"/>
      <c r="Y13" s="3576"/>
      <c r="Z13" s="1132">
        <f t="shared" si="7"/>
        <v>111</v>
      </c>
      <c r="AA13" s="1505">
        <f t="shared" si="3"/>
        <v>1</v>
      </c>
      <c r="AB13" s="1505">
        <f t="shared" si="4"/>
        <v>1</v>
      </c>
      <c r="AC13" s="1505">
        <f t="shared" si="5"/>
        <v>1</v>
      </c>
    </row>
    <row r="14" spans="1:29" ht="15">
      <c r="A14" s="2627" t="s">
        <v>2734</v>
      </c>
      <c r="B14" s="164" t="s">
        <v>537</v>
      </c>
      <c r="C14" s="909" t="str">
        <f>IF(B1="工业",估价对象房地状况!G4,估价对象房地状况!C6)</f>
        <v>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664" t="s">
        <v>534</v>
      </c>
      <c r="Q14" s="1506" t="str">
        <f t="shared" si="6"/>
        <v>交通便捷度</v>
      </c>
      <c r="R14" s="1507" t="s">
        <v>8</v>
      </c>
      <c r="S14" s="1508">
        <f t="shared" si="0"/>
        <v>100</v>
      </c>
      <c r="T14" s="1507" t="s">
        <v>8</v>
      </c>
      <c r="U14" s="1508">
        <f t="shared" si="1"/>
        <v>100</v>
      </c>
      <c r="V14" s="1507" t="s">
        <v>8</v>
      </c>
      <c r="W14" s="1508">
        <f t="shared" si="2"/>
        <v>100</v>
      </c>
      <c r="X14" s="1501"/>
      <c r="Y14" s="3664"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665"/>
      <c r="Q15" s="1506"/>
      <c r="R15" s="1507"/>
      <c r="S15" s="1508"/>
      <c r="T15" s="1507"/>
      <c r="U15" s="1508"/>
      <c r="V15" s="1507"/>
      <c r="W15" s="1508"/>
      <c r="X15" s="1501"/>
      <c r="Y15" s="3665"/>
      <c r="Z15" s="1509"/>
      <c r="AA15" s="1510">
        <v>1</v>
      </c>
      <c r="AB15" s="1510">
        <v>1</v>
      </c>
      <c r="AC15" s="1510">
        <v>1</v>
      </c>
    </row>
    <row r="16" spans="1:29" ht="15">
      <c r="A16" s="526"/>
      <c r="B16" s="2447" t="s">
        <v>2527</v>
      </c>
      <c r="C16" s="861"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665"/>
      <c r="Q16" s="1506" t="str">
        <f>B16</f>
        <v>公共配套设施</v>
      </c>
      <c r="R16" s="1507" t="s">
        <v>8</v>
      </c>
      <c r="S16" s="1508">
        <f>F16</f>
        <v>100</v>
      </c>
      <c r="T16" s="1507" t="s">
        <v>8</v>
      </c>
      <c r="U16" s="1508">
        <f>H16</f>
        <v>100</v>
      </c>
      <c r="V16" s="1507" t="s">
        <v>8</v>
      </c>
      <c r="W16" s="1508">
        <f>J16</f>
        <v>100</v>
      </c>
      <c r="X16" s="1501"/>
      <c r="Y16" s="3665"/>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665"/>
      <c r="Q17" s="1506"/>
      <c r="R17" s="1507"/>
      <c r="S17" s="1508"/>
      <c r="T17" s="1507"/>
      <c r="U17" s="1508"/>
      <c r="V17" s="1507"/>
      <c r="W17" s="1508"/>
      <c r="X17" s="1501"/>
      <c r="Y17" s="3665"/>
      <c r="Z17" s="1509"/>
      <c r="AA17" s="1510">
        <v>1</v>
      </c>
      <c r="AB17" s="1510">
        <v>1</v>
      </c>
      <c r="AC17" s="1510">
        <v>1</v>
      </c>
    </row>
    <row r="18" spans="1:29" ht="15">
      <c r="A18" s="526"/>
      <c r="B18" s="2435" t="s">
        <v>2539</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665"/>
      <c r="Q18" s="2429" t="str">
        <f>B18</f>
        <v>基础设施水平</v>
      </c>
      <c r="R18" s="1507" t="s">
        <v>8</v>
      </c>
      <c r="S18" s="1508">
        <f>F18</f>
        <v>100</v>
      </c>
      <c r="T18" s="1507" t="s">
        <v>8</v>
      </c>
      <c r="U18" s="1508">
        <f>H18</f>
        <v>100</v>
      </c>
      <c r="V18" s="1507" t="s">
        <v>8</v>
      </c>
      <c r="W18" s="1508">
        <f>J18</f>
        <v>100</v>
      </c>
      <c r="X18" s="2431"/>
      <c r="Y18" s="3665"/>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665"/>
      <c r="Q19" s="2429"/>
      <c r="R19" s="1507"/>
      <c r="S19" s="1508"/>
      <c r="T19" s="1507"/>
      <c r="U19" s="1508"/>
      <c r="V19" s="1507"/>
      <c r="W19" s="1508"/>
      <c r="X19" s="2431"/>
      <c r="Y19" s="3665"/>
      <c r="Z19" s="2430"/>
      <c r="AA19" s="1510">
        <v>1</v>
      </c>
      <c r="AB19" s="1510">
        <v>1</v>
      </c>
      <c r="AC19" s="1510">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665"/>
      <c r="Q20" s="1506" t="str">
        <f>B20</f>
        <v>自然及人文环境</v>
      </c>
      <c r="R20" s="1507" t="s">
        <v>8</v>
      </c>
      <c r="S20" s="1508">
        <f>F20</f>
        <v>100</v>
      </c>
      <c r="T20" s="1507" t="s">
        <v>8</v>
      </c>
      <c r="U20" s="1508">
        <f>H20</f>
        <v>100</v>
      </c>
      <c r="V20" s="1507" t="s">
        <v>8</v>
      </c>
      <c r="W20" s="1508">
        <f>J20</f>
        <v>100</v>
      </c>
      <c r="X20" s="1501"/>
      <c r="Y20" s="3665"/>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665"/>
      <c r="Q21" s="1506"/>
      <c r="R21" s="1507"/>
      <c r="S21" s="1508"/>
      <c r="T21" s="1507"/>
      <c r="U21" s="1508"/>
      <c r="V21" s="1507"/>
      <c r="W21" s="1508"/>
      <c r="X21" s="1501"/>
      <c r="Y21" s="3665"/>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665"/>
      <c r="Q22" s="1506" t="str">
        <f>B22</f>
        <v>楼层</v>
      </c>
      <c r="R22" s="1507" t="s">
        <v>8</v>
      </c>
      <c r="S22" s="1508">
        <f>F22</f>
        <v>100</v>
      </c>
      <c r="T22" s="1507" t="s">
        <v>8</v>
      </c>
      <c r="U22" s="1508">
        <f>H22</f>
        <v>100</v>
      </c>
      <c r="V22" s="1507" t="s">
        <v>8</v>
      </c>
      <c r="W22" s="1508">
        <f>J22</f>
        <v>100</v>
      </c>
      <c r="X22" s="1501"/>
      <c r="Y22" s="3665"/>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665"/>
      <c r="Q23" s="1506">
        <f>B23</f>
        <v>111</v>
      </c>
      <c r="R23" s="1507" t="s">
        <v>8</v>
      </c>
      <c r="S23" s="1508">
        <f>F23</f>
        <v>100</v>
      </c>
      <c r="T23" s="1507" t="s">
        <v>8</v>
      </c>
      <c r="U23" s="1508">
        <f>H23</f>
        <v>100</v>
      </c>
      <c r="V23" s="1507" t="s">
        <v>8</v>
      </c>
      <c r="W23" s="1508">
        <f>J23</f>
        <v>100</v>
      </c>
      <c r="X23" s="1501"/>
      <c r="Y23" s="3665"/>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665"/>
      <c r="Q24" s="1506">
        <f t="shared" ref="Q24:Q34" si="11">B24</f>
        <v>111</v>
      </c>
      <c r="R24" s="1507" t="s">
        <v>8</v>
      </c>
      <c r="S24" s="1508">
        <f>F24</f>
        <v>100</v>
      </c>
      <c r="T24" s="1507" t="s">
        <v>8</v>
      </c>
      <c r="U24" s="1508">
        <f>H24</f>
        <v>100</v>
      </c>
      <c r="V24" s="1507" t="s">
        <v>8</v>
      </c>
      <c r="W24" s="1508">
        <f>J24</f>
        <v>100</v>
      </c>
      <c r="X24" s="1501"/>
      <c r="Y24" s="3665"/>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665"/>
      <c r="Q25" s="1133">
        <f t="shared" si="11"/>
        <v>111</v>
      </c>
      <c r="R25" s="1502" t="s">
        <v>8</v>
      </c>
      <c r="S25" s="1503">
        <f>F25</f>
        <v>100</v>
      </c>
      <c r="T25" s="1502" t="s">
        <v>8</v>
      </c>
      <c r="U25" s="1503">
        <f>H25</f>
        <v>100</v>
      </c>
      <c r="V25" s="1502" t="s">
        <v>8</v>
      </c>
      <c r="W25" s="1503">
        <f>J25</f>
        <v>100</v>
      </c>
      <c r="X25" s="1504"/>
      <c r="Y25" s="3665"/>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666"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667"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667"/>
      <c r="Q27" s="1535" t="str">
        <f t="shared" si="11"/>
        <v>成新率</v>
      </c>
      <c r="R27" s="1511" t="s">
        <v>8</v>
      </c>
      <c r="S27" s="1512" t="e">
        <f t="shared" si="12"/>
        <v>#N/A</v>
      </c>
      <c r="T27" s="1511" t="s">
        <v>8</v>
      </c>
      <c r="U27" s="1512" t="e">
        <f t="shared" si="13"/>
        <v>#N/A</v>
      </c>
      <c r="V27" s="1511" t="s">
        <v>8</v>
      </c>
      <c r="W27" s="1512" t="e">
        <f t="shared" si="14"/>
        <v>#N/A</v>
      </c>
      <c r="X27" s="1513"/>
      <c r="Y27" s="3667"/>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667"/>
      <c r="Q28" s="1506" t="str">
        <f t="shared" si="11"/>
        <v>物业等级</v>
      </c>
      <c r="R28" s="1507" t="s">
        <v>8</v>
      </c>
      <c r="S28" s="1508">
        <f t="shared" si="12"/>
        <v>100</v>
      </c>
      <c r="T28" s="1507" t="s">
        <v>8</v>
      </c>
      <c r="U28" s="1508">
        <f t="shared" si="13"/>
        <v>100</v>
      </c>
      <c r="V28" s="1507" t="s">
        <v>8</v>
      </c>
      <c r="W28" s="1508">
        <f t="shared" si="14"/>
        <v>100</v>
      </c>
      <c r="X28" s="1501"/>
      <c r="Y28" s="3667"/>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667"/>
      <c r="Q29" s="1506" t="str">
        <f t="shared" si="11"/>
        <v>有无电梯</v>
      </c>
      <c r="R29" s="1507" t="s">
        <v>8</v>
      </c>
      <c r="S29" s="1508">
        <f t="shared" si="12"/>
        <v>100</v>
      </c>
      <c r="T29" s="1507" t="s">
        <v>8</v>
      </c>
      <c r="U29" s="1508">
        <f t="shared" si="13"/>
        <v>100</v>
      </c>
      <c r="V29" s="1507" t="s">
        <v>8</v>
      </c>
      <c r="W29" s="1508">
        <f t="shared" si="14"/>
        <v>100</v>
      </c>
      <c r="X29" s="1501"/>
      <c r="Y29" s="3667"/>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667"/>
      <c r="Q30" s="1506" t="str">
        <f t="shared" si="11"/>
        <v>建筑面积</v>
      </c>
      <c r="R30" s="1507" t="s">
        <v>8</v>
      </c>
      <c r="S30" s="1508" t="e">
        <f t="shared" si="12"/>
        <v>#N/A</v>
      </c>
      <c r="T30" s="1507" t="s">
        <v>8</v>
      </c>
      <c r="U30" s="1508" t="e">
        <f t="shared" si="13"/>
        <v>#N/A</v>
      </c>
      <c r="V30" s="1507" t="s">
        <v>8</v>
      </c>
      <c r="W30" s="1508" t="e">
        <f t="shared" si="14"/>
        <v>#N/A</v>
      </c>
      <c r="X30" s="1501"/>
      <c r="Y30" s="3667"/>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667"/>
      <c r="Q31" s="1133" t="str">
        <f t="shared" si="11"/>
        <v>是否封闭</v>
      </c>
      <c r="R31" s="1502" t="s">
        <v>8</v>
      </c>
      <c r="S31" s="1503">
        <f t="shared" si="12"/>
        <v>100</v>
      </c>
      <c r="T31" s="1502" t="s">
        <v>8</v>
      </c>
      <c r="U31" s="1503">
        <f t="shared" si="13"/>
        <v>100</v>
      </c>
      <c r="V31" s="1502" t="s">
        <v>8</v>
      </c>
      <c r="W31" s="1503">
        <f t="shared" si="14"/>
        <v>100</v>
      </c>
      <c r="X31" s="1504"/>
      <c r="Y31" s="3667"/>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667" t="s">
        <v>544</v>
      </c>
      <c r="Q32" s="1506">
        <f t="shared" si="11"/>
        <v>111</v>
      </c>
      <c r="R32" s="1507" t="s">
        <v>8</v>
      </c>
      <c r="S32" s="1508">
        <f t="shared" si="12"/>
        <v>100</v>
      </c>
      <c r="T32" s="1507" t="s">
        <v>8</v>
      </c>
      <c r="U32" s="1508">
        <f t="shared" si="13"/>
        <v>100</v>
      </c>
      <c r="V32" s="1507" t="s">
        <v>8</v>
      </c>
      <c r="W32" s="1508">
        <f t="shared" si="14"/>
        <v>100</v>
      </c>
      <c r="X32" s="1501"/>
      <c r="Y32" s="3667"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667"/>
      <c r="Q33" s="1506">
        <f t="shared" si="11"/>
        <v>111</v>
      </c>
      <c r="R33" s="1507" t="s">
        <v>8</v>
      </c>
      <c r="S33" s="1508">
        <f t="shared" si="12"/>
        <v>100</v>
      </c>
      <c r="T33" s="1507" t="s">
        <v>8</v>
      </c>
      <c r="U33" s="1508">
        <f t="shared" si="13"/>
        <v>100</v>
      </c>
      <c r="V33" s="1507" t="s">
        <v>8</v>
      </c>
      <c r="W33" s="1508">
        <f t="shared" si="14"/>
        <v>100</v>
      </c>
      <c r="X33" s="1501"/>
      <c r="Y33" s="3667"/>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667"/>
      <c r="Q34" s="1506">
        <f t="shared" si="11"/>
        <v>111</v>
      </c>
      <c r="R34" s="1507" t="s">
        <v>8</v>
      </c>
      <c r="S34" s="1508">
        <f t="shared" si="12"/>
        <v>100</v>
      </c>
      <c r="T34" s="1507" t="s">
        <v>8</v>
      </c>
      <c r="U34" s="1508">
        <f t="shared" si="13"/>
        <v>100</v>
      </c>
      <c r="V34" s="1507" t="s">
        <v>8</v>
      </c>
      <c r="W34" s="1508">
        <f t="shared" si="14"/>
        <v>100</v>
      </c>
      <c r="X34" s="1501"/>
      <c r="Y34" s="3667"/>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630" t="str">
        <f>A35</f>
        <v>成交单价（元/平方米）</v>
      </c>
      <c r="Q35" s="3630"/>
      <c r="R35" s="3725">
        <f>E35</f>
        <v>0</v>
      </c>
      <c r="S35" s="3725"/>
      <c r="T35" s="3725">
        <f>G35</f>
        <v>0</v>
      </c>
      <c r="U35" s="3725"/>
      <c r="V35" s="3725">
        <f>I35</f>
        <v>0</v>
      </c>
      <c r="W35" s="3725"/>
      <c r="X35" s="1496"/>
      <c r="Y35" s="1515"/>
      <c r="Z35" s="1496"/>
      <c r="AA35" s="1496"/>
      <c r="AB35" s="1496"/>
      <c r="AC35" s="1496"/>
    </row>
    <row r="36" spans="1:29" ht="15.75" thickBot="1">
      <c r="A36" s="609" t="s">
        <v>2740</v>
      </c>
      <c r="B36" s="876"/>
      <c r="C36" s="2476" t="e">
        <f>R37</f>
        <v>#DIV/0!</v>
      </c>
      <c r="D36" s="3013" t="s">
        <v>2964</v>
      </c>
      <c r="E36" s="2477" t="e">
        <f>R36</f>
        <v>#DIV/0!</v>
      </c>
      <c r="F36" s="3014"/>
      <c r="G36" s="2476" t="e">
        <f>T36</f>
        <v>#DIV/0!</v>
      </c>
      <c r="H36" s="3014"/>
      <c r="I36" s="2477" t="e">
        <f>V36</f>
        <v>#DIV/0!</v>
      </c>
      <c r="J36" s="3014"/>
      <c r="K36" s="3022">
        <f>F36+H36+J36</f>
        <v>0</v>
      </c>
      <c r="L36" s="2026"/>
      <c r="M36" s="2027"/>
      <c r="N36" s="2016"/>
      <c r="O36" s="2027"/>
      <c r="P36" s="3630" t="str">
        <f>A36</f>
        <v>比较价格（元/平方米）</v>
      </c>
      <c r="Q36" s="3630"/>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1496"/>
      <c r="Y36" s="1496"/>
      <c r="Z36" s="1496"/>
      <c r="AA36" s="1496"/>
      <c r="AB36" s="1496"/>
      <c r="AC36" s="1496"/>
    </row>
    <row r="37" spans="1:29" ht="15.75" thickBot="1">
      <c r="A37" s="613" t="s">
        <v>2895</v>
      </c>
      <c r="B37" s="614"/>
      <c r="C37" s="2478" t="e">
        <f>R37</f>
        <v>#DIV/0!</v>
      </c>
      <c r="D37" s="2478"/>
      <c r="E37" s="2478"/>
      <c r="F37" s="2478"/>
      <c r="G37" s="2478"/>
      <c r="H37" s="2478"/>
      <c r="I37" s="2478"/>
      <c r="J37" s="2478"/>
      <c r="K37" s="1541"/>
      <c r="L37" s="2026"/>
      <c r="M37" s="2027"/>
      <c r="N37" s="2027"/>
      <c r="O37" s="2027"/>
      <c r="P37" s="3627" t="str">
        <f>A37</f>
        <v>估价对象XX用房的比较价格（楼面单价，元/平方米）</v>
      </c>
      <c r="Q37" s="3628"/>
      <c r="R37" s="3724" t="e">
        <f>IF(F1="售价",ROUND(IF(D36="简单平均",AVERAGE(R36:W36),R36*F36+T36*H36+V36*J36),0),ROUND(IF(D36="简单平均",AVERAGE(R36:V36),R36*F36+T36*H36+V36*J36),1))</f>
        <v>#DIV/0!</v>
      </c>
      <c r="S37" s="3724"/>
      <c r="T37" s="3724"/>
      <c r="U37" s="3724"/>
      <c r="V37" s="3724"/>
      <c r="W37" s="3724"/>
      <c r="X37" s="1496"/>
      <c r="Y37" s="1496"/>
      <c r="Z37" s="1496"/>
      <c r="AA37" s="1496"/>
      <c r="AB37" s="1496"/>
      <c r="AC37" s="1496"/>
    </row>
    <row r="38" spans="1:29">
      <c r="A38" s="3212"/>
      <c r="B38" s="3212"/>
      <c r="C38" s="3212"/>
      <c r="D38" s="3212"/>
      <c r="E38" s="3212"/>
      <c r="F38" s="3212"/>
      <c r="G38" s="3214"/>
      <c r="H38" s="3212"/>
      <c r="I38" s="3212"/>
      <c r="J38" s="3212"/>
      <c r="K38" s="3215"/>
      <c r="L38" s="2031"/>
      <c r="M38" s="2027"/>
      <c r="N38" s="2027"/>
      <c r="O38" s="2027"/>
      <c r="P38" s="2027"/>
      <c r="Q38" s="2027"/>
      <c r="R38" s="2027"/>
      <c r="S38" s="2027"/>
      <c r="T38" s="2027"/>
      <c r="U38" s="2027"/>
      <c r="V38" s="2027"/>
      <c r="W38" s="2027"/>
      <c r="X38" s="2027"/>
      <c r="Y38" s="2027"/>
      <c r="Z38" s="2027"/>
      <c r="AA38" s="2027"/>
      <c r="AB38" s="2027"/>
      <c r="AC38" s="2027"/>
    </row>
    <row r="39" spans="1:29">
      <c r="A39" s="3212"/>
      <c r="B39" s="3212"/>
      <c r="C39" s="3212"/>
      <c r="D39" s="3212"/>
      <c r="E39" s="3212"/>
      <c r="F39" s="3212"/>
      <c r="G39" s="3212"/>
      <c r="H39" s="3212"/>
      <c r="I39" s="3212"/>
      <c r="J39" s="3212"/>
      <c r="K39" s="3215"/>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2020-11</v>
      </c>
      <c r="D46" s="2521">
        <f>EDATE(C46,-1)</f>
        <v>44105</v>
      </c>
      <c r="E46" s="2521">
        <f t="shared" ref="E46:O46" si="16">EDATE(D46,-1)</f>
        <v>44075</v>
      </c>
      <c r="F46" s="2521">
        <f t="shared" si="16"/>
        <v>44044</v>
      </c>
      <c r="G46" s="2521">
        <f t="shared" si="16"/>
        <v>44013</v>
      </c>
      <c r="H46" s="2521">
        <f t="shared" si="16"/>
        <v>43983</v>
      </c>
      <c r="I46" s="2521">
        <f t="shared" si="16"/>
        <v>43952</v>
      </c>
      <c r="J46" s="2521">
        <f t="shared" si="16"/>
        <v>43922</v>
      </c>
      <c r="K46" s="2521">
        <f t="shared" si="16"/>
        <v>43891</v>
      </c>
      <c r="L46" s="2521">
        <f t="shared" si="16"/>
        <v>43862</v>
      </c>
      <c r="M46" s="2521">
        <f t="shared" si="16"/>
        <v>43831</v>
      </c>
      <c r="N46" s="2521">
        <f t="shared" si="16"/>
        <v>43800</v>
      </c>
      <c r="O46" s="2521">
        <f t="shared" si="16"/>
        <v>43770</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B27" sqref="B27"/>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ustomWidth="1"/>
    <col min="9" max="9" width="5" style="1200" customWidth="1"/>
    <col min="10" max="10" width="9" style="1200" customWidth="1"/>
    <col min="11" max="11" width="5" style="1200" customWidth="1"/>
    <col min="12" max="12" width="9" style="1200" customWidth="1"/>
    <col min="13" max="13" width="5" style="1200" customWidth="1"/>
    <col min="14" max="14" width="9" style="1200" customWidth="1"/>
    <col min="15" max="15" width="5" style="1200" customWidth="1"/>
    <col min="16" max="16" width="9" style="1200" customWidth="1"/>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759" t="s">
        <v>2291</v>
      </c>
      <c r="D1" s="3760"/>
      <c r="E1" s="3760"/>
      <c r="F1" s="3760"/>
      <c r="G1" s="3760"/>
      <c r="H1" s="3760"/>
      <c r="I1" s="3760"/>
      <c r="J1" s="3760"/>
      <c r="K1" s="3760"/>
      <c r="L1" s="3760"/>
      <c r="M1" s="3760"/>
      <c r="N1" s="3760"/>
      <c r="O1" s="3760"/>
      <c r="P1" s="3760"/>
      <c r="Q1" s="3760"/>
      <c r="R1" s="3760"/>
      <c r="S1" s="3761"/>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51">
      <c r="A2" s="2115"/>
      <c r="B2" s="2859" t="s">
        <v>2293</v>
      </c>
      <c r="C2" s="937" t="str">
        <f t="shared" ref="C2:L2" si="0">C3&amp;"(含)"&amp;"-"&amp;D3</f>
        <v>0(含)-100000</v>
      </c>
      <c r="D2" s="938" t="str">
        <f t="shared" si="0"/>
        <v>100000(含)-200000</v>
      </c>
      <c r="E2" s="938" t="str">
        <f t="shared" si="0"/>
        <v>200000(含)-300000</v>
      </c>
      <c r="F2" s="938" t="str">
        <f t="shared" si="0"/>
        <v>300000(含)-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100000</v>
      </c>
      <c r="E3" s="942">
        <v>200000</v>
      </c>
      <c r="F3" s="942">
        <v>300000</v>
      </c>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v>100</v>
      </c>
      <c r="D4" s="2126">
        <v>101</v>
      </c>
      <c r="E4" s="2126">
        <v>102</v>
      </c>
      <c r="F4" s="2126">
        <v>103</v>
      </c>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ht="25.5">
      <c r="A5" s="2131"/>
      <c r="B5" s="3430" t="s">
        <v>3314</v>
      </c>
      <c r="C5" s="2132" t="str">
        <f>'比较法-住宅、综合'!C106</f>
        <v>多面临街</v>
      </c>
      <c r="D5" s="2132" t="str">
        <f>'比较法-住宅、综合'!D106</f>
        <v>双面临街</v>
      </c>
      <c r="E5" s="2132" t="str">
        <f>'比较法-住宅、综合'!E106</f>
        <v>单面临街</v>
      </c>
      <c r="F5" s="2132" t="str">
        <f>'比较法-住宅、综合'!F106</f>
        <v>不临街</v>
      </c>
      <c r="G5" s="2133"/>
      <c r="H5" s="2133"/>
      <c r="I5" s="2133"/>
      <c r="J5" s="2133"/>
      <c r="K5" s="2133"/>
      <c r="L5" s="2134"/>
      <c r="M5" s="2135"/>
      <c r="N5" s="2135"/>
      <c r="O5" s="2133"/>
      <c r="P5" s="2133"/>
      <c r="Q5" s="2133"/>
      <c r="R5" s="2133"/>
      <c r="S5" s="2136"/>
      <c r="T5" s="2137">
        <v>2</v>
      </c>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98</v>
      </c>
      <c r="E6" s="1883">
        <f t="shared" ref="E6:S6" si="7">D6-$T5</f>
        <v>96</v>
      </c>
      <c r="F6" s="1883">
        <f t="shared" si="7"/>
        <v>94</v>
      </c>
      <c r="G6" s="1883">
        <f t="shared" si="7"/>
        <v>92</v>
      </c>
      <c r="H6" s="1883">
        <f t="shared" si="7"/>
        <v>90</v>
      </c>
      <c r="I6" s="1883">
        <f t="shared" si="7"/>
        <v>88</v>
      </c>
      <c r="J6" s="1883">
        <f t="shared" si="7"/>
        <v>86</v>
      </c>
      <c r="K6" s="1883">
        <f t="shared" si="7"/>
        <v>84</v>
      </c>
      <c r="L6" s="1883">
        <f t="shared" si="7"/>
        <v>82</v>
      </c>
      <c r="M6" s="1883">
        <f t="shared" si="7"/>
        <v>80</v>
      </c>
      <c r="N6" s="1883">
        <f t="shared" si="7"/>
        <v>78</v>
      </c>
      <c r="O6" s="1883">
        <f t="shared" si="7"/>
        <v>76</v>
      </c>
      <c r="P6" s="1883">
        <f t="shared" si="7"/>
        <v>74</v>
      </c>
      <c r="Q6" s="1883">
        <f t="shared" si="7"/>
        <v>72</v>
      </c>
      <c r="R6" s="1883">
        <f t="shared" si="7"/>
        <v>70</v>
      </c>
      <c r="S6" s="1883">
        <f t="shared" si="7"/>
        <v>68</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ht="25.5">
      <c r="A7" s="2131"/>
      <c r="B7" s="3431" t="s">
        <v>3315</v>
      </c>
      <c r="C7" s="1875" t="str">
        <f>'比较法-住宅、综合'!C121</f>
        <v>规则</v>
      </c>
      <c r="D7" s="1875" t="str">
        <f>'比较法-住宅、综合'!D121</f>
        <v>较规则</v>
      </c>
      <c r="E7" s="1875" t="str">
        <f>'比较法-住宅、综合'!E121</f>
        <v>较不规则</v>
      </c>
      <c r="F7" s="1875" t="str">
        <f>'比较法-住宅、综合'!F121</f>
        <v>不规则</v>
      </c>
      <c r="G7" s="1876"/>
      <c r="H7" s="1876"/>
      <c r="I7" s="1876"/>
      <c r="J7" s="1876"/>
      <c r="K7" s="1876"/>
      <c r="L7" s="1876"/>
      <c r="M7" s="2139"/>
      <c r="N7" s="2140"/>
      <c r="O7" s="2141"/>
      <c r="P7" s="2142"/>
      <c r="Q7" s="2143"/>
      <c r="R7" s="2144"/>
      <c r="S7" s="2145"/>
      <c r="T7" s="946">
        <v>2</v>
      </c>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98</v>
      </c>
      <c r="E8" s="1883">
        <f t="shared" ref="E8:S8" si="8">D8-$T7</f>
        <v>96</v>
      </c>
      <c r="F8" s="1883">
        <f t="shared" si="8"/>
        <v>94</v>
      </c>
      <c r="G8" s="1883">
        <f t="shared" si="8"/>
        <v>92</v>
      </c>
      <c r="H8" s="1883">
        <f t="shared" si="8"/>
        <v>90</v>
      </c>
      <c r="I8" s="1883">
        <f t="shared" si="8"/>
        <v>88</v>
      </c>
      <c r="J8" s="1883">
        <f t="shared" si="8"/>
        <v>86</v>
      </c>
      <c r="K8" s="1883">
        <f t="shared" si="8"/>
        <v>84</v>
      </c>
      <c r="L8" s="1883">
        <f t="shared" si="8"/>
        <v>82</v>
      </c>
      <c r="M8" s="1883">
        <f t="shared" si="8"/>
        <v>80</v>
      </c>
      <c r="N8" s="1883">
        <f t="shared" si="8"/>
        <v>78</v>
      </c>
      <c r="O8" s="1883">
        <f t="shared" si="8"/>
        <v>76</v>
      </c>
      <c r="P8" s="1883">
        <f t="shared" si="8"/>
        <v>74</v>
      </c>
      <c r="Q8" s="1883">
        <f t="shared" si="8"/>
        <v>72</v>
      </c>
      <c r="R8" s="1883">
        <f t="shared" si="8"/>
        <v>70</v>
      </c>
      <c r="S8" s="1883">
        <f t="shared" si="8"/>
        <v>68</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2888</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2899</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2887</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2886</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39706</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1818</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218404.75499999998</v>
      </c>
      <c r="C22" s="3756" t="s">
        <v>20</v>
      </c>
      <c r="D22" s="3757"/>
      <c r="E22" s="3757"/>
      <c r="F22" s="3757"/>
      <c r="G22" s="3757"/>
      <c r="H22" s="3757"/>
      <c r="I22" s="3757"/>
      <c r="J22" s="3757"/>
      <c r="K22" s="3757"/>
      <c r="L22" s="3757"/>
      <c r="M22" s="3757"/>
      <c r="N22" s="3757"/>
      <c r="O22" s="3757"/>
      <c r="P22" s="3757"/>
      <c r="Q22" s="3758"/>
      <c r="R22" s="484">
        <f ca="1">ROUND(S22*10000/B22,0)</f>
        <v>1818</v>
      </c>
      <c r="S22" s="53">
        <f ca="1">SUM(S24:S10000)</f>
        <v>39706</v>
      </c>
    </row>
    <row r="23" spans="1:45" s="1542" customFormat="1" ht="24">
      <c r="A23" s="17" t="s">
        <v>824</v>
      </c>
      <c r="B23" s="2860" t="s">
        <v>2907</v>
      </c>
      <c r="C23" s="17" t="s">
        <v>825</v>
      </c>
      <c r="D23" s="17" t="str">
        <f>B5</f>
        <v>临街状况</v>
      </c>
      <c r="E23" s="17" t="s">
        <v>825</v>
      </c>
      <c r="F23" s="17" t="str">
        <f>B7</f>
        <v>宗地形状</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3316</v>
      </c>
      <c r="B24" s="948">
        <f>'规划数据 '!M13</f>
        <v>218404.75499999998</v>
      </c>
      <c r="C24" s="3274">
        <v>1</v>
      </c>
      <c r="D24" s="3275" t="s">
        <v>3344</v>
      </c>
      <c r="E24" s="3274">
        <v>1</v>
      </c>
      <c r="F24" s="3275" t="s">
        <v>3305</v>
      </c>
      <c r="G24" s="3274">
        <v>1</v>
      </c>
      <c r="H24" s="3275"/>
      <c r="I24" s="3274">
        <v>1</v>
      </c>
      <c r="J24" s="3275"/>
      <c r="K24" s="3274">
        <v>1</v>
      </c>
      <c r="L24" s="3275"/>
      <c r="M24" s="3274">
        <v>1</v>
      </c>
      <c r="N24" s="3275"/>
      <c r="O24" s="3274">
        <v>1</v>
      </c>
      <c r="P24" s="3275"/>
      <c r="Q24" s="3274">
        <v>1</v>
      </c>
      <c r="R24" s="951">
        <f ca="1">结果表!C33</f>
        <v>1818</v>
      </c>
      <c r="S24" s="949">
        <f t="shared" ref="S24:S54" ca="1" si="11">ROUND(R24*B24/10000,0)</f>
        <v>39706</v>
      </c>
      <c r="T24" s="1887"/>
      <c r="U24" s="1887"/>
      <c r="V24" s="1887"/>
      <c r="W24" s="1887"/>
      <c r="X24" s="1887"/>
      <c r="Y24" s="1887"/>
      <c r="Z24" s="1887"/>
      <c r="AA24" s="1887"/>
      <c r="AB24" s="1887"/>
      <c r="AC24" s="1887"/>
      <c r="AD24" s="1887"/>
      <c r="AE24" s="1887"/>
      <c r="AF24" s="1887"/>
      <c r="AG24" s="1887"/>
      <c r="AH24" s="1887"/>
      <c r="AI24" s="1887"/>
    </row>
    <row r="25" spans="1:45">
      <c r="A25" s="948"/>
      <c r="B25" s="948"/>
      <c r="C25" s="53">
        <f>IF(B25="",1,(LOOKUP(B25,$3:$3,$4:$4)-LOOKUP($B$24,$3:$3,$4:$4)+100)/100)</f>
        <v>1</v>
      </c>
      <c r="D25" s="950"/>
      <c r="E25" s="53">
        <f>(SUMIF($5:$5,D25,$6:$6)-SUMIF($5:$5,$D$24,$6:$6)+100)/100</f>
        <v>0.06</v>
      </c>
      <c r="F25" s="950"/>
      <c r="G25" s="53">
        <f>(SUMIF($7:$7,F25,$8:$8)-SUMIF($7:$7,$F$24,$8:$8)+100)/100</f>
        <v>0.02</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48"/>
      <c r="B26" s="948"/>
      <c r="C26" s="53">
        <f t="shared" ref="C26:C89" si="12">IF(B26="",1,(LOOKUP(B26,$3:$3,$4:$4)-LOOKUP($B$24,$3:$3,$4:$4)+100)/100)</f>
        <v>1</v>
      </c>
      <c r="D26" s="950"/>
      <c r="E26" s="53">
        <f t="shared" ref="E26:E89" si="13">(SUMIF($5:$5,D26,$6:$6)-SUMIF($5:$5,$D$24,$6:$6)+100)/100</f>
        <v>0.06</v>
      </c>
      <c r="F26" s="950"/>
      <c r="G26" s="53">
        <f t="shared" ref="G26:G89" si="14">(SUMIF($7:$7,F26,$8:$8)-SUMIF($7:$7,$F$24,$8:$8)+100)/100</f>
        <v>0.02</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0.06</v>
      </c>
      <c r="F27" s="950"/>
      <c r="G27" s="53">
        <f t="shared" si="14"/>
        <v>0.02</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0.06</v>
      </c>
      <c r="F28" s="950"/>
      <c r="G28" s="53">
        <f t="shared" si="14"/>
        <v>0.02</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0.06</v>
      </c>
      <c r="F29" s="950"/>
      <c r="G29" s="53">
        <f t="shared" si="14"/>
        <v>0.02</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0.06</v>
      </c>
      <c r="F30" s="950"/>
      <c r="G30" s="53">
        <f t="shared" si="14"/>
        <v>0.02</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0.06</v>
      </c>
      <c r="F31" s="950"/>
      <c r="G31" s="53">
        <f t="shared" si="14"/>
        <v>0.02</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0.06</v>
      </c>
      <c r="F32" s="950"/>
      <c r="G32" s="53">
        <f t="shared" si="14"/>
        <v>0.02</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0.06</v>
      </c>
      <c r="F33" s="950"/>
      <c r="G33" s="53">
        <f t="shared" si="14"/>
        <v>0.02</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0.06</v>
      </c>
      <c r="F34" s="950"/>
      <c r="G34" s="53">
        <f t="shared" si="14"/>
        <v>0.02</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0.06</v>
      </c>
      <c r="F35" s="950"/>
      <c r="G35" s="53">
        <f t="shared" si="14"/>
        <v>0.02</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0.06</v>
      </c>
      <c r="F36" s="950"/>
      <c r="G36" s="53">
        <f t="shared" si="14"/>
        <v>0.02</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0.06</v>
      </c>
      <c r="F37" s="950"/>
      <c r="G37" s="53">
        <f t="shared" si="14"/>
        <v>0.02</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0.06</v>
      </c>
      <c r="F38" s="950"/>
      <c r="G38" s="53">
        <f t="shared" si="14"/>
        <v>0.02</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0.06</v>
      </c>
      <c r="F39" s="950"/>
      <c r="G39" s="53">
        <f t="shared" si="14"/>
        <v>0.02</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0.06</v>
      </c>
      <c r="F40" s="950"/>
      <c r="G40" s="53">
        <f t="shared" si="14"/>
        <v>0.02</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0.06</v>
      </c>
      <c r="F41" s="950"/>
      <c r="G41" s="53">
        <f t="shared" si="14"/>
        <v>0.02</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0.06</v>
      </c>
      <c r="F42" s="950"/>
      <c r="G42" s="53">
        <f t="shared" si="14"/>
        <v>0.02</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0.06</v>
      </c>
      <c r="F43" s="950"/>
      <c r="G43" s="53">
        <f t="shared" si="14"/>
        <v>0.02</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0.06</v>
      </c>
      <c r="F44" s="950"/>
      <c r="G44" s="53">
        <f t="shared" si="14"/>
        <v>0.02</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0.06</v>
      </c>
      <c r="F45" s="950"/>
      <c r="G45" s="53">
        <f t="shared" si="14"/>
        <v>0.02</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0.06</v>
      </c>
      <c r="F46" s="950"/>
      <c r="G46" s="53">
        <f t="shared" si="14"/>
        <v>0.02</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0.06</v>
      </c>
      <c r="F47" s="950"/>
      <c r="G47" s="53">
        <f t="shared" si="14"/>
        <v>0.02</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0.06</v>
      </c>
      <c r="F48" s="950"/>
      <c r="G48" s="53">
        <f t="shared" si="14"/>
        <v>0.02</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0.06</v>
      </c>
      <c r="F49" s="950"/>
      <c r="G49" s="53">
        <f t="shared" si="14"/>
        <v>0.02</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0.06</v>
      </c>
      <c r="F50" s="950"/>
      <c r="G50" s="53">
        <f t="shared" si="14"/>
        <v>0.02</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0.06</v>
      </c>
      <c r="F51" s="950"/>
      <c r="G51" s="53">
        <f t="shared" si="14"/>
        <v>0.02</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0.06</v>
      </c>
      <c r="F52" s="950"/>
      <c r="G52" s="53">
        <f t="shared" si="14"/>
        <v>0.02</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0.06</v>
      </c>
      <c r="F53" s="950"/>
      <c r="G53" s="53">
        <f t="shared" si="14"/>
        <v>0.02</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0.06</v>
      </c>
      <c r="F54" s="950"/>
      <c r="G54" s="53">
        <f t="shared" si="14"/>
        <v>0.02</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0.06</v>
      </c>
      <c r="F55" s="950"/>
      <c r="G55" s="53">
        <f t="shared" si="14"/>
        <v>0.02</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0.06</v>
      </c>
      <c r="F56" s="950"/>
      <c r="G56" s="53">
        <f t="shared" si="14"/>
        <v>0.02</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0.06</v>
      </c>
      <c r="F57" s="950"/>
      <c r="G57" s="53">
        <f t="shared" si="14"/>
        <v>0.02</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0.06</v>
      </c>
      <c r="F58" s="950"/>
      <c r="G58" s="53">
        <f t="shared" si="14"/>
        <v>0.02</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0.06</v>
      </c>
      <c r="F59" s="950"/>
      <c r="G59" s="53">
        <f t="shared" si="14"/>
        <v>0.02</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0.06</v>
      </c>
      <c r="F60" s="950"/>
      <c r="G60" s="53">
        <f t="shared" si="14"/>
        <v>0.02</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0.06</v>
      </c>
      <c r="F61" s="950"/>
      <c r="G61" s="53">
        <f t="shared" si="14"/>
        <v>0.02</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0.06</v>
      </c>
      <c r="F62" s="950"/>
      <c r="G62" s="53">
        <f t="shared" si="14"/>
        <v>0.02</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0.06</v>
      </c>
      <c r="F63" s="950"/>
      <c r="G63" s="53">
        <f t="shared" si="14"/>
        <v>0.02</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0.06</v>
      </c>
      <c r="F64" s="950"/>
      <c r="G64" s="53">
        <f t="shared" si="14"/>
        <v>0.02</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0.06</v>
      </c>
      <c r="F65" s="950"/>
      <c r="G65" s="53">
        <f t="shared" si="14"/>
        <v>0.02</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0.06</v>
      </c>
      <c r="F66" s="950"/>
      <c r="G66" s="53">
        <f t="shared" si="14"/>
        <v>0.02</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0.06</v>
      </c>
      <c r="F67" s="950"/>
      <c r="G67" s="53">
        <f t="shared" si="14"/>
        <v>0.02</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0.06</v>
      </c>
      <c r="F68" s="950"/>
      <c r="G68" s="53">
        <f t="shared" si="14"/>
        <v>0.02</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0.06</v>
      </c>
      <c r="F69" s="950"/>
      <c r="G69" s="53">
        <f t="shared" si="14"/>
        <v>0.02</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0.06</v>
      </c>
      <c r="F70" s="950"/>
      <c r="G70" s="53">
        <f t="shared" si="14"/>
        <v>0.02</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0.06</v>
      </c>
      <c r="F71" s="950"/>
      <c r="G71" s="53">
        <f t="shared" si="14"/>
        <v>0.02</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0.06</v>
      </c>
      <c r="F72" s="950"/>
      <c r="G72" s="53">
        <f t="shared" si="14"/>
        <v>0.02</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0.06</v>
      </c>
      <c r="F73" s="950"/>
      <c r="G73" s="53">
        <f t="shared" si="14"/>
        <v>0.02</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0.06</v>
      </c>
      <c r="F74" s="950"/>
      <c r="G74" s="53">
        <f t="shared" si="14"/>
        <v>0.02</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0.06</v>
      </c>
      <c r="F75" s="950"/>
      <c r="G75" s="53">
        <f t="shared" si="14"/>
        <v>0.02</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0.06</v>
      </c>
      <c r="F76" s="950"/>
      <c r="G76" s="53">
        <f t="shared" si="14"/>
        <v>0.02</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0.06</v>
      </c>
      <c r="F77" s="950"/>
      <c r="G77" s="53">
        <f t="shared" si="14"/>
        <v>0.02</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0.06</v>
      </c>
      <c r="F78" s="950"/>
      <c r="G78" s="53">
        <f t="shared" si="14"/>
        <v>0.02</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0.06</v>
      </c>
      <c r="F79" s="950"/>
      <c r="G79" s="53">
        <f t="shared" si="14"/>
        <v>0.02</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0.06</v>
      </c>
      <c r="F80" s="950"/>
      <c r="G80" s="53">
        <f t="shared" si="14"/>
        <v>0.02</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0.06</v>
      </c>
      <c r="F81" s="950"/>
      <c r="G81" s="53">
        <f t="shared" si="14"/>
        <v>0.02</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0.06</v>
      </c>
      <c r="F82" s="950"/>
      <c r="G82" s="53">
        <f t="shared" si="14"/>
        <v>0.02</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0.06</v>
      </c>
      <c r="F83" s="950"/>
      <c r="G83" s="53">
        <f t="shared" si="14"/>
        <v>0.02</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0.06</v>
      </c>
      <c r="F84" s="950"/>
      <c r="G84" s="53">
        <f t="shared" si="14"/>
        <v>0.02</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0.06</v>
      </c>
      <c r="F85" s="950"/>
      <c r="G85" s="53">
        <f t="shared" si="14"/>
        <v>0.02</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0.06</v>
      </c>
      <c r="F86" s="950"/>
      <c r="G86" s="53">
        <f t="shared" si="14"/>
        <v>0.02</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0.06</v>
      </c>
      <c r="F87" s="950"/>
      <c r="G87" s="53">
        <f t="shared" si="14"/>
        <v>0.02</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0.06</v>
      </c>
      <c r="F88" s="950"/>
      <c r="G88" s="53">
        <f t="shared" si="14"/>
        <v>0.02</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0.06</v>
      </c>
      <c r="F89" s="950"/>
      <c r="G89" s="53">
        <f t="shared" si="14"/>
        <v>0.02</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0.06</v>
      </c>
      <c r="F90" s="950"/>
      <c r="G90" s="53">
        <f t="shared" ref="G90:G153" si="25">(SUMIF($7:$7,F90,$8:$8)-SUMIF($7:$7,$F$24,$8:$8)+100)/100</f>
        <v>0.02</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0.06</v>
      </c>
      <c r="F91" s="950"/>
      <c r="G91" s="53">
        <f t="shared" si="25"/>
        <v>0.02</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0.06</v>
      </c>
      <c r="F92" s="950"/>
      <c r="G92" s="53">
        <f t="shared" si="25"/>
        <v>0.02</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0.06</v>
      </c>
      <c r="F93" s="950"/>
      <c r="G93" s="53">
        <f t="shared" si="25"/>
        <v>0.02</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0.06</v>
      </c>
      <c r="F94" s="950"/>
      <c r="G94" s="53">
        <f t="shared" si="25"/>
        <v>0.02</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0.06</v>
      </c>
      <c r="F95" s="950"/>
      <c r="G95" s="53">
        <f t="shared" si="25"/>
        <v>0.02</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0.06</v>
      </c>
      <c r="F96" s="950"/>
      <c r="G96" s="53">
        <f t="shared" si="25"/>
        <v>0.02</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0.06</v>
      </c>
      <c r="F97" s="950"/>
      <c r="G97" s="53">
        <f t="shared" si="25"/>
        <v>0.02</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0.06</v>
      </c>
      <c r="F98" s="950"/>
      <c r="G98" s="53">
        <f t="shared" si="25"/>
        <v>0.02</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0.06</v>
      </c>
      <c r="F99" s="950"/>
      <c r="G99" s="53">
        <f t="shared" si="25"/>
        <v>0.02</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0.06</v>
      </c>
      <c r="F100" s="950"/>
      <c r="G100" s="53">
        <f t="shared" si="25"/>
        <v>0.02</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0.06</v>
      </c>
      <c r="F101" s="950"/>
      <c r="G101" s="53">
        <f t="shared" si="25"/>
        <v>0.02</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0.06</v>
      </c>
      <c r="F102" s="950"/>
      <c r="G102" s="53">
        <f t="shared" si="25"/>
        <v>0.02</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0.06</v>
      </c>
      <c r="F103" s="950"/>
      <c r="G103" s="53">
        <f t="shared" si="25"/>
        <v>0.02</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0.06</v>
      </c>
      <c r="F104" s="950"/>
      <c r="G104" s="53">
        <f t="shared" si="25"/>
        <v>0.02</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0.06</v>
      </c>
      <c r="F105" s="950"/>
      <c r="G105" s="53">
        <f t="shared" si="25"/>
        <v>0.02</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0.06</v>
      </c>
      <c r="F106" s="950"/>
      <c r="G106" s="53">
        <f t="shared" si="25"/>
        <v>0.02</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0.06</v>
      </c>
      <c r="F107" s="950"/>
      <c r="G107" s="53">
        <f t="shared" si="25"/>
        <v>0.02</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0.06</v>
      </c>
      <c r="F108" s="950"/>
      <c r="G108" s="53">
        <f t="shared" si="25"/>
        <v>0.02</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0.06</v>
      </c>
      <c r="F109" s="950"/>
      <c r="G109" s="53">
        <f t="shared" si="25"/>
        <v>0.02</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0.06</v>
      </c>
      <c r="F110" s="950"/>
      <c r="G110" s="53">
        <f t="shared" si="25"/>
        <v>0.02</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0.06</v>
      </c>
      <c r="F111" s="950"/>
      <c r="G111" s="53">
        <f t="shared" si="25"/>
        <v>0.02</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0.06</v>
      </c>
      <c r="F112" s="950"/>
      <c r="G112" s="53">
        <f t="shared" si="25"/>
        <v>0.02</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0.06</v>
      </c>
      <c r="F113" s="950"/>
      <c r="G113" s="53">
        <f t="shared" si="25"/>
        <v>0.02</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0.06</v>
      </c>
      <c r="F114" s="950"/>
      <c r="G114" s="53">
        <f t="shared" si="25"/>
        <v>0.02</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0.06</v>
      </c>
      <c r="F115" s="950"/>
      <c r="G115" s="53">
        <f t="shared" si="25"/>
        <v>0.02</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0.06</v>
      </c>
      <c r="F116" s="950"/>
      <c r="G116" s="53">
        <f t="shared" si="25"/>
        <v>0.02</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0.06</v>
      </c>
      <c r="F117" s="950"/>
      <c r="G117" s="53">
        <f t="shared" si="25"/>
        <v>0.02</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0.06</v>
      </c>
      <c r="F118" s="950"/>
      <c r="G118" s="53">
        <f t="shared" si="25"/>
        <v>0.02</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0.06</v>
      </c>
      <c r="F119" s="950"/>
      <c r="G119" s="53">
        <f t="shared" si="25"/>
        <v>0.02</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0.06</v>
      </c>
      <c r="F120" s="950"/>
      <c r="G120" s="53">
        <f t="shared" si="25"/>
        <v>0.02</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0.06</v>
      </c>
      <c r="F121" s="950"/>
      <c r="G121" s="53">
        <f t="shared" si="25"/>
        <v>0.02</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0.06</v>
      </c>
      <c r="F122" s="950"/>
      <c r="G122" s="53">
        <f t="shared" si="25"/>
        <v>0.02</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0.06</v>
      </c>
      <c r="F123" s="950"/>
      <c r="G123" s="53">
        <f t="shared" si="25"/>
        <v>0.02</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0.06</v>
      </c>
      <c r="F124" s="950"/>
      <c r="G124" s="53">
        <f t="shared" si="25"/>
        <v>0.02</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0.06</v>
      </c>
      <c r="F125" s="950"/>
      <c r="G125" s="53">
        <f t="shared" si="25"/>
        <v>0.02</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0.06</v>
      </c>
      <c r="F126" s="950"/>
      <c r="G126" s="53">
        <f t="shared" si="25"/>
        <v>0.02</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0.06</v>
      </c>
      <c r="F127" s="950"/>
      <c r="G127" s="53">
        <f t="shared" si="25"/>
        <v>0.02</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0.06</v>
      </c>
      <c r="F128" s="950"/>
      <c r="G128" s="53">
        <f t="shared" si="25"/>
        <v>0.02</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0.06</v>
      </c>
      <c r="F129" s="950"/>
      <c r="G129" s="53">
        <f t="shared" si="25"/>
        <v>0.02</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0.06</v>
      </c>
      <c r="F130" s="950"/>
      <c r="G130" s="53">
        <f t="shared" si="25"/>
        <v>0.02</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0.06</v>
      </c>
      <c r="F131" s="950"/>
      <c r="G131" s="53">
        <f t="shared" si="25"/>
        <v>0.02</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0.06</v>
      </c>
      <c r="F132" s="950"/>
      <c r="G132" s="53">
        <f t="shared" si="25"/>
        <v>0.02</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0.06</v>
      </c>
      <c r="F133" s="950"/>
      <c r="G133" s="53">
        <f t="shared" si="25"/>
        <v>0.02</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0.06</v>
      </c>
      <c r="F134" s="950"/>
      <c r="G134" s="53">
        <f t="shared" si="25"/>
        <v>0.02</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0.06</v>
      </c>
      <c r="F135" s="950"/>
      <c r="G135" s="53">
        <f t="shared" si="25"/>
        <v>0.02</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0.06</v>
      </c>
      <c r="F136" s="950"/>
      <c r="G136" s="53">
        <f t="shared" si="25"/>
        <v>0.02</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0.06</v>
      </c>
      <c r="F137" s="950"/>
      <c r="G137" s="53">
        <f t="shared" si="25"/>
        <v>0.02</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0.06</v>
      </c>
      <c r="F138" s="950"/>
      <c r="G138" s="53">
        <f t="shared" si="25"/>
        <v>0.02</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0.06</v>
      </c>
      <c r="F139" s="950"/>
      <c r="G139" s="53">
        <f t="shared" si="25"/>
        <v>0.02</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0.06</v>
      </c>
      <c r="F140" s="950"/>
      <c r="G140" s="53">
        <f t="shared" si="25"/>
        <v>0.02</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0.06</v>
      </c>
      <c r="F141" s="950"/>
      <c r="G141" s="53">
        <f t="shared" si="25"/>
        <v>0.02</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0.06</v>
      </c>
      <c r="F142" s="950"/>
      <c r="G142" s="53">
        <f t="shared" si="25"/>
        <v>0.02</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0.06</v>
      </c>
      <c r="F143" s="950"/>
      <c r="G143" s="53">
        <f t="shared" si="25"/>
        <v>0.02</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0.06</v>
      </c>
      <c r="F144" s="950"/>
      <c r="G144" s="53">
        <f t="shared" si="25"/>
        <v>0.02</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0.06</v>
      </c>
      <c r="F145" s="950"/>
      <c r="G145" s="53">
        <f t="shared" si="25"/>
        <v>0.02</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0.06</v>
      </c>
      <c r="F146" s="950"/>
      <c r="G146" s="53">
        <f t="shared" si="25"/>
        <v>0.02</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0.06</v>
      </c>
      <c r="F147" s="950"/>
      <c r="G147" s="53">
        <f t="shared" si="25"/>
        <v>0.02</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0.06</v>
      </c>
      <c r="F148" s="950"/>
      <c r="G148" s="53">
        <f t="shared" si="25"/>
        <v>0.02</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0.06</v>
      </c>
      <c r="F149" s="950"/>
      <c r="G149" s="53">
        <f t="shared" si="25"/>
        <v>0.02</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0.06</v>
      </c>
      <c r="F150" s="950"/>
      <c r="G150" s="53">
        <f t="shared" si="25"/>
        <v>0.02</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0.06</v>
      </c>
      <c r="F151" s="950"/>
      <c r="G151" s="53">
        <f t="shared" si="25"/>
        <v>0.02</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0.06</v>
      </c>
      <c r="F152" s="950"/>
      <c r="G152" s="53">
        <f t="shared" si="25"/>
        <v>0.02</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0.06</v>
      </c>
      <c r="F153" s="950"/>
      <c r="G153" s="53">
        <f t="shared" si="25"/>
        <v>0.02</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0.06</v>
      </c>
      <c r="F154" s="950"/>
      <c r="G154" s="53">
        <f t="shared" ref="G154:G217" si="35">(SUMIF($7:$7,F154,$8:$8)-SUMIF($7:$7,$F$24,$8:$8)+100)/100</f>
        <v>0.02</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0.06</v>
      </c>
      <c r="F155" s="950"/>
      <c r="G155" s="53">
        <f t="shared" si="35"/>
        <v>0.02</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0.06</v>
      </c>
      <c r="F156" s="950"/>
      <c r="G156" s="53">
        <f t="shared" si="35"/>
        <v>0.02</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0.06</v>
      </c>
      <c r="F157" s="950"/>
      <c r="G157" s="53">
        <f t="shared" si="35"/>
        <v>0.02</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0.06</v>
      </c>
      <c r="F158" s="950"/>
      <c r="G158" s="53">
        <f t="shared" si="35"/>
        <v>0.02</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0.06</v>
      </c>
      <c r="F159" s="950"/>
      <c r="G159" s="53">
        <f t="shared" si="35"/>
        <v>0.02</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0.06</v>
      </c>
      <c r="F160" s="950"/>
      <c r="G160" s="53">
        <f t="shared" si="35"/>
        <v>0.02</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0.06</v>
      </c>
      <c r="F161" s="950"/>
      <c r="G161" s="53">
        <f t="shared" si="35"/>
        <v>0.02</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0.06</v>
      </c>
      <c r="F162" s="950"/>
      <c r="G162" s="53">
        <f t="shared" si="35"/>
        <v>0.02</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0.06</v>
      </c>
      <c r="F163" s="950"/>
      <c r="G163" s="53">
        <f t="shared" si="35"/>
        <v>0.02</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0.06</v>
      </c>
      <c r="F164" s="950"/>
      <c r="G164" s="53">
        <f t="shared" si="35"/>
        <v>0.02</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0.06</v>
      </c>
      <c r="F165" s="950"/>
      <c r="G165" s="53">
        <f t="shared" si="35"/>
        <v>0.02</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0.06</v>
      </c>
      <c r="F166" s="950"/>
      <c r="G166" s="53">
        <f t="shared" si="35"/>
        <v>0.02</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0.06</v>
      </c>
      <c r="F167" s="950"/>
      <c r="G167" s="53">
        <f t="shared" si="35"/>
        <v>0.02</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0.06</v>
      </c>
      <c r="F168" s="950"/>
      <c r="G168" s="53">
        <f t="shared" si="35"/>
        <v>0.02</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0.06</v>
      </c>
      <c r="F169" s="950"/>
      <c r="G169" s="53">
        <f t="shared" si="35"/>
        <v>0.02</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0.06</v>
      </c>
      <c r="F170" s="950"/>
      <c r="G170" s="53">
        <f t="shared" si="35"/>
        <v>0.02</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0.06</v>
      </c>
      <c r="F171" s="950"/>
      <c r="G171" s="53">
        <f t="shared" si="35"/>
        <v>0.02</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0.06</v>
      </c>
      <c r="F172" s="950"/>
      <c r="G172" s="53">
        <f t="shared" si="35"/>
        <v>0.02</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0.06</v>
      </c>
      <c r="F173" s="950"/>
      <c r="G173" s="53">
        <f t="shared" si="35"/>
        <v>0.02</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0.06</v>
      </c>
      <c r="F174" s="950"/>
      <c r="G174" s="53">
        <f t="shared" si="35"/>
        <v>0.02</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0.06</v>
      </c>
      <c r="F175" s="950"/>
      <c r="G175" s="53">
        <f t="shared" si="35"/>
        <v>0.02</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0.06</v>
      </c>
      <c r="F176" s="950"/>
      <c r="G176" s="53">
        <f t="shared" si="35"/>
        <v>0.02</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0.06</v>
      </c>
      <c r="F177" s="950"/>
      <c r="G177" s="53">
        <f t="shared" si="35"/>
        <v>0.02</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0.06</v>
      </c>
      <c r="F178" s="950"/>
      <c r="G178" s="53">
        <f t="shared" si="35"/>
        <v>0.02</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0.06</v>
      </c>
      <c r="F179" s="950"/>
      <c r="G179" s="53">
        <f t="shared" si="35"/>
        <v>0.02</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0.06</v>
      </c>
      <c r="F180" s="950"/>
      <c r="G180" s="53">
        <f t="shared" si="35"/>
        <v>0.02</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0.06</v>
      </c>
      <c r="F181" s="950"/>
      <c r="G181" s="53">
        <f t="shared" si="35"/>
        <v>0.02</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0.06</v>
      </c>
      <c r="F182" s="950"/>
      <c r="G182" s="53">
        <f t="shared" si="35"/>
        <v>0.02</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0.06</v>
      </c>
      <c r="F183" s="950"/>
      <c r="G183" s="53">
        <f t="shared" si="35"/>
        <v>0.02</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0.06</v>
      </c>
      <c r="F184" s="950"/>
      <c r="G184" s="53">
        <f t="shared" si="35"/>
        <v>0.02</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0.06</v>
      </c>
      <c r="F185" s="950"/>
      <c r="G185" s="53">
        <f t="shared" si="35"/>
        <v>0.02</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0.06</v>
      </c>
      <c r="F186" s="950"/>
      <c r="G186" s="53">
        <f t="shared" si="35"/>
        <v>0.02</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0.06</v>
      </c>
      <c r="F187" s="950"/>
      <c r="G187" s="53">
        <f t="shared" si="35"/>
        <v>0.02</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0.06</v>
      </c>
      <c r="F188" s="950"/>
      <c r="G188" s="53">
        <f t="shared" si="35"/>
        <v>0.02</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0.06</v>
      </c>
      <c r="F189" s="950"/>
      <c r="G189" s="53">
        <f t="shared" si="35"/>
        <v>0.02</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0.06</v>
      </c>
      <c r="F190" s="950"/>
      <c r="G190" s="53">
        <f t="shared" si="35"/>
        <v>0.02</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0.06</v>
      </c>
      <c r="F191" s="950"/>
      <c r="G191" s="53">
        <f t="shared" si="35"/>
        <v>0.02</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0.06</v>
      </c>
      <c r="F192" s="950"/>
      <c r="G192" s="53">
        <f t="shared" si="35"/>
        <v>0.02</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0.06</v>
      </c>
      <c r="F193" s="950"/>
      <c r="G193" s="53">
        <f t="shared" si="35"/>
        <v>0.02</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0.06</v>
      </c>
      <c r="F194" s="950"/>
      <c r="G194" s="53">
        <f t="shared" si="35"/>
        <v>0.02</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0.06</v>
      </c>
      <c r="F195" s="950"/>
      <c r="G195" s="53">
        <f t="shared" si="35"/>
        <v>0.02</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0.06</v>
      </c>
      <c r="F196" s="950"/>
      <c r="G196" s="53">
        <f t="shared" si="35"/>
        <v>0.02</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0.06</v>
      </c>
      <c r="F197" s="950"/>
      <c r="G197" s="53">
        <f t="shared" si="35"/>
        <v>0.02</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0.06</v>
      </c>
      <c r="F198" s="950"/>
      <c r="G198" s="53">
        <f t="shared" si="35"/>
        <v>0.02</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0.06</v>
      </c>
      <c r="F199" s="950"/>
      <c r="G199" s="53">
        <f t="shared" si="35"/>
        <v>0.02</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0.06</v>
      </c>
      <c r="F200" s="950"/>
      <c r="G200" s="53">
        <f t="shared" si="35"/>
        <v>0.02</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0.06</v>
      </c>
      <c r="F201" s="950"/>
      <c r="G201" s="53">
        <f t="shared" si="35"/>
        <v>0.02</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0.06</v>
      </c>
      <c r="F202" s="950"/>
      <c r="G202" s="53">
        <f t="shared" si="35"/>
        <v>0.02</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0.06</v>
      </c>
      <c r="F203" s="950"/>
      <c r="G203" s="53">
        <f t="shared" si="35"/>
        <v>0.02</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0.06</v>
      </c>
      <c r="F204" s="950"/>
      <c r="G204" s="53">
        <f t="shared" si="35"/>
        <v>0.02</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0.06</v>
      </c>
      <c r="F205" s="950"/>
      <c r="G205" s="53">
        <f t="shared" si="35"/>
        <v>0.02</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0.06</v>
      </c>
      <c r="F206" s="950"/>
      <c r="G206" s="53">
        <f t="shared" si="35"/>
        <v>0.02</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0.06</v>
      </c>
      <c r="F207" s="950"/>
      <c r="G207" s="53">
        <f t="shared" si="35"/>
        <v>0.02</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0.06</v>
      </c>
      <c r="F208" s="950"/>
      <c r="G208" s="53">
        <f t="shared" si="35"/>
        <v>0.02</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0.06</v>
      </c>
      <c r="F209" s="950"/>
      <c r="G209" s="53">
        <f t="shared" si="35"/>
        <v>0.02</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0.06</v>
      </c>
      <c r="F210" s="950"/>
      <c r="G210" s="53">
        <f t="shared" si="35"/>
        <v>0.02</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0.06</v>
      </c>
      <c r="F211" s="950"/>
      <c r="G211" s="53">
        <f t="shared" si="35"/>
        <v>0.02</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0.06</v>
      </c>
      <c r="F212" s="950"/>
      <c r="G212" s="53">
        <f t="shared" si="35"/>
        <v>0.02</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0.06</v>
      </c>
      <c r="F213" s="950"/>
      <c r="G213" s="53">
        <f t="shared" si="35"/>
        <v>0.02</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0.06</v>
      </c>
      <c r="F214" s="950"/>
      <c r="G214" s="53">
        <f t="shared" si="35"/>
        <v>0.02</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0.06</v>
      </c>
      <c r="F215" s="950"/>
      <c r="G215" s="53">
        <f t="shared" si="35"/>
        <v>0.02</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0.06</v>
      </c>
      <c r="F216" s="950"/>
      <c r="G216" s="53">
        <f t="shared" si="35"/>
        <v>0.02</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0.06</v>
      </c>
      <c r="F217" s="950"/>
      <c r="G217" s="53">
        <f t="shared" si="35"/>
        <v>0.02</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0.06</v>
      </c>
      <c r="F218" s="950"/>
      <c r="G218" s="53">
        <f t="shared" ref="G218:G281" si="45">(SUMIF($7:$7,F218,$8:$8)-SUMIF($7:$7,$F$24,$8:$8)+100)/100</f>
        <v>0.02</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0.06</v>
      </c>
      <c r="F219" s="950"/>
      <c r="G219" s="53">
        <f t="shared" si="45"/>
        <v>0.02</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0.06</v>
      </c>
      <c r="F220" s="950"/>
      <c r="G220" s="53">
        <f t="shared" si="45"/>
        <v>0.02</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0.06</v>
      </c>
      <c r="F221" s="950"/>
      <c r="G221" s="53">
        <f t="shared" si="45"/>
        <v>0.02</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0.06</v>
      </c>
      <c r="F222" s="950"/>
      <c r="G222" s="53">
        <f t="shared" si="45"/>
        <v>0.02</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0.06</v>
      </c>
      <c r="F223" s="950"/>
      <c r="G223" s="53">
        <f t="shared" si="45"/>
        <v>0.02</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0.06</v>
      </c>
      <c r="F224" s="950"/>
      <c r="G224" s="53">
        <f t="shared" si="45"/>
        <v>0.02</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0.06</v>
      </c>
      <c r="F225" s="950"/>
      <c r="G225" s="53">
        <f t="shared" si="45"/>
        <v>0.02</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0.06</v>
      </c>
      <c r="F226" s="950"/>
      <c r="G226" s="53">
        <f t="shared" si="45"/>
        <v>0.02</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0.06</v>
      </c>
      <c r="F227" s="950"/>
      <c r="G227" s="53">
        <f t="shared" si="45"/>
        <v>0.02</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0.06</v>
      </c>
      <c r="F228" s="950"/>
      <c r="G228" s="53">
        <f t="shared" si="45"/>
        <v>0.02</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0.06</v>
      </c>
      <c r="F229" s="950"/>
      <c r="G229" s="53">
        <f t="shared" si="45"/>
        <v>0.02</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0.06</v>
      </c>
      <c r="F230" s="950"/>
      <c r="G230" s="53">
        <f t="shared" si="45"/>
        <v>0.02</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0.06</v>
      </c>
      <c r="F231" s="950"/>
      <c r="G231" s="53">
        <f t="shared" si="45"/>
        <v>0.02</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0.06</v>
      </c>
      <c r="F232" s="950"/>
      <c r="G232" s="53">
        <f t="shared" si="45"/>
        <v>0.02</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0.06</v>
      </c>
      <c r="F233" s="950"/>
      <c r="G233" s="53">
        <f t="shared" si="45"/>
        <v>0.02</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0.06</v>
      </c>
      <c r="F234" s="950"/>
      <c r="G234" s="53">
        <f t="shared" si="45"/>
        <v>0.02</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0.06</v>
      </c>
      <c r="F235" s="950"/>
      <c r="G235" s="53">
        <f t="shared" si="45"/>
        <v>0.02</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0.06</v>
      </c>
      <c r="F236" s="950"/>
      <c r="G236" s="53">
        <f t="shared" si="45"/>
        <v>0.02</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0.06</v>
      </c>
      <c r="F237" s="950"/>
      <c r="G237" s="53">
        <f t="shared" si="45"/>
        <v>0.02</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0.06</v>
      </c>
      <c r="F238" s="950"/>
      <c r="G238" s="53">
        <f t="shared" si="45"/>
        <v>0.02</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0.06</v>
      </c>
      <c r="F239" s="950"/>
      <c r="G239" s="53">
        <f t="shared" si="45"/>
        <v>0.02</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0.06</v>
      </c>
      <c r="F240" s="950"/>
      <c r="G240" s="53">
        <f t="shared" si="45"/>
        <v>0.02</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0.06</v>
      </c>
      <c r="F241" s="950"/>
      <c r="G241" s="53">
        <f t="shared" si="45"/>
        <v>0.02</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0.06</v>
      </c>
      <c r="F242" s="950"/>
      <c r="G242" s="53">
        <f t="shared" si="45"/>
        <v>0.02</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0.06</v>
      </c>
      <c r="F243" s="950"/>
      <c r="G243" s="53">
        <f t="shared" si="45"/>
        <v>0.02</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0.06</v>
      </c>
      <c r="F244" s="950"/>
      <c r="G244" s="53">
        <f t="shared" si="45"/>
        <v>0.02</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0.06</v>
      </c>
      <c r="F245" s="950"/>
      <c r="G245" s="53">
        <f t="shared" si="45"/>
        <v>0.02</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0.06</v>
      </c>
      <c r="F246" s="950"/>
      <c r="G246" s="53">
        <f t="shared" si="45"/>
        <v>0.02</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0.06</v>
      </c>
      <c r="F247" s="950"/>
      <c r="G247" s="53">
        <f t="shared" si="45"/>
        <v>0.02</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0.06</v>
      </c>
      <c r="F248" s="950"/>
      <c r="G248" s="53">
        <f t="shared" si="45"/>
        <v>0.02</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0.06</v>
      </c>
      <c r="F249" s="950"/>
      <c r="G249" s="53">
        <f t="shared" si="45"/>
        <v>0.02</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0.06</v>
      </c>
      <c r="F250" s="950"/>
      <c r="G250" s="53">
        <f t="shared" si="45"/>
        <v>0.02</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0.06</v>
      </c>
      <c r="F251" s="950"/>
      <c r="G251" s="53">
        <f t="shared" si="45"/>
        <v>0.02</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0.06</v>
      </c>
      <c r="F252" s="950"/>
      <c r="G252" s="53">
        <f t="shared" si="45"/>
        <v>0.02</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0.06</v>
      </c>
      <c r="F253" s="950"/>
      <c r="G253" s="53">
        <f t="shared" si="45"/>
        <v>0.02</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0.06</v>
      </c>
      <c r="F254" s="950"/>
      <c r="G254" s="53">
        <f t="shared" si="45"/>
        <v>0.02</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0.06</v>
      </c>
      <c r="F255" s="950"/>
      <c r="G255" s="53">
        <f t="shared" si="45"/>
        <v>0.02</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0.06</v>
      </c>
      <c r="F256" s="950"/>
      <c r="G256" s="53">
        <f t="shared" si="45"/>
        <v>0.02</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0.06</v>
      </c>
      <c r="F257" s="950"/>
      <c r="G257" s="53">
        <f t="shared" si="45"/>
        <v>0.02</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0.06</v>
      </c>
      <c r="F258" s="950"/>
      <c r="G258" s="53">
        <f t="shared" si="45"/>
        <v>0.02</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0.06</v>
      </c>
      <c r="F259" s="950"/>
      <c r="G259" s="53">
        <f t="shared" si="45"/>
        <v>0.02</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0.06</v>
      </c>
      <c r="F260" s="950"/>
      <c r="G260" s="53">
        <f t="shared" si="45"/>
        <v>0.02</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0.06</v>
      </c>
      <c r="F261" s="950"/>
      <c r="G261" s="53">
        <f t="shared" si="45"/>
        <v>0.02</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0.06</v>
      </c>
      <c r="F262" s="950"/>
      <c r="G262" s="53">
        <f t="shared" si="45"/>
        <v>0.02</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0.06</v>
      </c>
      <c r="F263" s="950"/>
      <c r="G263" s="53">
        <f t="shared" si="45"/>
        <v>0.02</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0.06</v>
      </c>
      <c r="F264" s="950"/>
      <c r="G264" s="53">
        <f t="shared" si="45"/>
        <v>0.02</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0.06</v>
      </c>
      <c r="F265" s="950"/>
      <c r="G265" s="53">
        <f t="shared" si="45"/>
        <v>0.02</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0.06</v>
      </c>
      <c r="F266" s="950"/>
      <c r="G266" s="53">
        <f t="shared" si="45"/>
        <v>0.02</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0.06</v>
      </c>
      <c r="F267" s="950"/>
      <c r="G267" s="53">
        <f t="shared" si="45"/>
        <v>0.02</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0.06</v>
      </c>
      <c r="F268" s="950"/>
      <c r="G268" s="53">
        <f t="shared" si="45"/>
        <v>0.02</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0.06</v>
      </c>
      <c r="F269" s="950"/>
      <c r="G269" s="53">
        <f t="shared" si="45"/>
        <v>0.02</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0.06</v>
      </c>
      <c r="F270" s="950"/>
      <c r="G270" s="53">
        <f t="shared" si="45"/>
        <v>0.02</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0.06</v>
      </c>
      <c r="F271" s="950"/>
      <c r="G271" s="53">
        <f t="shared" si="45"/>
        <v>0.02</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0.06</v>
      </c>
      <c r="F272" s="950"/>
      <c r="G272" s="53">
        <f t="shared" si="45"/>
        <v>0.02</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0.06</v>
      </c>
      <c r="F273" s="950"/>
      <c r="G273" s="53">
        <f t="shared" si="45"/>
        <v>0.02</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0.06</v>
      </c>
      <c r="F274" s="950"/>
      <c r="G274" s="53">
        <f t="shared" si="45"/>
        <v>0.02</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0.06</v>
      </c>
      <c r="F275" s="950"/>
      <c r="G275" s="53">
        <f t="shared" si="45"/>
        <v>0.02</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0.06</v>
      </c>
      <c r="F276" s="950"/>
      <c r="G276" s="53">
        <f t="shared" si="45"/>
        <v>0.02</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0.06</v>
      </c>
      <c r="F277" s="950"/>
      <c r="G277" s="53">
        <f t="shared" si="45"/>
        <v>0.02</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0.06</v>
      </c>
      <c r="F278" s="950"/>
      <c r="G278" s="53">
        <f t="shared" si="45"/>
        <v>0.02</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0.06</v>
      </c>
      <c r="F279" s="950"/>
      <c r="G279" s="53">
        <f t="shared" si="45"/>
        <v>0.02</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0.06</v>
      </c>
      <c r="F280" s="950"/>
      <c r="G280" s="53">
        <f t="shared" si="45"/>
        <v>0.02</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0.06</v>
      </c>
      <c r="F281" s="950"/>
      <c r="G281" s="53">
        <f t="shared" si="45"/>
        <v>0.02</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0.06</v>
      </c>
      <c r="F282" s="950"/>
      <c r="G282" s="53">
        <f t="shared" ref="G282:G345" si="55">(SUMIF($7:$7,F282,$8:$8)-SUMIF($7:$7,$F$24,$8:$8)+100)/100</f>
        <v>0.02</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0.06</v>
      </c>
      <c r="F283" s="950"/>
      <c r="G283" s="53">
        <f t="shared" si="55"/>
        <v>0.02</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0.06</v>
      </c>
      <c r="F284" s="950"/>
      <c r="G284" s="53">
        <f t="shared" si="55"/>
        <v>0.02</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0.06</v>
      </c>
      <c r="F285" s="950"/>
      <c r="G285" s="53">
        <f t="shared" si="55"/>
        <v>0.02</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0.06</v>
      </c>
      <c r="F286" s="950"/>
      <c r="G286" s="53">
        <f t="shared" si="55"/>
        <v>0.02</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0.06</v>
      </c>
      <c r="F287" s="950"/>
      <c r="G287" s="53">
        <f t="shared" si="55"/>
        <v>0.02</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0.06</v>
      </c>
      <c r="F288" s="950"/>
      <c r="G288" s="53">
        <f t="shared" si="55"/>
        <v>0.02</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0.06</v>
      </c>
      <c r="F289" s="950"/>
      <c r="G289" s="53">
        <f t="shared" si="55"/>
        <v>0.02</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0.06</v>
      </c>
      <c r="F290" s="950"/>
      <c r="G290" s="53">
        <f t="shared" si="55"/>
        <v>0.02</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0.06</v>
      </c>
      <c r="F291" s="950"/>
      <c r="G291" s="53">
        <f t="shared" si="55"/>
        <v>0.02</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0.06</v>
      </c>
      <c r="F292" s="950"/>
      <c r="G292" s="53">
        <f t="shared" si="55"/>
        <v>0.02</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0.06</v>
      </c>
      <c r="F293" s="950"/>
      <c r="G293" s="53">
        <f t="shared" si="55"/>
        <v>0.02</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0.06</v>
      </c>
      <c r="F294" s="950"/>
      <c r="G294" s="53">
        <f t="shared" si="55"/>
        <v>0.02</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0.06</v>
      </c>
      <c r="F295" s="950"/>
      <c r="G295" s="53">
        <f t="shared" si="55"/>
        <v>0.02</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0.06</v>
      </c>
      <c r="F296" s="950"/>
      <c r="G296" s="53">
        <f t="shared" si="55"/>
        <v>0.02</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0.06</v>
      </c>
      <c r="F297" s="950"/>
      <c r="G297" s="53">
        <f t="shared" si="55"/>
        <v>0.02</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0.06</v>
      </c>
      <c r="F298" s="950"/>
      <c r="G298" s="53">
        <f t="shared" si="55"/>
        <v>0.02</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0.06</v>
      </c>
      <c r="F299" s="950"/>
      <c r="G299" s="53">
        <f t="shared" si="55"/>
        <v>0.02</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0.06</v>
      </c>
      <c r="F300" s="950"/>
      <c r="G300" s="53">
        <f t="shared" si="55"/>
        <v>0.02</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0.06</v>
      </c>
      <c r="F301" s="950"/>
      <c r="G301" s="53">
        <f t="shared" si="55"/>
        <v>0.02</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0.06</v>
      </c>
      <c r="F302" s="950"/>
      <c r="G302" s="53">
        <f t="shared" si="55"/>
        <v>0.02</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0.06</v>
      </c>
      <c r="F303" s="950"/>
      <c r="G303" s="53">
        <f t="shared" si="55"/>
        <v>0.02</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0.06</v>
      </c>
      <c r="F304" s="950"/>
      <c r="G304" s="53">
        <f t="shared" si="55"/>
        <v>0.02</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0.06</v>
      </c>
      <c r="F305" s="950"/>
      <c r="G305" s="53">
        <f t="shared" si="55"/>
        <v>0.02</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0.06</v>
      </c>
      <c r="F306" s="950"/>
      <c r="G306" s="53">
        <f t="shared" si="55"/>
        <v>0.02</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0.06</v>
      </c>
      <c r="F307" s="950"/>
      <c r="G307" s="53">
        <f t="shared" si="55"/>
        <v>0.02</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0.06</v>
      </c>
      <c r="F308" s="950"/>
      <c r="G308" s="53">
        <f t="shared" si="55"/>
        <v>0.02</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0.06</v>
      </c>
      <c r="F309" s="950"/>
      <c r="G309" s="53">
        <f t="shared" si="55"/>
        <v>0.02</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0.06</v>
      </c>
      <c r="F310" s="950"/>
      <c r="G310" s="53">
        <f t="shared" si="55"/>
        <v>0.02</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0.06</v>
      </c>
      <c r="F311" s="950"/>
      <c r="G311" s="53">
        <f t="shared" si="55"/>
        <v>0.02</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0.06</v>
      </c>
      <c r="F312" s="950"/>
      <c r="G312" s="53">
        <f t="shared" si="55"/>
        <v>0.02</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0.06</v>
      </c>
      <c r="F313" s="950"/>
      <c r="G313" s="53">
        <f t="shared" si="55"/>
        <v>0.02</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0.06</v>
      </c>
      <c r="F314" s="950"/>
      <c r="G314" s="53">
        <f t="shared" si="55"/>
        <v>0.02</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0.06</v>
      </c>
      <c r="F315" s="950"/>
      <c r="G315" s="53">
        <f t="shared" si="55"/>
        <v>0.02</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0.06</v>
      </c>
      <c r="F316" s="950"/>
      <c r="G316" s="53">
        <f t="shared" si="55"/>
        <v>0.02</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0.06</v>
      </c>
      <c r="F317" s="950"/>
      <c r="G317" s="53">
        <f t="shared" si="55"/>
        <v>0.02</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0.06</v>
      </c>
      <c r="F318" s="950"/>
      <c r="G318" s="53">
        <f t="shared" si="55"/>
        <v>0.02</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0.06</v>
      </c>
      <c r="F319" s="950"/>
      <c r="G319" s="53">
        <f t="shared" si="55"/>
        <v>0.02</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0.06</v>
      </c>
      <c r="F320" s="950"/>
      <c r="G320" s="53">
        <f t="shared" si="55"/>
        <v>0.02</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0.06</v>
      </c>
      <c r="F321" s="950"/>
      <c r="G321" s="53">
        <f t="shared" si="55"/>
        <v>0.02</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0.06</v>
      </c>
      <c r="F322" s="950"/>
      <c r="G322" s="53">
        <f t="shared" si="55"/>
        <v>0.02</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0.06</v>
      </c>
      <c r="F323" s="950"/>
      <c r="G323" s="53">
        <f t="shared" si="55"/>
        <v>0.02</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0.06</v>
      </c>
      <c r="F324" s="950"/>
      <c r="G324" s="53">
        <f t="shared" si="55"/>
        <v>0.02</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0.06</v>
      </c>
      <c r="F325" s="950"/>
      <c r="G325" s="53">
        <f t="shared" si="55"/>
        <v>0.02</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0.06</v>
      </c>
      <c r="F326" s="950"/>
      <c r="G326" s="53">
        <f t="shared" si="55"/>
        <v>0.02</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0.06</v>
      </c>
      <c r="F327" s="950"/>
      <c r="G327" s="53">
        <f t="shared" si="55"/>
        <v>0.02</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0.06</v>
      </c>
      <c r="F328" s="950"/>
      <c r="G328" s="53">
        <f t="shared" si="55"/>
        <v>0.02</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0.06</v>
      </c>
      <c r="F329" s="950"/>
      <c r="G329" s="53">
        <f t="shared" si="55"/>
        <v>0.02</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0.06</v>
      </c>
      <c r="F330" s="950"/>
      <c r="G330" s="53">
        <f t="shared" si="55"/>
        <v>0.02</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0.06</v>
      </c>
      <c r="F331" s="950"/>
      <c r="G331" s="53">
        <f t="shared" si="55"/>
        <v>0.02</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0.06</v>
      </c>
      <c r="F332" s="950"/>
      <c r="G332" s="53">
        <f t="shared" si="55"/>
        <v>0.02</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0.06</v>
      </c>
      <c r="F333" s="950"/>
      <c r="G333" s="53">
        <f t="shared" si="55"/>
        <v>0.02</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0.06</v>
      </c>
      <c r="F334" s="950"/>
      <c r="G334" s="53">
        <f t="shared" si="55"/>
        <v>0.02</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0.06</v>
      </c>
      <c r="F335" s="950"/>
      <c r="G335" s="53">
        <f t="shared" si="55"/>
        <v>0.02</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0.06</v>
      </c>
      <c r="F336" s="950"/>
      <c r="G336" s="53">
        <f t="shared" si="55"/>
        <v>0.02</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0.06</v>
      </c>
      <c r="F337" s="950"/>
      <c r="G337" s="53">
        <f t="shared" si="55"/>
        <v>0.02</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0.06</v>
      </c>
      <c r="F338" s="950"/>
      <c r="G338" s="53">
        <f t="shared" si="55"/>
        <v>0.02</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0.06</v>
      </c>
      <c r="F339" s="950"/>
      <c r="G339" s="53">
        <f t="shared" si="55"/>
        <v>0.02</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0.06</v>
      </c>
      <c r="F340" s="950"/>
      <c r="G340" s="53">
        <f t="shared" si="55"/>
        <v>0.02</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0.06</v>
      </c>
      <c r="F341" s="950"/>
      <c r="G341" s="53">
        <f t="shared" si="55"/>
        <v>0.02</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0.06</v>
      </c>
      <c r="F342" s="950"/>
      <c r="G342" s="53">
        <f t="shared" si="55"/>
        <v>0.02</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0.06</v>
      </c>
      <c r="F343" s="950"/>
      <c r="G343" s="53">
        <f t="shared" si="55"/>
        <v>0.02</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0.06</v>
      </c>
      <c r="F344" s="950"/>
      <c r="G344" s="53">
        <f t="shared" si="55"/>
        <v>0.02</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0.06</v>
      </c>
      <c r="F345" s="950"/>
      <c r="G345" s="53">
        <f t="shared" si="55"/>
        <v>0.02</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0.06</v>
      </c>
      <c r="F346" s="950"/>
      <c r="G346" s="53">
        <f t="shared" ref="G346:G409" si="66">(SUMIF($7:$7,F346,$8:$8)-SUMIF($7:$7,$F$24,$8:$8)+100)/100</f>
        <v>0.02</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0.06</v>
      </c>
      <c r="F347" s="950"/>
      <c r="G347" s="53">
        <f t="shared" si="66"/>
        <v>0.02</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0.06</v>
      </c>
      <c r="F348" s="950"/>
      <c r="G348" s="53">
        <f t="shared" si="66"/>
        <v>0.02</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0.06</v>
      </c>
      <c r="F349" s="950"/>
      <c r="G349" s="53">
        <f t="shared" si="66"/>
        <v>0.02</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0.06</v>
      </c>
      <c r="F350" s="950"/>
      <c r="G350" s="53">
        <f t="shared" si="66"/>
        <v>0.02</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0.06</v>
      </c>
      <c r="F351" s="950"/>
      <c r="G351" s="53">
        <f t="shared" si="66"/>
        <v>0.02</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0.06</v>
      </c>
      <c r="F352" s="950"/>
      <c r="G352" s="53">
        <f t="shared" si="66"/>
        <v>0.02</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0.06</v>
      </c>
      <c r="F353" s="950"/>
      <c r="G353" s="53">
        <f t="shared" si="66"/>
        <v>0.02</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0.06</v>
      </c>
      <c r="F354" s="950"/>
      <c r="G354" s="53">
        <f t="shared" si="66"/>
        <v>0.02</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0.06</v>
      </c>
      <c r="F355" s="950"/>
      <c r="G355" s="53">
        <f t="shared" si="66"/>
        <v>0.02</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0.06</v>
      </c>
      <c r="F356" s="950"/>
      <c r="G356" s="53">
        <f t="shared" si="66"/>
        <v>0.02</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0.06</v>
      </c>
      <c r="F357" s="950"/>
      <c r="G357" s="53">
        <f t="shared" si="66"/>
        <v>0.02</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0.06</v>
      </c>
      <c r="F358" s="950"/>
      <c r="G358" s="53">
        <f t="shared" si="66"/>
        <v>0.02</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0.06</v>
      </c>
      <c r="F359" s="950"/>
      <c r="G359" s="53">
        <f t="shared" si="66"/>
        <v>0.02</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0.06</v>
      </c>
      <c r="F360" s="950"/>
      <c r="G360" s="53">
        <f t="shared" si="66"/>
        <v>0.02</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0.06</v>
      </c>
      <c r="F361" s="950"/>
      <c r="G361" s="53">
        <f t="shared" si="66"/>
        <v>0.02</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0.06</v>
      </c>
      <c r="F362" s="950"/>
      <c r="G362" s="53">
        <f t="shared" si="66"/>
        <v>0.02</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0.06</v>
      </c>
      <c r="F363" s="950"/>
      <c r="G363" s="53">
        <f t="shared" si="66"/>
        <v>0.02</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0.06</v>
      </c>
      <c r="F364" s="950"/>
      <c r="G364" s="53">
        <f t="shared" si="66"/>
        <v>0.02</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0.06</v>
      </c>
      <c r="F365" s="950"/>
      <c r="G365" s="53">
        <f t="shared" si="66"/>
        <v>0.02</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0.06</v>
      </c>
      <c r="F366" s="950"/>
      <c r="G366" s="53">
        <f t="shared" si="66"/>
        <v>0.02</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0.06</v>
      </c>
      <c r="F367" s="950"/>
      <c r="G367" s="53">
        <f t="shared" si="66"/>
        <v>0.02</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0.06</v>
      </c>
      <c r="F368" s="950"/>
      <c r="G368" s="53">
        <f t="shared" si="66"/>
        <v>0.02</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0.06</v>
      </c>
      <c r="F369" s="950"/>
      <c r="G369" s="53">
        <f t="shared" si="66"/>
        <v>0.02</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0.06</v>
      </c>
      <c r="F370" s="950"/>
      <c r="G370" s="53">
        <f t="shared" si="66"/>
        <v>0.02</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0.06</v>
      </c>
      <c r="F371" s="950"/>
      <c r="G371" s="53">
        <f t="shared" si="66"/>
        <v>0.02</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0.06</v>
      </c>
      <c r="F372" s="950"/>
      <c r="G372" s="53">
        <f t="shared" si="66"/>
        <v>0.02</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0.06</v>
      </c>
      <c r="F373" s="950"/>
      <c r="G373" s="53">
        <f t="shared" si="66"/>
        <v>0.02</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0.06</v>
      </c>
      <c r="F374" s="950"/>
      <c r="G374" s="53">
        <f t="shared" si="66"/>
        <v>0.02</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0.06</v>
      </c>
      <c r="F375" s="950"/>
      <c r="G375" s="53">
        <f t="shared" si="66"/>
        <v>0.02</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0.06</v>
      </c>
      <c r="F376" s="950"/>
      <c r="G376" s="53">
        <f t="shared" si="66"/>
        <v>0.02</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0.06</v>
      </c>
      <c r="F377" s="950"/>
      <c r="G377" s="53">
        <f t="shared" si="66"/>
        <v>0.02</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0.06</v>
      </c>
      <c r="F378" s="950"/>
      <c r="G378" s="53">
        <f t="shared" si="66"/>
        <v>0.02</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0.06</v>
      </c>
      <c r="F379" s="950"/>
      <c r="G379" s="53">
        <f t="shared" si="66"/>
        <v>0.02</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0.06</v>
      </c>
      <c r="F380" s="950"/>
      <c r="G380" s="53">
        <f t="shared" si="66"/>
        <v>0.02</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0.06</v>
      </c>
      <c r="F381" s="950"/>
      <c r="G381" s="53">
        <f t="shared" si="66"/>
        <v>0.02</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0.06</v>
      </c>
      <c r="F382" s="950"/>
      <c r="G382" s="53">
        <f t="shared" si="66"/>
        <v>0.02</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0.06</v>
      </c>
      <c r="F383" s="950"/>
      <c r="G383" s="53">
        <f t="shared" si="66"/>
        <v>0.02</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0.06</v>
      </c>
      <c r="F384" s="950"/>
      <c r="G384" s="53">
        <f t="shared" si="66"/>
        <v>0.02</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0.06</v>
      </c>
      <c r="F385" s="950"/>
      <c r="G385" s="53">
        <f t="shared" si="66"/>
        <v>0.02</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0.06</v>
      </c>
      <c r="F386" s="950"/>
      <c r="G386" s="53">
        <f t="shared" si="66"/>
        <v>0.02</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0.06</v>
      </c>
      <c r="F387" s="950"/>
      <c r="G387" s="53">
        <f t="shared" si="66"/>
        <v>0.02</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0.06</v>
      </c>
      <c r="F388" s="950"/>
      <c r="G388" s="53">
        <f t="shared" si="66"/>
        <v>0.02</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0.06</v>
      </c>
      <c r="F389" s="950"/>
      <c r="G389" s="53">
        <f t="shared" si="66"/>
        <v>0.02</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0.06</v>
      </c>
      <c r="F390" s="950"/>
      <c r="G390" s="53">
        <f t="shared" si="66"/>
        <v>0.02</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0.06</v>
      </c>
      <c r="F391" s="950"/>
      <c r="G391" s="53">
        <f t="shared" si="66"/>
        <v>0.02</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0.06</v>
      </c>
      <c r="F392" s="950"/>
      <c r="G392" s="53">
        <f t="shared" si="66"/>
        <v>0.02</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0.06</v>
      </c>
      <c r="F393" s="950"/>
      <c r="G393" s="53">
        <f t="shared" si="66"/>
        <v>0.02</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0.06</v>
      </c>
      <c r="F394" s="950"/>
      <c r="G394" s="53">
        <f t="shared" si="66"/>
        <v>0.02</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0.06</v>
      </c>
      <c r="F395" s="950"/>
      <c r="G395" s="53">
        <f t="shared" si="66"/>
        <v>0.02</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0.06</v>
      </c>
      <c r="F396" s="950"/>
      <c r="G396" s="53">
        <f t="shared" si="66"/>
        <v>0.02</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0.06</v>
      </c>
      <c r="F397" s="950"/>
      <c r="G397" s="53">
        <f t="shared" si="66"/>
        <v>0.02</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0.06</v>
      </c>
      <c r="F398" s="950"/>
      <c r="G398" s="53">
        <f t="shared" si="66"/>
        <v>0.02</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0.06</v>
      </c>
      <c r="F399" s="950"/>
      <c r="G399" s="53">
        <f t="shared" si="66"/>
        <v>0.02</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0.06</v>
      </c>
      <c r="F400" s="950"/>
      <c r="G400" s="53">
        <f t="shared" si="66"/>
        <v>0.02</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0.06</v>
      </c>
      <c r="F401" s="950"/>
      <c r="G401" s="53">
        <f t="shared" si="66"/>
        <v>0.02</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0.06</v>
      </c>
      <c r="F402" s="950"/>
      <c r="G402" s="53">
        <f t="shared" si="66"/>
        <v>0.02</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0.06</v>
      </c>
      <c r="F403" s="950"/>
      <c r="G403" s="53">
        <f t="shared" si="66"/>
        <v>0.02</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0.06</v>
      </c>
      <c r="F404" s="950"/>
      <c r="G404" s="53">
        <f t="shared" si="66"/>
        <v>0.02</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0.06</v>
      </c>
      <c r="F405" s="950"/>
      <c r="G405" s="53">
        <f t="shared" si="66"/>
        <v>0.02</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0.06</v>
      </c>
      <c r="F406" s="950"/>
      <c r="G406" s="53">
        <f t="shared" si="66"/>
        <v>0.02</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0.06</v>
      </c>
      <c r="F407" s="950"/>
      <c r="G407" s="53">
        <f t="shared" si="66"/>
        <v>0.02</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0.06</v>
      </c>
      <c r="F408" s="950"/>
      <c r="G408" s="53">
        <f t="shared" si="66"/>
        <v>0.02</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0.06</v>
      </c>
      <c r="F409" s="950"/>
      <c r="G409" s="53">
        <f t="shared" si="66"/>
        <v>0.02</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0.06</v>
      </c>
      <c r="F410" s="950"/>
      <c r="G410" s="53">
        <f t="shared" ref="G410:G473" si="76">(SUMIF($7:$7,F410,$8:$8)-SUMIF($7:$7,$F$24,$8:$8)+100)/100</f>
        <v>0.02</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0.06</v>
      </c>
      <c r="F411" s="950"/>
      <c r="G411" s="53">
        <f t="shared" si="76"/>
        <v>0.02</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0.06</v>
      </c>
      <c r="F412" s="950"/>
      <c r="G412" s="53">
        <f t="shared" si="76"/>
        <v>0.02</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0.06</v>
      </c>
      <c r="F413" s="950"/>
      <c r="G413" s="53">
        <f t="shared" si="76"/>
        <v>0.02</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0.06</v>
      </c>
      <c r="F414" s="950"/>
      <c r="G414" s="53">
        <f t="shared" si="76"/>
        <v>0.02</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0.06</v>
      </c>
      <c r="F415" s="950"/>
      <c r="G415" s="53">
        <f t="shared" si="76"/>
        <v>0.02</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0.06</v>
      </c>
      <c r="F416" s="950"/>
      <c r="G416" s="53">
        <f t="shared" si="76"/>
        <v>0.02</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0.06</v>
      </c>
      <c r="F417" s="950"/>
      <c r="G417" s="53">
        <f t="shared" si="76"/>
        <v>0.02</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0.06</v>
      </c>
      <c r="F418" s="950"/>
      <c r="G418" s="53">
        <f t="shared" si="76"/>
        <v>0.02</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0.06</v>
      </c>
      <c r="F419" s="950"/>
      <c r="G419" s="53">
        <f t="shared" si="76"/>
        <v>0.02</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0.06</v>
      </c>
      <c r="F420" s="950"/>
      <c r="G420" s="53">
        <f t="shared" si="76"/>
        <v>0.02</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0.06</v>
      </c>
      <c r="F421" s="950"/>
      <c r="G421" s="53">
        <f t="shared" si="76"/>
        <v>0.02</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0.06</v>
      </c>
      <c r="F422" s="950"/>
      <c r="G422" s="53">
        <f t="shared" si="76"/>
        <v>0.02</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0.06</v>
      </c>
      <c r="F423" s="950"/>
      <c r="G423" s="53">
        <f t="shared" si="76"/>
        <v>0.02</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0.06</v>
      </c>
      <c r="F424" s="950"/>
      <c r="G424" s="53">
        <f t="shared" si="76"/>
        <v>0.02</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0.06</v>
      </c>
      <c r="F425" s="950"/>
      <c r="G425" s="53">
        <f t="shared" si="76"/>
        <v>0.02</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0.06</v>
      </c>
      <c r="F426" s="950"/>
      <c r="G426" s="53">
        <f t="shared" si="76"/>
        <v>0.02</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0.06</v>
      </c>
      <c r="F427" s="950"/>
      <c r="G427" s="53">
        <f t="shared" si="76"/>
        <v>0.02</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0.06</v>
      </c>
      <c r="F428" s="950"/>
      <c r="G428" s="53">
        <f t="shared" si="76"/>
        <v>0.02</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0.06</v>
      </c>
      <c r="F429" s="950"/>
      <c r="G429" s="53">
        <f t="shared" si="76"/>
        <v>0.02</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0.06</v>
      </c>
      <c r="F430" s="950"/>
      <c r="G430" s="53">
        <f t="shared" si="76"/>
        <v>0.02</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0.06</v>
      </c>
      <c r="F431" s="950"/>
      <c r="G431" s="53">
        <f t="shared" si="76"/>
        <v>0.02</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0.06</v>
      </c>
      <c r="F432" s="950"/>
      <c r="G432" s="53">
        <f t="shared" si="76"/>
        <v>0.02</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0.06</v>
      </c>
      <c r="F433" s="950"/>
      <c r="G433" s="53">
        <f t="shared" si="76"/>
        <v>0.02</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0.06</v>
      </c>
      <c r="F434" s="950"/>
      <c r="G434" s="53">
        <f t="shared" si="76"/>
        <v>0.02</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0.06</v>
      </c>
      <c r="F435" s="950"/>
      <c r="G435" s="53">
        <f t="shared" si="76"/>
        <v>0.02</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0.06</v>
      </c>
      <c r="F436" s="950"/>
      <c r="G436" s="53">
        <f t="shared" si="76"/>
        <v>0.02</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0.06</v>
      </c>
      <c r="F437" s="950"/>
      <c r="G437" s="53">
        <f t="shared" si="76"/>
        <v>0.02</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0.06</v>
      </c>
      <c r="F438" s="950"/>
      <c r="G438" s="53">
        <f t="shared" si="76"/>
        <v>0.02</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0.06</v>
      </c>
      <c r="F439" s="950"/>
      <c r="G439" s="53">
        <f t="shared" si="76"/>
        <v>0.02</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0.06</v>
      </c>
      <c r="F440" s="950"/>
      <c r="G440" s="53">
        <f t="shared" si="76"/>
        <v>0.02</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0.06</v>
      </c>
      <c r="F441" s="950"/>
      <c r="G441" s="53">
        <f t="shared" si="76"/>
        <v>0.02</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0.06</v>
      </c>
      <c r="F442" s="950"/>
      <c r="G442" s="53">
        <f t="shared" si="76"/>
        <v>0.02</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0.06</v>
      </c>
      <c r="F443" s="950"/>
      <c r="G443" s="53">
        <f t="shared" si="76"/>
        <v>0.02</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0.06</v>
      </c>
      <c r="F444" s="950"/>
      <c r="G444" s="53">
        <f t="shared" si="76"/>
        <v>0.02</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0.06</v>
      </c>
      <c r="F445" s="950"/>
      <c r="G445" s="53">
        <f t="shared" si="76"/>
        <v>0.02</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0.06</v>
      </c>
      <c r="F446" s="950"/>
      <c r="G446" s="53">
        <f t="shared" si="76"/>
        <v>0.02</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0.06</v>
      </c>
      <c r="F447" s="950"/>
      <c r="G447" s="53">
        <f t="shared" si="76"/>
        <v>0.02</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0.06</v>
      </c>
      <c r="F448" s="950"/>
      <c r="G448" s="53">
        <f t="shared" si="76"/>
        <v>0.02</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0.06</v>
      </c>
      <c r="F449" s="950"/>
      <c r="G449" s="53">
        <f t="shared" si="76"/>
        <v>0.02</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0.06</v>
      </c>
      <c r="F450" s="950"/>
      <c r="G450" s="53">
        <f t="shared" si="76"/>
        <v>0.02</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0.06</v>
      </c>
      <c r="F451" s="950"/>
      <c r="G451" s="53">
        <f t="shared" si="76"/>
        <v>0.02</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0.06</v>
      </c>
      <c r="F452" s="950"/>
      <c r="G452" s="53">
        <f t="shared" si="76"/>
        <v>0.02</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0.06</v>
      </c>
      <c r="F453" s="950"/>
      <c r="G453" s="53">
        <f t="shared" si="76"/>
        <v>0.02</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0.06</v>
      </c>
      <c r="F454" s="950"/>
      <c r="G454" s="53">
        <f t="shared" si="76"/>
        <v>0.02</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0.06</v>
      </c>
      <c r="F455" s="950"/>
      <c r="G455" s="53">
        <f t="shared" si="76"/>
        <v>0.02</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0.06</v>
      </c>
      <c r="F456" s="950"/>
      <c r="G456" s="53">
        <f t="shared" si="76"/>
        <v>0.02</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0.06</v>
      </c>
      <c r="F457" s="950"/>
      <c r="G457" s="53">
        <f t="shared" si="76"/>
        <v>0.02</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0.06</v>
      </c>
      <c r="F458" s="950"/>
      <c r="G458" s="53">
        <f t="shared" si="76"/>
        <v>0.02</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0.06</v>
      </c>
      <c r="F459" s="950"/>
      <c r="G459" s="53">
        <f t="shared" si="76"/>
        <v>0.02</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0.06</v>
      </c>
      <c r="F460" s="950"/>
      <c r="G460" s="53">
        <f t="shared" si="76"/>
        <v>0.02</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0.06</v>
      </c>
      <c r="F461" s="950"/>
      <c r="G461" s="53">
        <f t="shared" si="76"/>
        <v>0.02</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0.06</v>
      </c>
      <c r="F462" s="950"/>
      <c r="G462" s="53">
        <f t="shared" si="76"/>
        <v>0.02</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0.06</v>
      </c>
      <c r="F463" s="950"/>
      <c r="G463" s="53">
        <f t="shared" si="76"/>
        <v>0.02</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0.06</v>
      </c>
      <c r="F464" s="950"/>
      <c r="G464" s="53">
        <f t="shared" si="76"/>
        <v>0.02</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0.06</v>
      </c>
      <c r="F465" s="950"/>
      <c r="G465" s="53">
        <f t="shared" si="76"/>
        <v>0.02</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0.06</v>
      </c>
      <c r="F466" s="950"/>
      <c r="G466" s="53">
        <f t="shared" si="76"/>
        <v>0.02</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0.06</v>
      </c>
      <c r="F467" s="950"/>
      <c r="G467" s="53">
        <f t="shared" si="76"/>
        <v>0.02</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0.06</v>
      </c>
      <c r="F468" s="950"/>
      <c r="G468" s="53">
        <f t="shared" si="76"/>
        <v>0.02</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0.06</v>
      </c>
      <c r="F469" s="950"/>
      <c r="G469" s="53">
        <f t="shared" si="76"/>
        <v>0.02</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0.06</v>
      </c>
      <c r="F470" s="950"/>
      <c r="G470" s="53">
        <f t="shared" si="76"/>
        <v>0.02</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0.06</v>
      </c>
      <c r="F471" s="950"/>
      <c r="G471" s="53">
        <f t="shared" si="76"/>
        <v>0.02</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0.06</v>
      </c>
      <c r="F472" s="950"/>
      <c r="G472" s="53">
        <f t="shared" si="76"/>
        <v>0.02</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0.06</v>
      </c>
      <c r="F473" s="950"/>
      <c r="G473" s="53">
        <f t="shared" si="76"/>
        <v>0.02</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0.06</v>
      </c>
      <c r="F474" s="950"/>
      <c r="G474" s="53">
        <f t="shared" ref="G474:G524" si="87">(SUMIF($7:$7,F474,$8:$8)-SUMIF($7:$7,$F$24,$8:$8)+100)/100</f>
        <v>0.02</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0.06</v>
      </c>
      <c r="F475" s="950"/>
      <c r="G475" s="53">
        <f t="shared" si="87"/>
        <v>0.02</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0.06</v>
      </c>
      <c r="F476" s="950"/>
      <c r="G476" s="53">
        <f t="shared" si="87"/>
        <v>0.02</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0.06</v>
      </c>
      <c r="F477" s="950"/>
      <c r="G477" s="53">
        <f t="shared" si="87"/>
        <v>0.02</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0.06</v>
      </c>
      <c r="F478" s="950"/>
      <c r="G478" s="53">
        <f t="shared" si="87"/>
        <v>0.02</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0.06</v>
      </c>
      <c r="F479" s="950"/>
      <c r="G479" s="53">
        <f t="shared" si="87"/>
        <v>0.02</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0.06</v>
      </c>
      <c r="F480" s="950"/>
      <c r="G480" s="53">
        <f t="shared" si="87"/>
        <v>0.02</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0.06</v>
      </c>
      <c r="F481" s="950"/>
      <c r="G481" s="53">
        <f t="shared" si="87"/>
        <v>0.02</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0.06</v>
      </c>
      <c r="F482" s="950"/>
      <c r="G482" s="53">
        <f t="shared" si="87"/>
        <v>0.02</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0.06</v>
      </c>
      <c r="F483" s="950"/>
      <c r="G483" s="53">
        <f t="shared" si="87"/>
        <v>0.02</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0.06</v>
      </c>
      <c r="F484" s="950"/>
      <c r="G484" s="53">
        <f t="shared" si="87"/>
        <v>0.02</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0.06</v>
      </c>
      <c r="F485" s="950"/>
      <c r="G485" s="53">
        <f t="shared" si="87"/>
        <v>0.02</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0.06</v>
      </c>
      <c r="F486" s="950"/>
      <c r="G486" s="53">
        <f t="shared" si="87"/>
        <v>0.02</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0.06</v>
      </c>
      <c r="F487" s="950"/>
      <c r="G487" s="53">
        <f t="shared" si="87"/>
        <v>0.02</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0.06</v>
      </c>
      <c r="F488" s="950"/>
      <c r="G488" s="53">
        <f t="shared" si="87"/>
        <v>0.02</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0.06</v>
      </c>
      <c r="F489" s="950"/>
      <c r="G489" s="53">
        <f t="shared" si="87"/>
        <v>0.02</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0.06</v>
      </c>
      <c r="F490" s="950"/>
      <c r="G490" s="53">
        <f t="shared" si="87"/>
        <v>0.02</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0.06</v>
      </c>
      <c r="F491" s="950"/>
      <c r="G491" s="53">
        <f t="shared" si="87"/>
        <v>0.02</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0.06</v>
      </c>
      <c r="F492" s="950"/>
      <c r="G492" s="53">
        <f t="shared" si="87"/>
        <v>0.02</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0.06</v>
      </c>
      <c r="F493" s="950"/>
      <c r="G493" s="53">
        <f t="shared" si="87"/>
        <v>0.02</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0.06</v>
      </c>
      <c r="F494" s="950"/>
      <c r="G494" s="53">
        <f t="shared" si="87"/>
        <v>0.02</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0.06</v>
      </c>
      <c r="F495" s="950"/>
      <c r="G495" s="53">
        <f t="shared" si="87"/>
        <v>0.02</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0.06</v>
      </c>
      <c r="F496" s="950"/>
      <c r="G496" s="53">
        <f t="shared" si="87"/>
        <v>0.02</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0.06</v>
      </c>
      <c r="F497" s="950"/>
      <c r="G497" s="53">
        <f t="shared" si="87"/>
        <v>0.02</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0.06</v>
      </c>
      <c r="F498" s="950"/>
      <c r="G498" s="53">
        <f t="shared" si="87"/>
        <v>0.02</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0.06</v>
      </c>
      <c r="F499" s="950"/>
      <c r="G499" s="53">
        <f t="shared" si="87"/>
        <v>0.02</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0.06</v>
      </c>
      <c r="F500" s="950"/>
      <c r="G500" s="53">
        <f t="shared" si="87"/>
        <v>0.02</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0.06</v>
      </c>
      <c r="F501" s="950"/>
      <c r="G501" s="53">
        <f t="shared" si="87"/>
        <v>0.02</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0.06</v>
      </c>
      <c r="F502" s="950"/>
      <c r="G502" s="53">
        <f t="shared" si="87"/>
        <v>0.02</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0.06</v>
      </c>
      <c r="F503" s="950"/>
      <c r="G503" s="53">
        <f t="shared" si="87"/>
        <v>0.02</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0.06</v>
      </c>
      <c r="F504" s="950"/>
      <c r="G504" s="53">
        <f t="shared" si="87"/>
        <v>0.02</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0.06</v>
      </c>
      <c r="F505" s="950"/>
      <c r="G505" s="53">
        <f t="shared" si="87"/>
        <v>0.02</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0.06</v>
      </c>
      <c r="F506" s="950"/>
      <c r="G506" s="53">
        <f t="shared" si="87"/>
        <v>0.02</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0.06</v>
      </c>
      <c r="F507" s="950"/>
      <c r="G507" s="53">
        <f t="shared" si="87"/>
        <v>0.02</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0.06</v>
      </c>
      <c r="F508" s="950"/>
      <c r="G508" s="53">
        <f t="shared" si="87"/>
        <v>0.02</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0.06</v>
      </c>
      <c r="F509" s="950"/>
      <c r="G509" s="53">
        <f t="shared" si="87"/>
        <v>0.02</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0.06</v>
      </c>
      <c r="F510" s="950"/>
      <c r="G510" s="53">
        <f t="shared" si="87"/>
        <v>0.02</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0.06</v>
      </c>
      <c r="F511" s="950"/>
      <c r="G511" s="53">
        <f t="shared" si="87"/>
        <v>0.02</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0.06</v>
      </c>
      <c r="F512" s="950"/>
      <c r="G512" s="53">
        <f t="shared" si="87"/>
        <v>0.02</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0.06</v>
      </c>
      <c r="F513" s="950"/>
      <c r="G513" s="53">
        <f t="shared" si="87"/>
        <v>0.02</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0.06</v>
      </c>
      <c r="F514" s="950"/>
      <c r="G514" s="53">
        <f t="shared" si="87"/>
        <v>0.02</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0.06</v>
      </c>
      <c r="F515" s="950"/>
      <c r="G515" s="53">
        <f t="shared" si="87"/>
        <v>0.02</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0.06</v>
      </c>
      <c r="F516" s="950"/>
      <c r="G516" s="53">
        <f t="shared" si="87"/>
        <v>0.02</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0.06</v>
      </c>
      <c r="F517" s="950"/>
      <c r="G517" s="53">
        <f t="shared" si="87"/>
        <v>0.02</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0.06</v>
      </c>
      <c r="F518" s="950"/>
      <c r="G518" s="53">
        <f t="shared" si="87"/>
        <v>0.02</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0.06</v>
      </c>
      <c r="F519" s="950"/>
      <c r="G519" s="53">
        <f t="shared" si="87"/>
        <v>0.02</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0.06</v>
      </c>
      <c r="F520" s="950"/>
      <c r="G520" s="53">
        <f t="shared" si="87"/>
        <v>0.02</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0.06</v>
      </c>
      <c r="F521" s="950"/>
      <c r="G521" s="53">
        <f t="shared" si="87"/>
        <v>0.02</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0.06</v>
      </c>
      <c r="F522" s="950"/>
      <c r="G522" s="53">
        <f t="shared" si="87"/>
        <v>0.02</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0.06</v>
      </c>
      <c r="F523" s="950"/>
      <c r="G523" s="53">
        <f t="shared" si="87"/>
        <v>0.02</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0.06</v>
      </c>
      <c r="F524" s="950"/>
      <c r="G524" s="53">
        <f t="shared" si="87"/>
        <v>0.02</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2767</v>
      </c>
      <c r="C1" s="2721">
        <f>项目基本情况!D3</f>
        <v>44139</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2798</v>
      </c>
      <c r="C2" s="2722">
        <f>'数据-取费表'!B22</f>
        <v>2.5</v>
      </c>
      <c r="D2" s="2717" t="s">
        <v>2768</v>
      </c>
      <c r="E2" s="2720">
        <f ca="1">INDIRECT("I"&amp;$I$1)/100</f>
        <v>4.7500000000000001E-2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2800</v>
      </c>
      <c r="C3" s="2719">
        <f>'数据-取费表'!B19</f>
        <v>0</v>
      </c>
      <c r="D3" s="2717" t="s">
        <v>2768</v>
      </c>
      <c r="E3" s="2720">
        <f ca="1">INDIRECT("J"&amp;$J$1)/100</f>
        <v>0</v>
      </c>
      <c r="G3" s="2659" t="s">
        <v>2771</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2799</v>
      </c>
      <c r="C4" s="2720">
        <f ca="1">N4/100</f>
        <v>1.4999999999999999E-2</v>
      </c>
      <c r="G4" s="2665" t="s">
        <v>2772</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2773</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2774</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2775</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42301</v>
      </c>
      <c r="D13" s="2703">
        <v>4.3499999999999996</v>
      </c>
      <c r="E13" s="2703">
        <v>4.3499999999999996</v>
      </c>
      <c r="F13" s="2703">
        <v>4.75</v>
      </c>
      <c r="G13" s="2703">
        <v>4.75</v>
      </c>
      <c r="H13" s="2703">
        <v>4.9000000000000004</v>
      </c>
      <c r="I13" s="2703">
        <v>2.75</v>
      </c>
      <c r="J13" s="2703">
        <v>3.25</v>
      </c>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2797</v>
      </c>
      <c r="J55" s="2707" t="s">
        <v>2797</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C2" zoomScale="90" zoomScaleNormal="90" zoomScaleSheetLayoutView="80" workbookViewId="0">
      <selection activeCell="I21" sqref="I21"/>
    </sheetView>
  </sheetViews>
  <sheetFormatPr defaultColWidth="9" defaultRowHeight="26.25" customHeight="1"/>
  <cols>
    <col min="1" max="1" width="5.75" style="3392" customWidth="1"/>
    <col min="2" max="2" width="52" style="3392" customWidth="1"/>
    <col min="3" max="5" width="19.875" style="3392" customWidth="1"/>
    <col min="6" max="6" width="12.75" style="3392" hidden="1" customWidth="1"/>
    <col min="7" max="7" width="20.5" style="3392" hidden="1" customWidth="1"/>
    <col min="8" max="16384" width="9" style="3392"/>
  </cols>
  <sheetData>
    <row r="1" spans="1:7" s="3336" customFormat="1" ht="26.25" customHeight="1">
      <c r="A1" s="3764" t="s">
        <v>3143</v>
      </c>
      <c r="B1" s="3765"/>
      <c r="C1" s="3765"/>
      <c r="D1" s="3765"/>
      <c r="E1" s="3765"/>
    </row>
    <row r="2" spans="1:7" s="3279" customFormat="1" ht="26.25" customHeight="1" thickBot="1">
      <c r="A2" s="3766" t="str">
        <f>投资成本预测!A3</f>
        <v>编制部门：眉山泽隆旅游开发有限公司、眉山德泽旅游开发有限公司</v>
      </c>
      <c r="B2" s="3766"/>
      <c r="C2" s="3766"/>
      <c r="D2" s="3767" t="s">
        <v>3056</v>
      </c>
      <c r="E2" s="3767"/>
    </row>
    <row r="3" spans="1:7" s="3318" customFormat="1" ht="26.25" customHeight="1" thickTop="1">
      <c r="A3" s="3768" t="s">
        <v>2359</v>
      </c>
      <c r="B3" s="3770" t="s">
        <v>3144</v>
      </c>
      <c r="C3" s="3773" t="s">
        <v>3145</v>
      </c>
      <c r="D3" s="3773"/>
      <c r="E3" s="3774"/>
    </row>
    <row r="4" spans="1:7" s="3318" customFormat="1" ht="26.25" customHeight="1">
      <c r="A4" s="3769"/>
      <c r="B4" s="3771"/>
      <c r="C4" s="3775" t="s">
        <v>3146</v>
      </c>
      <c r="D4" s="3775" t="s">
        <v>3147</v>
      </c>
      <c r="E4" s="3776" t="s">
        <v>3060</v>
      </c>
    </row>
    <row r="5" spans="1:7" s="3318" customFormat="1" ht="26.25" customHeight="1">
      <c r="A5" s="3769"/>
      <c r="B5" s="3772"/>
      <c r="C5" s="3775"/>
      <c r="D5" s="3771"/>
      <c r="E5" s="3777"/>
    </row>
    <row r="6" spans="1:7" s="3318" customFormat="1" ht="26.25" customHeight="1">
      <c r="A6" s="3769"/>
      <c r="B6" s="3772"/>
      <c r="C6" s="3337">
        <v>1</v>
      </c>
      <c r="D6" s="3338">
        <v>2</v>
      </c>
      <c r="E6" s="3339">
        <v>3</v>
      </c>
    </row>
    <row r="7" spans="1:7" s="3318" customFormat="1" ht="28.9" customHeight="1">
      <c r="A7" s="3340">
        <v>1</v>
      </c>
      <c r="B7" s="3341" t="s">
        <v>3148</v>
      </c>
      <c r="C7" s="3342">
        <f>'规划数据 '!C2</f>
        <v>169566.51</v>
      </c>
      <c r="D7" s="3343"/>
      <c r="E7" s="3344"/>
    </row>
    <row r="8" spans="1:7" s="3318" customFormat="1" ht="28.9" customHeight="1">
      <c r="A8" s="3340">
        <v>2</v>
      </c>
      <c r="B8" s="3345" t="s">
        <v>3149</v>
      </c>
      <c r="C8" s="3342">
        <f>'规划数据 '!C3</f>
        <v>572286.97124999994</v>
      </c>
      <c r="D8" s="3343"/>
      <c r="E8" s="3344"/>
    </row>
    <row r="9" spans="1:7" s="3318" customFormat="1" ht="28.9" customHeight="1">
      <c r="A9" s="3340">
        <v>3</v>
      </c>
      <c r="B9" s="3346" t="s">
        <v>3150</v>
      </c>
      <c r="C9" s="3342">
        <f>'规划数据 '!C5</f>
        <v>0</v>
      </c>
      <c r="D9" s="3343"/>
      <c r="E9" s="3344"/>
      <c r="F9" s="3347" t="e">
        <f>G9/C9</f>
        <v>#DIV/0!</v>
      </c>
      <c r="G9" s="3348">
        <v>2163339945</v>
      </c>
    </row>
    <row r="10" spans="1:7" s="3318" customFormat="1" ht="28.9" customHeight="1">
      <c r="A10" s="3340">
        <v>4</v>
      </c>
      <c r="B10" s="3346" t="s">
        <v>3151</v>
      </c>
      <c r="C10" s="3342">
        <f>'规划数据 '!C7</f>
        <v>423916.27500000002</v>
      </c>
      <c r="D10" s="3343"/>
      <c r="E10" s="3344"/>
      <c r="F10" s="3347"/>
      <c r="G10" s="3348"/>
    </row>
    <row r="11" spans="1:7" s="3318" customFormat="1" ht="28.9" customHeight="1">
      <c r="A11" s="3340">
        <v>5</v>
      </c>
      <c r="B11" s="3346" t="s">
        <v>3152</v>
      </c>
      <c r="C11" s="3342"/>
      <c r="D11" s="3343"/>
      <c r="E11" s="3344"/>
      <c r="F11" s="3347"/>
      <c r="G11" s="3348"/>
    </row>
    <row r="12" spans="1:7" s="3318" customFormat="1" ht="28.9" customHeight="1">
      <c r="A12" s="3340">
        <v>6</v>
      </c>
      <c r="B12" s="3345" t="s">
        <v>3153</v>
      </c>
      <c r="C12" s="3342"/>
      <c r="D12" s="3343"/>
      <c r="E12" s="3344"/>
    </row>
    <row r="13" spans="1:7" s="3318" customFormat="1" ht="28.9" customHeight="1">
      <c r="A13" s="3340">
        <v>7</v>
      </c>
      <c r="B13" s="3345" t="s">
        <v>3154</v>
      </c>
      <c r="C13" s="3342">
        <f>'规划数据 '!C9</f>
        <v>4239.1627499999995</v>
      </c>
      <c r="D13" s="3343"/>
      <c r="E13" s="3344"/>
    </row>
    <row r="14" spans="1:7" s="3318" customFormat="1" ht="28.9" customHeight="1">
      <c r="A14" s="3340">
        <v>8</v>
      </c>
      <c r="B14" s="3346" t="s">
        <v>3155</v>
      </c>
      <c r="C14" s="3342"/>
      <c r="D14" s="3343"/>
      <c r="E14" s="3344"/>
    </row>
    <row r="15" spans="1:7" s="3318" customFormat="1" ht="28.9" customHeight="1">
      <c r="A15" s="3340">
        <v>9</v>
      </c>
      <c r="B15" s="3346" t="s">
        <v>3156</v>
      </c>
      <c r="C15" s="3342">
        <v>9000</v>
      </c>
      <c r="D15" s="3343"/>
      <c r="E15" s="3344"/>
    </row>
    <row r="16" spans="1:7" s="3318" customFormat="1" ht="28.9" customHeight="1">
      <c r="A16" s="3340">
        <v>10</v>
      </c>
      <c r="B16" s="3346" t="s">
        <v>3157</v>
      </c>
      <c r="C16" s="3342"/>
      <c r="D16" s="3343"/>
      <c r="E16" s="3344"/>
    </row>
    <row r="17" spans="1:5" s="3318" customFormat="1" ht="28.9" customHeight="1">
      <c r="A17" s="3340">
        <v>11</v>
      </c>
      <c r="B17" s="3345" t="s">
        <v>3158</v>
      </c>
      <c r="C17" s="3349"/>
      <c r="D17" s="3343"/>
      <c r="E17" s="3344"/>
    </row>
    <row r="18" spans="1:5" s="3318" customFormat="1" ht="28.9" customHeight="1">
      <c r="A18" s="3340">
        <v>12</v>
      </c>
      <c r="B18" s="3345" t="s">
        <v>3159</v>
      </c>
      <c r="C18" s="3349">
        <v>120000</v>
      </c>
      <c r="D18" s="3343"/>
      <c r="E18" s="3344"/>
    </row>
    <row r="19" spans="1:5" s="3318" customFormat="1" ht="28.9" customHeight="1">
      <c r="A19" s="3340">
        <v>13</v>
      </c>
      <c r="B19" s="3350" t="s">
        <v>3160</v>
      </c>
      <c r="C19" s="3342">
        <f>(C10*C15+C13*C18)/10000</f>
        <v>432394.6005</v>
      </c>
      <c r="D19" s="3343"/>
      <c r="E19" s="3344"/>
    </row>
    <row r="20" spans="1:5" s="3318" customFormat="1" ht="28.9" customHeight="1">
      <c r="A20" s="3340">
        <v>14</v>
      </c>
      <c r="B20" s="3351" t="s">
        <v>3161</v>
      </c>
      <c r="C20" s="3342">
        <f>C19/(1+5%)</f>
        <v>411804.38142857142</v>
      </c>
      <c r="D20" s="3343"/>
      <c r="E20" s="3344"/>
    </row>
    <row r="21" spans="1:5" s="3356" customFormat="1" ht="28.9" customHeight="1">
      <c r="A21" s="3340">
        <v>15</v>
      </c>
      <c r="B21" s="3352" t="s">
        <v>3162</v>
      </c>
      <c r="C21" s="3353">
        <f>SUM(C22:C24)</f>
        <v>226729.22063162501</v>
      </c>
      <c r="D21" s="3354"/>
      <c r="E21" s="3355"/>
    </row>
    <row r="22" spans="1:5" s="3318" customFormat="1" ht="28.9" customHeight="1">
      <c r="A22" s="3340">
        <v>16</v>
      </c>
      <c r="B22" s="3357" t="s">
        <v>3163</v>
      </c>
      <c r="C22" s="3342">
        <f>投资成本预测!D5</f>
        <v>64574.886700000003</v>
      </c>
      <c r="D22" s="3358"/>
      <c r="E22" s="3359"/>
    </row>
    <row r="23" spans="1:5" s="3318" customFormat="1" ht="28.9" customHeight="1">
      <c r="A23" s="3340">
        <v>17</v>
      </c>
      <c r="B23" s="3360" t="s">
        <v>3164</v>
      </c>
      <c r="C23" s="3342">
        <f>投资成本预测!D9</f>
        <v>7376.1431850000008</v>
      </c>
      <c r="D23" s="3358"/>
      <c r="E23" s="3359"/>
    </row>
    <row r="24" spans="1:5" s="3318" customFormat="1" ht="28.9" customHeight="1">
      <c r="A24" s="3340">
        <v>18</v>
      </c>
      <c r="B24" s="3360" t="s">
        <v>3165</v>
      </c>
      <c r="C24" s="3342">
        <f>投资成本预测!D17</f>
        <v>154778.19074662501</v>
      </c>
      <c r="D24" s="3358"/>
      <c r="E24" s="3359"/>
    </row>
    <row r="25" spans="1:5" s="3356" customFormat="1" ht="28.9" customHeight="1">
      <c r="A25" s="3340">
        <v>19</v>
      </c>
      <c r="B25" s="3352" t="s">
        <v>3166</v>
      </c>
      <c r="C25" s="3361">
        <f>SUM(C26:C28)</f>
        <v>33572.175257142851</v>
      </c>
      <c r="D25" s="3362"/>
      <c r="E25" s="3363"/>
    </row>
    <row r="26" spans="1:5" s="3318" customFormat="1" ht="28.9" customHeight="1">
      <c r="A26" s="3340">
        <v>20</v>
      </c>
      <c r="B26" s="3357" t="s">
        <v>3167</v>
      </c>
      <c r="C26" s="3342">
        <f>投资成本预测!D37</f>
        <v>8236.0876285714294</v>
      </c>
      <c r="D26" s="3364"/>
      <c r="E26" s="3365"/>
    </row>
    <row r="27" spans="1:5" s="3318" customFormat="1" ht="28.9" customHeight="1">
      <c r="A27" s="3340">
        <v>21</v>
      </c>
      <c r="B27" s="3357" t="s">
        <v>3168</v>
      </c>
      <c r="C27" s="3342">
        <f>投资成本预测!D38</f>
        <v>8236.0876285714294</v>
      </c>
      <c r="D27" s="3364"/>
      <c r="E27" s="3365"/>
    </row>
    <row r="28" spans="1:5" s="3318" customFormat="1" ht="28.9" customHeight="1">
      <c r="A28" s="3340">
        <v>22</v>
      </c>
      <c r="B28" s="3357" t="s">
        <v>3169</v>
      </c>
      <c r="C28" s="3342">
        <f>投资成本预测!D39</f>
        <v>17099.999999999996</v>
      </c>
      <c r="D28" s="3364"/>
      <c r="E28" s="3365"/>
    </row>
    <row r="29" spans="1:5" s="3356" customFormat="1" ht="28.9" customHeight="1">
      <c r="A29" s="3340">
        <v>23</v>
      </c>
      <c r="B29" s="3352" t="s">
        <v>3170</v>
      </c>
      <c r="C29" s="3361">
        <f>SUM(C30:C32)</f>
        <v>14434.773080024999</v>
      </c>
      <c r="D29" s="3366"/>
      <c r="E29" s="3367"/>
    </row>
    <row r="30" spans="1:5" s="3318" customFormat="1" ht="28.9" customHeight="1">
      <c r="A30" s="3340">
        <v>24</v>
      </c>
      <c r="B30" s="3368" t="s">
        <v>3171</v>
      </c>
      <c r="C30" s="3369">
        <f>C20*5%*10%</f>
        <v>2059.0219071428573</v>
      </c>
      <c r="D30" s="3370"/>
      <c r="E30" s="3359"/>
    </row>
    <row r="31" spans="1:5" s="3318" customFormat="1" ht="28.9" customHeight="1">
      <c r="A31" s="3340">
        <v>25</v>
      </c>
      <c r="B31" s="3371" t="s">
        <v>3172</v>
      </c>
      <c r="C31" s="3372">
        <f>C19*0.00005</f>
        <v>21.619730025000003</v>
      </c>
      <c r="D31" s="3370"/>
      <c r="E31" s="3359"/>
    </row>
    <row r="32" spans="1:5" s="3318" customFormat="1" ht="28.9" customHeight="1">
      <c r="A32" s="3340">
        <v>26</v>
      </c>
      <c r="B32" s="3371" t="s">
        <v>3173</v>
      </c>
      <c r="C32" s="3369">
        <f>C20*3%</f>
        <v>12354.131442857142</v>
      </c>
      <c r="D32" s="3370"/>
      <c r="E32" s="3359"/>
    </row>
    <row r="33" spans="1:6" s="3356" customFormat="1" ht="28.9" customHeight="1">
      <c r="A33" s="3340">
        <v>27</v>
      </c>
      <c r="B33" s="3373" t="s">
        <v>3174</v>
      </c>
      <c r="C33" s="3374">
        <f>C20-C21-C25-C29</f>
        <v>137068.21245977859</v>
      </c>
      <c r="D33" s="3375"/>
      <c r="E33" s="3376"/>
    </row>
    <row r="34" spans="1:6" s="3318" customFormat="1" ht="28.9" customHeight="1">
      <c r="A34" s="3340">
        <v>28</v>
      </c>
      <c r="B34" s="3377" t="s">
        <v>3175</v>
      </c>
      <c r="C34" s="3378">
        <f>C33/C20</f>
        <v>0.33284787302233559</v>
      </c>
      <c r="D34" s="3379"/>
      <c r="E34" s="3380"/>
    </row>
    <row r="35" spans="1:6" s="3318" customFormat="1" ht="28.9" customHeight="1">
      <c r="A35" s="3340">
        <v>29</v>
      </c>
      <c r="B35" s="3381" t="s">
        <v>3176</v>
      </c>
      <c r="C35" s="3342">
        <f>C33*25%</f>
        <v>34267.053114944647</v>
      </c>
      <c r="D35" s="3379"/>
      <c r="E35" s="3359"/>
    </row>
    <row r="36" spans="1:6" s="3356" customFormat="1" ht="28.9" customHeight="1">
      <c r="A36" s="3340">
        <v>30</v>
      </c>
      <c r="B36" s="3382" t="s">
        <v>3177</v>
      </c>
      <c r="C36" s="3361">
        <f>C33-C35</f>
        <v>102801.15934483394</v>
      </c>
      <c r="D36" s="3375"/>
      <c r="E36" s="3376"/>
    </row>
    <row r="37" spans="1:6" s="3318" customFormat="1" ht="28.9" customHeight="1">
      <c r="A37" s="3340">
        <v>31</v>
      </c>
      <c r="B37" s="3360" t="s">
        <v>3178</v>
      </c>
      <c r="C37" s="3383">
        <f>C36/C20</f>
        <v>0.24963590476675168</v>
      </c>
      <c r="D37" s="3384"/>
      <c r="E37" s="3385"/>
    </row>
    <row r="38" spans="1:6" s="3356" customFormat="1" ht="28.9" customHeight="1" thickBot="1">
      <c r="A38" s="3340">
        <v>32</v>
      </c>
      <c r="B38" s="3386" t="s">
        <v>3179</v>
      </c>
      <c r="C38" s="3387">
        <f>SUM(C21,C25)</f>
        <v>260301.39588876785</v>
      </c>
      <c r="D38" s="3388"/>
      <c r="E38" s="3389">
        <f>SUM(E21,E25)</f>
        <v>0</v>
      </c>
      <c r="F38" s="3390"/>
    </row>
    <row r="39" spans="1:6" s="3391" customFormat="1" ht="28.9" customHeight="1" thickTop="1">
      <c r="A39" s="3762"/>
      <c r="B39" s="3763"/>
      <c r="C39" s="3328"/>
      <c r="E39" s="3328"/>
    </row>
    <row r="40" spans="1:6" ht="26.25" customHeight="1">
      <c r="B40" s="3393"/>
    </row>
    <row r="42" spans="1:6" ht="26.25" customHeight="1">
      <c r="B42" s="3394"/>
    </row>
    <row r="44" spans="1:6" ht="26.25" customHeight="1">
      <c r="B44" s="3393"/>
    </row>
  </sheetData>
  <mergeCells count="10">
    <mergeCell ref="A39:B39"/>
    <mergeCell ref="A1:E1"/>
    <mergeCell ref="A2:C2"/>
    <mergeCell ref="D2:E2"/>
    <mergeCell ref="A3:A6"/>
    <mergeCell ref="B3:B6"/>
    <mergeCell ref="C3:E3"/>
    <mergeCell ref="C4:C5"/>
    <mergeCell ref="D4:D5"/>
    <mergeCell ref="E4:E5"/>
  </mergeCells>
  <phoneticPr fontId="228" type="noConversion"/>
  <printOptions horizontalCentered="1"/>
  <pageMargins left="0.39370078740157483" right="0.39370078740157483" top="0.59055118110236227" bottom="0.59055118110236227" header="0.31496062992125984" footer="0.31496062992125984"/>
  <pageSetup paperSize="9" scale="64"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4" t="s">
        <v>2026</v>
      </c>
      <c r="B1" s="3454"/>
      <c r="C1" s="3454"/>
      <c r="D1" s="3454"/>
      <c r="E1" s="3454"/>
      <c r="F1" s="3454"/>
      <c r="G1" s="3454"/>
      <c r="H1" s="3454"/>
      <c r="I1" s="3454"/>
      <c r="J1" s="3454"/>
      <c r="K1" s="3454"/>
      <c r="L1" s="3454"/>
      <c r="M1" s="3454"/>
      <c r="N1" s="3454"/>
      <c r="O1" s="3454"/>
      <c r="P1" s="3454"/>
      <c r="Q1" s="3454"/>
      <c r="R1" s="3454"/>
    </row>
    <row r="2" spans="1:18">
      <c r="A2" s="1722" t="s">
        <v>2028</v>
      </c>
      <c r="B2" s="1722"/>
      <c r="C2" s="1722"/>
      <c r="D2" s="1722"/>
      <c r="E2" s="1722"/>
      <c r="F2" s="1722"/>
      <c r="G2" s="1722"/>
      <c r="H2" s="1722"/>
      <c r="I2" s="1723"/>
      <c r="J2" s="1723"/>
      <c r="K2" s="1724" t="str">
        <f>"估价期日："&amp;TEXT(项目基本情况!D3,"yyyy年m月d日;;")</f>
        <v>估价期日：2020年11月4日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455" t="s">
        <v>2017</v>
      </c>
      <c r="B3" s="3455" t="s">
        <v>2711</v>
      </c>
      <c r="C3" s="3456" t="s">
        <v>2018</v>
      </c>
      <c r="D3" s="3455" t="s">
        <v>2715</v>
      </c>
      <c r="E3" s="3450" t="s">
        <v>2019</v>
      </c>
      <c r="F3" s="3450"/>
      <c r="G3" s="3450"/>
      <c r="H3" s="3450" t="s">
        <v>2020</v>
      </c>
      <c r="I3" s="3450"/>
      <c r="J3" s="3450"/>
      <c r="K3" s="3456" t="s">
        <v>2021</v>
      </c>
      <c r="L3" s="3456" t="s">
        <v>2022</v>
      </c>
      <c r="M3" s="3455" t="s">
        <v>2712</v>
      </c>
      <c r="N3" s="3457" t="str">
        <f>"（分摊）"&amp;项目基本情况!B16&amp;"国有建设用地使用权面积/㎡"</f>
        <v>（分摊）出让国有建设用地使用权面积/㎡</v>
      </c>
      <c r="O3" s="3455" t="s">
        <v>2051</v>
      </c>
      <c r="P3" s="3456" t="s">
        <v>2031</v>
      </c>
      <c r="Q3" s="3456" t="s">
        <v>2052</v>
      </c>
      <c r="R3" s="3456" t="s">
        <v>2023</v>
      </c>
    </row>
    <row r="4" spans="1:18" ht="36.75" customHeight="1">
      <c r="A4" s="3455"/>
      <c r="B4" s="3455"/>
      <c r="C4" s="3456"/>
      <c r="D4" s="3455"/>
      <c r="E4" s="2491" t="s">
        <v>2030</v>
      </c>
      <c r="F4" s="2491" t="s">
        <v>2724</v>
      </c>
      <c r="G4" s="2491" t="s">
        <v>2024</v>
      </c>
      <c r="H4" s="2491" t="s">
        <v>2025</v>
      </c>
      <c r="I4" s="2491" t="s">
        <v>2725</v>
      </c>
      <c r="J4" s="2491" t="s">
        <v>2024</v>
      </c>
      <c r="K4" s="3456"/>
      <c r="L4" s="3456"/>
      <c r="M4" s="3455"/>
      <c r="N4" s="3457"/>
      <c r="O4" s="3455"/>
      <c r="P4" s="3456"/>
      <c r="Q4" s="3456"/>
      <c r="R4" s="3456"/>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64712.52</v>
      </c>
      <c r="O5" s="1725">
        <f>项目基本情况!C21</f>
        <v>218404.75999999998</v>
      </c>
      <c r="P5" s="1725">
        <f ca="1">结果表!E42</f>
        <v>6137</v>
      </c>
      <c r="Q5" s="1725">
        <f ca="1">结果表!D42</f>
        <v>1818</v>
      </c>
      <c r="R5" s="1726">
        <f ca="1">结果表!C42</f>
        <v>39712</v>
      </c>
    </row>
    <row r="6" spans="1:18">
      <c r="A6" s="3451" t="str">
        <f>IF(项目基本情况!B9="市场价格","——","抵押价格")</f>
        <v>抵押价格</v>
      </c>
      <c r="B6" s="3452"/>
      <c r="C6" s="3452"/>
      <c r="D6" s="3452"/>
      <c r="E6" s="3452"/>
      <c r="F6" s="3452"/>
      <c r="G6" s="3452"/>
      <c r="H6" s="3452"/>
      <c r="I6" s="3452"/>
      <c r="J6" s="3452"/>
      <c r="K6" s="3452"/>
      <c r="L6" s="3452"/>
      <c r="M6" s="3452"/>
      <c r="N6" s="3452"/>
      <c r="O6" s="3452"/>
      <c r="P6" s="3452"/>
      <c r="Q6" s="3453"/>
      <c r="R6" s="1727">
        <f ca="1">结果表!O39</f>
        <v>39712</v>
      </c>
    </row>
    <row r="7" spans="1:18">
      <c r="A7" s="3451" t="str">
        <f>IF(项目基本情况!B9="市场价格","——",IF(项目基本情况!E8="已注销及未注销","抵押担保权已注销时的抵押价格","——"))</f>
        <v>——</v>
      </c>
      <c r="B7" s="3452"/>
      <c r="C7" s="3452"/>
      <c r="D7" s="3452"/>
      <c r="E7" s="3452"/>
      <c r="F7" s="3452"/>
      <c r="G7" s="3452"/>
      <c r="H7" s="3452"/>
      <c r="I7" s="3452"/>
      <c r="J7" s="3452"/>
      <c r="K7" s="3452"/>
      <c r="L7" s="3452"/>
      <c r="M7" s="3452"/>
      <c r="N7" s="3452"/>
      <c r="O7" s="3452"/>
      <c r="P7" s="3452"/>
      <c r="Q7" s="3453"/>
      <c r="R7" s="1727" t="str">
        <f>结果表!O40</f>
        <v>——</v>
      </c>
    </row>
    <row r="8" spans="1:18">
      <c r="A8" s="3451" t="str">
        <f>IF(项目基本情况!B9="市场价格","——",项目基本情况!E9)</f>
        <v>抵押净值</v>
      </c>
      <c r="B8" s="3452"/>
      <c r="C8" s="3452"/>
      <c r="D8" s="3452"/>
      <c r="E8" s="3452"/>
      <c r="F8" s="3452"/>
      <c r="G8" s="3452"/>
      <c r="H8" s="3452"/>
      <c r="I8" s="3452"/>
      <c r="J8" s="3452"/>
      <c r="K8" s="3452"/>
      <c r="L8" s="3452"/>
      <c r="M8" s="3452"/>
      <c r="N8" s="3452"/>
      <c r="O8" s="3452"/>
      <c r="P8" s="3452"/>
      <c r="Q8" s="3453"/>
      <c r="R8" s="1727">
        <f ca="1">结果表!O41</f>
        <v>33770</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459" t="s">
        <v>2053</v>
      </c>
      <c r="B1" s="3459"/>
      <c r="C1" s="3459"/>
      <c r="D1" s="3459"/>
    </row>
    <row r="2" spans="1:4" ht="47.25" customHeight="1">
      <c r="A2" s="3460" t="str">
        <f>"1.权利限制："&amp;项目基本情况!L24&amp;"未设定租赁等其他他项权利。"</f>
        <v>1.权利限制：根据估价对象《不动产权证书》原件、《国有土地使用权》复印件，截至估价期日，估价对象抵押权未见登记。未设定租赁等其他他项权利。</v>
      </c>
      <c r="B2" s="3460"/>
      <c r="C2" s="3460"/>
      <c r="D2" s="3460"/>
    </row>
    <row r="3" spans="1:4" ht="48" customHeight="1">
      <c r="A3" s="34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9"/>
      <c r="C3" s="3459"/>
      <c r="D3" s="3459"/>
    </row>
    <row r="4" spans="1:4" ht="36.75" customHeight="1">
      <c r="A4" s="3459" t="str">
        <f>"3.估价规划限制条件：详见"&amp;项目基本情况!E21&amp;"。"</f>
        <v>3.估价规划限制条件：详见《建设工程规划许可证》[]、《出让合同》[]。</v>
      </c>
      <c r="B4" s="3459"/>
      <c r="C4" s="3459"/>
      <c r="D4" s="3459"/>
    </row>
    <row r="5" spans="1:4">
      <c r="A5" s="3458" t="s">
        <v>2054</v>
      </c>
      <c r="B5" s="3458"/>
      <c r="C5" s="3458"/>
      <c r="D5" s="3458"/>
    </row>
    <row r="6" spans="1:4">
      <c r="A6" s="3459" t="s">
        <v>2032</v>
      </c>
      <c r="B6" s="3459"/>
      <c r="C6" s="3459"/>
      <c r="D6" s="3459"/>
    </row>
    <row r="7" spans="1:4" ht="33" customHeight="1">
      <c r="A7" s="3459" t="s">
        <v>2555</v>
      </c>
      <c r="B7" s="3459"/>
      <c r="C7" s="3459"/>
      <c r="D7" s="3459"/>
    </row>
    <row r="8" spans="1:4" ht="32.25" customHeight="1">
      <c r="A8" s="34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9"/>
      <c r="C8" s="3459"/>
      <c r="D8" s="3459"/>
    </row>
    <row r="9" spans="1:4" ht="33.75" customHeight="1">
      <c r="A9" s="34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9"/>
      <c r="C9" s="3459"/>
      <c r="D9" s="3459"/>
    </row>
    <row r="10" spans="1:4">
      <c r="A10" s="3459" t="str">
        <f>IF(项目基本情况!B8="抵押","4.估价师所知悉的法定优先受偿款情况为：","——")</f>
        <v>4.估价师所知悉的法定优先受偿款情况为：</v>
      </c>
      <c r="B10" s="3459"/>
      <c r="C10" s="3459"/>
      <c r="D10" s="3459"/>
    </row>
    <row r="11" spans="1:4" ht="37.5" customHeight="1">
      <c r="A11" s="34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1"/>
      <c r="C11" s="3461"/>
      <c r="D11" s="3461"/>
    </row>
    <row r="12" spans="1:4" ht="168" customHeight="1">
      <c r="A12" s="3458" t="s">
        <v>2056</v>
      </c>
      <c r="B12" s="3458"/>
      <c r="C12" s="3458"/>
      <c r="D12" s="3458"/>
    </row>
    <row r="13" spans="1:4">
      <c r="A13" s="3462" t="s">
        <v>2726</v>
      </c>
      <c r="B13" s="3462"/>
      <c r="C13" s="3462"/>
      <c r="D13" s="3462"/>
    </row>
    <row r="14" spans="1:4">
      <c r="A14" s="3461" t="str">
        <f>IF(项目基本情况!B8="抵押","综上，"&amp;结果表!K47,"——")</f>
        <v>综上，本次评估不存在估价师知悉的法定优先受偿款</v>
      </c>
      <c r="B14" s="3461"/>
      <c r="C14" s="3461"/>
      <c r="D14" s="3461"/>
    </row>
    <row r="15" spans="1:4" ht="58.5" customHeight="1">
      <c r="A15" s="34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9"/>
      <c r="C15" s="3459"/>
      <c r="D15" s="3459"/>
    </row>
    <row r="16" spans="1:4" ht="70.5" customHeight="1">
      <c r="A16" s="34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9"/>
      <c r="C16" s="3459"/>
      <c r="D16" s="3459"/>
    </row>
    <row r="17" spans="1:4">
      <c r="A17" s="3459" t="s">
        <v>2682</v>
      </c>
      <c r="B17" s="3459"/>
      <c r="C17" s="3459"/>
      <c r="D17" s="3459"/>
    </row>
    <row r="18" spans="1:4">
      <c r="A18" s="3459" t="s">
        <v>2674</v>
      </c>
      <c r="B18" s="3459"/>
      <c r="C18" s="3459"/>
      <c r="D18" s="3459"/>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459" t="s">
        <v>2679</v>
      </c>
      <c r="B23" s="3459"/>
      <c r="C23" s="3459"/>
      <c r="D23" s="3459"/>
    </row>
    <row r="24" spans="1:4">
      <c r="A24" s="2585" t="s">
        <v>2675</v>
      </c>
      <c r="B24" s="2585" t="s">
        <v>2680</v>
      </c>
      <c r="C24" s="2585" t="s">
        <v>2677</v>
      </c>
      <c r="D24" s="2585" t="s">
        <v>2678</v>
      </c>
    </row>
    <row r="25" spans="1:4">
      <c r="A25" s="2588" t="s">
        <v>2681</v>
      </c>
      <c r="B25" s="2585" t="s">
        <v>942</v>
      </c>
      <c r="C25" s="2587"/>
      <c r="D25" s="1715" t="s">
        <v>2684</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470" t="s">
        <v>53</v>
      </c>
      <c r="B15" s="3471" t="s">
        <v>837</v>
      </c>
      <c r="C15" s="3467"/>
    </row>
    <row r="16" spans="1:7" ht="14.25">
      <c r="A16" s="3470"/>
      <c r="B16" s="3468" t="s">
        <v>54</v>
      </c>
      <c r="C16" s="1154" t="s">
        <v>53</v>
      </c>
    </row>
    <row r="17" spans="1:3" ht="14.25">
      <c r="A17" s="3470"/>
      <c r="B17" s="3468"/>
      <c r="C17" s="1154" t="s">
        <v>55</v>
      </c>
    </row>
    <row r="18" spans="1:3" ht="14.25">
      <c r="A18" s="3470"/>
      <c r="B18" s="3468"/>
      <c r="C18" s="1154" t="s">
        <v>56</v>
      </c>
    </row>
    <row r="19" spans="1:3" ht="14.25">
      <c r="A19" s="3470"/>
      <c r="B19" s="3466" t="s">
        <v>57</v>
      </c>
      <c r="C19" s="3467"/>
    </row>
    <row r="20" spans="1:3" ht="14.25">
      <c r="A20" s="1155" t="s">
        <v>58</v>
      </c>
      <c r="B20" s="1156"/>
      <c r="C20" s="1157"/>
    </row>
    <row r="21" spans="1:3" ht="14.25">
      <c r="A21" s="3469" t="s">
        <v>59</v>
      </c>
      <c r="B21" s="3466" t="s">
        <v>60</v>
      </c>
      <c r="C21" s="3467"/>
    </row>
    <row r="22" spans="1:3" ht="14.25">
      <c r="A22" s="3469"/>
      <c r="B22" s="3466" t="s">
        <v>61</v>
      </c>
      <c r="C22" s="3467"/>
    </row>
    <row r="23" spans="1:3" ht="14.25">
      <c r="A23" s="3469"/>
      <c r="B23" s="3466" t="s">
        <v>62</v>
      </c>
      <c r="C23" s="3467"/>
    </row>
    <row r="24" spans="1:3" ht="14.25">
      <c r="A24" s="3469"/>
      <c r="B24" s="3472" t="s">
        <v>63</v>
      </c>
      <c r="C24" s="1158" t="s">
        <v>828</v>
      </c>
    </row>
    <row r="25" spans="1:3" ht="14.25">
      <c r="A25" s="3469"/>
      <c r="B25" s="3473"/>
      <c r="C25" s="1158" t="s">
        <v>829</v>
      </c>
    </row>
    <row r="26" spans="1:3" ht="14.25">
      <c r="A26" s="3469"/>
      <c r="B26" s="3473"/>
      <c r="C26" s="1158" t="s">
        <v>830</v>
      </c>
    </row>
    <row r="27" spans="1:3" ht="14.25">
      <c r="A27" s="3469"/>
      <c r="B27" s="3473"/>
      <c r="C27" s="1158" t="s">
        <v>831</v>
      </c>
    </row>
    <row r="28" spans="1:3" ht="14.25">
      <c r="A28" s="3469"/>
      <c r="B28" s="3473"/>
      <c r="C28" s="1158" t="s">
        <v>832</v>
      </c>
    </row>
    <row r="29" spans="1:3" ht="14.25">
      <c r="A29" s="3469"/>
      <c r="B29" s="3473"/>
      <c r="C29" s="1158" t="s">
        <v>833</v>
      </c>
    </row>
    <row r="30" spans="1:3" ht="14.25">
      <c r="A30" s="3469"/>
      <c r="B30" s="3473"/>
      <c r="C30" s="1158" t="s">
        <v>834</v>
      </c>
    </row>
    <row r="31" spans="1:3" ht="14.25">
      <c r="A31" s="3469"/>
      <c r="B31" s="3473"/>
      <c r="C31" s="1158" t="s">
        <v>835</v>
      </c>
    </row>
    <row r="32" spans="1:3" ht="14.25">
      <c r="A32" s="3469"/>
      <c r="B32" s="3473"/>
      <c r="C32" s="1158" t="s">
        <v>1636</v>
      </c>
    </row>
    <row r="33" spans="1:3" ht="14.25">
      <c r="A33" s="3469"/>
      <c r="B33" s="3463" t="s">
        <v>1642</v>
      </c>
      <c r="C33" s="1158" t="s">
        <v>1637</v>
      </c>
    </row>
    <row r="34" spans="1:3" ht="14.25">
      <c r="A34" s="3469"/>
      <c r="B34" s="3464"/>
      <c r="C34" s="1163" t="s">
        <v>1638</v>
      </c>
    </row>
    <row r="35" spans="1:3" ht="14.25">
      <c r="A35" s="3469"/>
      <c r="B35" s="3464"/>
      <c r="C35" s="1164" t="s">
        <v>1639</v>
      </c>
    </row>
    <row r="36" spans="1:3" ht="14.25">
      <c r="A36" s="3469"/>
      <c r="B36" s="3464"/>
      <c r="C36" s="1164" t="s">
        <v>1640</v>
      </c>
    </row>
    <row r="37" spans="1:3" ht="14.25">
      <c r="A37" s="3469"/>
      <c r="B37" s="3465"/>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B11" sqref="B11"/>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44144</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2937</v>
      </c>
      <c r="B12" s="3029">
        <f ca="1">IF(C12&lt;B2,"已过期",1120040230)</f>
        <v>1120040230</v>
      </c>
      <c r="C12" s="3032">
        <v>44864</v>
      </c>
      <c r="D12" s="3040" t="s">
        <v>2938</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2952</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477" t="s">
        <v>1914</v>
      </c>
      <c r="B17" s="3478"/>
      <c r="C17" s="3478"/>
      <c r="D17" s="3478"/>
      <c r="E17" s="3478"/>
      <c r="F17" s="3478"/>
      <c r="G17" s="3033"/>
    </row>
    <row r="18" spans="1:7" ht="20.25" customHeight="1">
      <c r="A18" s="3474" t="s">
        <v>1915</v>
      </c>
      <c r="B18" s="3474"/>
      <c r="C18" s="3475"/>
      <c r="D18" s="3476" t="s">
        <v>1916</v>
      </c>
      <c r="E18" s="3474"/>
      <c r="F18" s="3474"/>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2951</v>
      </c>
      <c r="F21" s="3037">
        <v>44012</v>
      </c>
      <c r="G21" s="3025"/>
    </row>
    <row r="22" spans="1:7" ht="20.25" customHeight="1">
      <c r="A22" s="3024"/>
      <c r="B22" s="3024"/>
      <c r="C22" s="3038"/>
      <c r="D22" s="3046"/>
      <c r="E22" s="3047"/>
      <c r="F22" s="3039" t="s">
        <v>2965</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1" sqref="B11"/>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2521</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2525</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2913</v>
      </c>
      <c r="C18" s="1492"/>
    </row>
    <row r="19" spans="1:3">
      <c r="A19" s="8" t="s">
        <v>120</v>
      </c>
      <c r="B19" s="2792" t="s">
        <v>2920</v>
      </c>
      <c r="C19" s="1492"/>
    </row>
    <row r="20" spans="1:3">
      <c r="A20" s="8" t="s">
        <v>121</v>
      </c>
      <c r="B20" s="2792" t="s">
        <v>2966</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479"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c r="D53" s="1685"/>
      <c r="E53" s="1685"/>
    </row>
    <row r="54" spans="1:5">
      <c r="A54" s="3479"/>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479"/>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479"/>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479"/>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规划数据 </vt:lpstr>
      <vt:lpstr>数据-汇总表</vt:lpstr>
      <vt:lpstr>数据-取费表</vt:lpstr>
      <vt:lpstr>投资成本预测</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利润预测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利润预测!Print_Area</vt:lpstr>
      <vt:lpstr>'剩余法-待开发'!Print_Area</vt:lpstr>
      <vt:lpstr>'剩余法-现房'!Print_Area</vt:lpstr>
      <vt:lpstr>收益还原法!Print_Area</vt:lpstr>
      <vt:lpstr>'数据-汇总表'!Print_Area</vt:lpstr>
      <vt:lpstr>投资成本预测!Print_Area</vt:lpstr>
      <vt:lpstr>系统读取表!Print_Area</vt:lpstr>
      <vt:lpstr>项目基本情况!Print_Area</vt:lpstr>
      <vt:lpstr>投资成本预测!Print_Titles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2020-11-09T06:52:16Z</dcterms:modified>
</cp:coreProperties>
</file>