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74" l="1"/>
  <c r="B14" i="74"/>
  <c r="C4" i="31"/>
  <c r="D4" i="31"/>
  <c r="D15" i="74" l="1"/>
  <c r="C21" i="80" l="1"/>
  <c r="B29" i="1" l="1"/>
  <c r="U24" i="31"/>
  <c r="I13" i="3" l="1"/>
  <c r="E23" i="80"/>
  <c r="E22" i="80" l="1"/>
  <c r="B21" i="80"/>
  <c r="D21" i="80" s="1"/>
  <c r="F21" i="80" s="1"/>
  <c r="B20" i="80"/>
  <c r="A19" i="80"/>
  <c r="B19" i="80"/>
  <c r="A20" i="80"/>
  <c r="E14" i="80"/>
  <c r="B13" i="80"/>
  <c r="B12" i="80"/>
  <c r="B14" i="80" s="1"/>
  <c r="A13" i="80"/>
  <c r="A12" i="80"/>
  <c r="B22" i="80" l="1"/>
  <c r="E5" i="80"/>
  <c r="B4" i="80"/>
  <c r="B3" i="80"/>
  <c r="A4" i="80"/>
  <c r="A3" i="80"/>
  <c r="E104" i="33"/>
  <c r="Y6" i="1"/>
  <c r="N6" i="1"/>
  <c r="F19" i="6"/>
  <c r="C33" i="33" s="1"/>
  <c r="D3" i="4"/>
  <c r="F104" i="33" l="1"/>
  <c r="F4" i="31" s="1"/>
  <c r="E4" i="31"/>
  <c r="B5" i="80"/>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D16" i="53" s="1"/>
  <c r="B34" i="72" s="1"/>
  <c r="H112" i="9"/>
  <c r="C8" i="74" s="1"/>
  <c r="D21" i="53"/>
  <c r="B39" i="72"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B7" i="76"/>
  <c r="E7" i="76"/>
  <c r="F8" i="67"/>
  <c r="F26" i="15"/>
  <c r="M28" i="67"/>
  <c r="F20" i="31"/>
  <c r="F37" i="67"/>
  <c r="M28" i="15"/>
  <c r="B8" i="76"/>
  <c r="F43" i="15"/>
  <c r="D3" i="73"/>
  <c r="C76" i="67"/>
  <c r="M8" i="67"/>
  <c r="F36" i="15"/>
  <c r="M24" i="67"/>
  <c r="B12" i="76"/>
  <c r="F9" i="67"/>
  <c r="M6" i="15"/>
  <c r="M26" i="67"/>
  <c r="F3" i="73"/>
  <c r="E10" i="76"/>
  <c r="M26" i="15"/>
  <c r="L48" i="15"/>
  <c r="M9" i="67"/>
  <c r="L47" i="15"/>
  <c r="B10" i="76"/>
  <c r="F7" i="73"/>
  <c r="M29" i="67"/>
  <c r="F6" i="73"/>
  <c r="F8" i="15"/>
  <c r="F36" i="67"/>
  <c r="F5" i="73"/>
  <c r="F38" i="67"/>
  <c r="F9" i="15"/>
  <c r="F37" i="15"/>
  <c r="E2" i="68"/>
  <c r="E12" i="76"/>
  <c r="M6" i="67"/>
  <c r="D34" i="9"/>
  <c r="E8" i="76"/>
  <c r="F40" i="67"/>
  <c r="M9" i="15"/>
  <c r="E2" i="69"/>
  <c r="L47" i="67"/>
  <c r="F13" i="67"/>
  <c r="M22" i="67"/>
  <c r="J15" i="15"/>
  <c r="F7" i="15"/>
  <c r="C76" i="15"/>
  <c r="B9" i="76"/>
  <c r="D35" i="9"/>
  <c r="M29" i="15"/>
  <c r="D4" i="73"/>
  <c r="M22" i="15"/>
  <c r="F42" i="15"/>
  <c r="B13" i="76"/>
  <c r="E11" i="76"/>
  <c r="F38" i="15"/>
  <c r="B11" i="76"/>
  <c r="F16" i="67"/>
  <c r="J15" i="67"/>
  <c r="F16" i="15"/>
  <c r="D6" i="73"/>
  <c r="D5" i="73"/>
  <c r="M23" i="15"/>
  <c r="L48" i="67"/>
  <c r="F40" i="15"/>
  <c r="M8" i="15"/>
  <c r="AO13" i="1"/>
  <c r="F42" i="67"/>
  <c r="F26" i="67"/>
  <c r="M23" i="67"/>
  <c r="F6" i="15"/>
  <c r="D7" i="73"/>
  <c r="M24" i="15"/>
  <c r="F4" i="73"/>
  <c r="F43" i="67"/>
  <c r="F13" i="15"/>
  <c r="F7" i="67"/>
  <c r="F6" i="67"/>
  <c r="E9" i="76"/>
  <c r="D19" i="53" l="1"/>
  <c r="B38" i="72" s="1"/>
  <c r="H5" i="3"/>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G5" i="3" l="1"/>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s="1"/>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H6" i="3" l="1"/>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5"/>
  <c r="L51" i="15"/>
  <c r="D2" i="37"/>
  <c r="D2" i="36"/>
  <c r="D2" i="34"/>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D19" i="9"/>
  <c r="AO9" i="1"/>
  <c r="AO8" i="1"/>
  <c r="C20" i="9"/>
  <c r="AO10" i="1"/>
  <c r="AO12" i="1"/>
  <c r="AO7" i="1"/>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19" i="80" s="1"/>
  <c r="C42" i="40"/>
  <c r="C43" i="40"/>
  <c r="E47" i="40"/>
  <c r="F47" i="40" s="1"/>
  <c r="E46" i="40"/>
  <c r="F46" i="40" s="1"/>
  <c r="I47" i="40"/>
  <c r="J47" i="40" s="1"/>
  <c r="D19" i="80" l="1"/>
  <c r="H19" i="80" s="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I19" i="80" l="1"/>
  <c r="K19" i="80" s="1"/>
  <c r="F19" i="80"/>
  <c r="S28" i="31"/>
  <c r="D14" i="74" s="1"/>
  <c r="C20" i="80"/>
  <c r="D20" i="80" s="1"/>
  <c r="S27" i="31"/>
  <c r="C13" i="80"/>
  <c r="D13" i="80" s="1"/>
  <c r="F13" i="80" s="1"/>
  <c r="S26" i="31"/>
  <c r="C12" i="80"/>
  <c r="D12" i="80" s="1"/>
  <c r="S29" i="31"/>
  <c r="C4" i="80"/>
  <c r="D4" i="80" s="1"/>
  <c r="S25" i="31"/>
  <c r="C3" i="80"/>
  <c r="D3" i="80" s="1"/>
  <c r="H3" i="80" l="1"/>
  <c r="H20" i="80"/>
  <c r="H13" i="80"/>
  <c r="H4" i="80"/>
  <c r="J19" i="80"/>
  <c r="H12" i="80"/>
  <c r="F4" i="80"/>
  <c r="F3" i="80"/>
  <c r="T24" i="31"/>
  <c r="V24" i="31" s="1"/>
  <c r="F20" i="80"/>
  <c r="D22" i="80"/>
  <c r="F22" i="80" s="1"/>
  <c r="F12" i="80"/>
  <c r="D14" i="80"/>
  <c r="F14" i="80" s="1"/>
  <c r="D5" i="80"/>
  <c r="S22" i="31"/>
  <c r="R22" i="31" s="1"/>
  <c r="B6" i="74"/>
  <c r="D6" i="74" s="1"/>
  <c r="J3" i="80" l="1"/>
  <c r="J21" i="80"/>
  <c r="K21" i="80" s="1"/>
  <c r="I20" i="80"/>
  <c r="K20" i="80" s="1"/>
  <c r="I13" i="80"/>
  <c r="K13" i="80" s="1"/>
  <c r="I4" i="80"/>
  <c r="K4" i="80" s="1"/>
  <c r="O19" i="80"/>
  <c r="P19" i="80" s="1"/>
  <c r="I12" i="80"/>
  <c r="K12" i="80" s="1"/>
  <c r="I3" i="80"/>
  <c r="B5" i="74"/>
  <c r="C5" i="80"/>
  <c r="F5" i="80"/>
  <c r="D23" i="80"/>
  <c r="F23" i="80" s="1"/>
  <c r="B20" i="31"/>
  <c r="B21" i="31" s="1"/>
  <c r="O21" i="80" l="1"/>
  <c r="P21" i="80" s="1"/>
  <c r="N21" i="80"/>
  <c r="O20" i="80"/>
  <c r="P20" i="80" s="1"/>
  <c r="N20" i="80"/>
  <c r="O13" i="80"/>
  <c r="P13" i="80" s="1"/>
  <c r="N13" i="80"/>
  <c r="O12" i="80"/>
  <c r="P12" i="80" s="1"/>
  <c r="N12" i="80"/>
  <c r="O4" i="80"/>
  <c r="P4" i="80" s="1"/>
  <c r="N4" i="80"/>
  <c r="K3" i="80"/>
  <c r="N3" i="80" s="1"/>
  <c r="E14" i="74"/>
  <c r="F14" i="74"/>
  <c r="D5" i="74"/>
  <c r="O3" i="80" l="1"/>
  <c r="P3" i="80" s="1"/>
  <c r="C5" i="74" l="1"/>
  <c r="B47" i="72" l="1"/>
  <c r="C105" i="9"/>
  <c r="I4" i="52"/>
  <c r="M66" i="9"/>
  <c r="B53" i="72"/>
  <c r="H4" i="52"/>
  <c r="C104" i="9"/>
  <c r="N58" i="9"/>
  <c r="P57" i="9"/>
  <c r="B52" i="72"/>
  <c r="M68" i="9"/>
  <c r="H119" i="9"/>
  <c r="H5" i="52"/>
  <c r="B21" i="72"/>
  <c r="D52" i="9"/>
  <c r="D53" i="9"/>
  <c r="D4" i="52"/>
  <c r="L66" i="9"/>
  <c r="L68" i="9"/>
  <c r="B32" i="72"/>
  <c r="G4" i="52"/>
  <c r="E81" i="9"/>
  <c r="D9" i="52"/>
  <c r="L65" i="9"/>
  <c r="M65" i="9"/>
  <c r="C81" i="9"/>
  <c r="M48" i="9"/>
  <c r="B30" i="72"/>
  <c r="D13" i="53"/>
  <c r="D14" i="53"/>
  <c r="N61" i="9"/>
  <c r="N59" i="9"/>
  <c r="N60" i="9"/>
  <c r="B49" i="72"/>
  <c r="B31" i="72"/>
  <c r="D15" i="53"/>
  <c r="H108" i="9"/>
  <c r="C6" i="74"/>
  <c r="L67" i="9"/>
  <c r="M67" i="9"/>
  <c r="F4" i="52"/>
  <c r="B51" i="72"/>
  <c r="H102" i="9"/>
  <c r="D7" i="53"/>
  <c r="D54" i="9"/>
  <c r="D118" i="9"/>
  <c r="D119" i="9"/>
  <c r="D5" i="52"/>
  <c r="B20" i="72"/>
  <c r="C97" i="9"/>
  <c r="D58" i="9"/>
  <c r="D56" i="9"/>
  <c r="M54" i="9"/>
  <c r="L64" i="9"/>
  <c r="M64" i="9"/>
  <c r="C93" i="9"/>
  <c r="C86" i="9"/>
  <c r="C78" i="9"/>
  <c r="C73" i="9"/>
  <c r="D55" i="9"/>
  <c r="M53" i="9"/>
  <c r="N57" i="9"/>
  <c r="C68" i="9"/>
  <c r="G118" i="9"/>
  <c r="F118" i="9"/>
  <c r="F119" i="9"/>
  <c r="F5" i="52"/>
  <c r="E97" i="9"/>
  <c r="C96" i="9"/>
  <c r="E96" i="9"/>
  <c r="D5" i="53"/>
  <c r="D6" i="53"/>
  <c r="B22" i="72"/>
  <c r="D8" i="52"/>
  <c r="D122" i="9"/>
  <c r="D123" i="9"/>
  <c r="C64" i="9"/>
  <c r="C63" i="9"/>
  <c r="C67" i="9"/>
  <c r="D59" i="9"/>
  <c r="M55" i="9"/>
  <c r="C85" i="9"/>
  <c r="C95" i="9"/>
  <c r="D45" i="9"/>
  <c r="C72" i="9"/>
  <c r="C79" i="9"/>
  <c r="C80" i="9"/>
  <c r="E80" i="9"/>
  <c r="E118" i="9"/>
  <c r="E4" i="52"/>
  <c r="B48" i="72"/>
  <c r="I118" i="9"/>
  <c r="H118" i="9"/>
  <c r="H101" i="9"/>
  <c r="H107" i="9"/>
  <c r="M49" i="9"/>
  <c r="L63" i="9"/>
  <c r="M63" i="9"/>
  <c r="M69" i="9"/>
  <c r="N6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<sst xmlns="http://schemas.openxmlformats.org/spreadsheetml/2006/main" count="7927" uniqueCount="3475">
  <si>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</si>
  <si>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</si>
  <si>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</si>
  <si>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</si>
  <si>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</si>
  <si>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</si>
  <si>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</si>
  <si>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</si>
  <si>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</si>
  <si>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</si>
  <si>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</si>
  <si>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</si>
  <si>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</si>
  <si>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</si>
  <si>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</si>
  <si>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</si>
  <si>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</si>
  <si>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</si>
  <si>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</si>
  <si>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</si>
  <si>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</si>
  <si>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</si>
  <si>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</si>
  <si>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</si>
  <si>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</si>
  <si>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</si>
  <si>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</si>
  <si>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</si>
  <si>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</si>
  <si>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</si>
  <si>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</si>
  <si>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</si>
  <si>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</si>
  <si>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</si>
  <si>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</si>
  <si>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</si>
  <si>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</si>
  <si>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</si>
  <si>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</si>
  <si>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</si>
  <si>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</si>
  <si>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</si>
  <si>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</si>
  <si>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</si>
  <si>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</si>
  <si>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</si>
  <si>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</si>
  <si>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</si>
  <si>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</si>
  <si>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</si>
  <si>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</si>
  <si>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</si>
  <si>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</si>
  <si>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</si>
  <si>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</si>
  <si>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</si>
  <si>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</si>
  <si>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</si>
  <si>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</si>
  <si>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</si>
  <si>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</si>
  <si>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</si>
  <si>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</si>
  <si>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</si>
  <si>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</si>
  <si>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</si>
  <si>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</si>
  <si>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</si>
  <si>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</si>
  <si>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</si>
  <si>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</si>
  <si>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</si>
  <si>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</si>
  <si>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</si>
  <si>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</si>
  <si>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</si>
  <si>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</si>
  <si>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</si>
  <si>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</si>
  <si>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</si>
  <si>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</si>
  <si>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</si>
  <si>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</si>
  <si>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</si>
  <si>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</si>
  <si>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</si>
  <si>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</si>
  <si>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</si>
  <si>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</si>
  <si>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</si>
  <si>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</si>
  <si>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</si>
  <si>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</si>
  <si>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</si>
  <si>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</si>
  <si>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</si>
  <si>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</si>
  <si>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</si>
  <si>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</si>
  <si>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</si>
  <si>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</si>
  <si>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</si>
  <si>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</si>
  <si>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</si>
  <si>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</si>
  <si>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</si>
  <si>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</si>
  <si>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</si>
  <si>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</si>
  <si>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</si>
  <si>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</si>
  <si>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</si>
  <si>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</si>
  <si>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</si>
  <si>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</si>
  <si>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</si>
  <si>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</si>
  <si>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</si>
  <si>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</si>
  <si>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</si>
  <si>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</si>
  <si>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</si>
  <si>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</si>
  <si>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</si>
  <si>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</si>
  <si>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</si>
  <si>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</si>
  <si>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</si>
  <si>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</si>
  <si>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</si>
  <si>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</si>
  <si>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</si>
  <si>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</si>
  <si>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</si>
  <si>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</si>
  <si>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</si>
  <si>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</si>
  <si>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</si>
  <si>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</si>
  <si>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</si>
  <si>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</si>
  <si>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</si>
  <si>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</si>
  <si>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</si>
  <si>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</si>
  <si>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</si>
  <si>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</si>
  <si>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</si>
  <si>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</si>
  <si>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</si>
  <si>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</si>
  <si>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</si>
  <si>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</si>
  <si>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</si>
  <si>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</si>
  <si>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</si>
  <si>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</si>
  <si>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</si>
  <si>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</si>
  <si>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</si>
  <si>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</si>
  <si>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</si>
  <si>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</si>
  <si>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</si>
  <si>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</si>
  <si>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</si>
  <si>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</si>
  <si>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</si>
  <si>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</si>
  <si>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</si>
  <si>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</si>
  <si>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</si>
  <si>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</si>
  <si>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</si>
  <si>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</si>
  <si>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</si>
  <si>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</si>
  <si>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</si>
  <si>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</si>
  <si>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</si>
  <si>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</si>
  <si>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</si>
  <si>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</si>
  <si>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</si>
  <si>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</si>
  <si>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</si>
  <si>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</si>
  <si>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</si>
  <si>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</si>
  <si>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</si>
  <si>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</si>
  <si>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</si>
  <si>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</si>
  <si>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</si>
  <si>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</si>
  <si>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</si>
  <si>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</si>
  <si>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</si>
  <si>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</si>
  <si>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</si>
  <si>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</si>
  <si>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</si>
  <si>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</si>
  <si>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</si>
  <si>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</si>
  <si>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</si>
  <si>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</si>
  <si>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</si>
  <si>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</si>
  <si>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</si>
  <si>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</si>
  <si>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</si>
  <si>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</si>
  <si>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</si>
  <si>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</si>
  <si>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</si>
  <si>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</si>
  <si>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</si>
  <si>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</si>
  <si>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</si>
  <si>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</si>
  <si>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</si>
  <si>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</si>
  <si>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</si>
  <si>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</si>
  <si>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</si>
  <si>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</si>
  <si>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</si>
  <si>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</si>
  <si>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</si>
  <si>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</si>
  <si>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</si>
  <si>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</si>
  <si>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</si>
  <si>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</si>
  <si>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</si>
  <si>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</si>
  <si>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</si>
  <si>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</si>
  <si>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</si>
  <si>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</si>
  <si>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</si>
  <si>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</si>
  <si>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</si>
  <si>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</si>
  <si>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</si>
  <si>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</si>
  <si>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</si>
  <si>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</si>
  <si>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</si>
  <si>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</si>
  <si>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</si>
  <si>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</si>
  <si>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</si>
  <si>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</si>
  <si>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</si>
  <si>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</si>
  <si>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</si>
  <si>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</si>
  <si>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</si>
  <si>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</si>
  <si>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</si>
  <si>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</si>
  <si>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</si>
  <si>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</si>
  <si>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</si>
  <si>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</si>
  <si>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</si>
  <si>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</si>
  <si>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</si>
  <si>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</si>
  <si>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</si>
  <si>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</si>
  <si>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</si>
  <si>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</si>
  <si>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</si>
  <si>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</si>
  <si>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</si>
  <si>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</si>
  <si>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</si>
  <si>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</si>
  <si>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</si>
  <si>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</si>
  <si>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</si>
  <si>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</si>
  <si>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</si>
  <si>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</si>
  <si>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</si>
  <si>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</si>
  <si>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</si>
  <si>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</si>
  <si>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</si>
  <si>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</si>
  <si>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</si>
  <si>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</si>
  <si>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</si>
  <si>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</si>
  <si>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</si>
  <si>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</si>
  <si>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</si>
  <si>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</si>
  <si>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</si>
  <si>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</si>
  <si>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</si>
  <si>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</si>
  <si>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</si>
  <si>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</si>
  <si>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</si>
  <si>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</si>
  <si>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</si>
  <si>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</si>
  <si>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</si>
  <si>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</si>
  <si>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</si>
  <si>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</si>
  <si>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</si>
  <si>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</si>
  <si>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</si>
  <si>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</si>
  <si>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</si>
  <si>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</si>
  <si>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</si>
  <si>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</si>
  <si>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</si>
  <si>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</si>
  <si>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</si>
  <si>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</si>
  <si>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</si>
  <si>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</si>
  <si>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</si>
  <si>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</si>
  <si>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</si>
  <si>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</si>
  <si>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</si>
  <si>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</si>
  <si>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</si>
  <si>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</si>
  <si>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</si>
  <si>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</si>
  <si>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</si>
  <si>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</si>
  <si>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</si>
  <si>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</si>
  <si>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</si>
  <si>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</si>
  <si>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</si>
  <si>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</si>
  <si>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</si>
  <si>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</si>
  <si>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</si>
  <si>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</si>
  <si>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</si>
  <si>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</si>
  <si>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</si>
  <si>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</si>
  <si>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</si>
  <si>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</si>
  <si>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</si>
  <si>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</si>
  <si>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</si>
  <si>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</si>
  <si>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</si>
  <si>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</si>
  <si>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</si>
  <si>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</si>
  <si>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</si>
  <si>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</si>
  <si>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</si>
  <si>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</si>
  <si>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</si>
  <si>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</si>
  <si>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</si>
  <si>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</si>
  <si>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</si>
  <si>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</si>
  <si>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</si>
  <si>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</si>
  <si>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</si>
  <si>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</si>
  <si>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</si>
  <si>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</si>
  <si>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</si>
  <si>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</si>
  <si>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</si>
  <si>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</si>
  <si>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</si>
  <si>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</si>
  <si>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</si>
  <si>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</si>
  <si>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</si>
  <si>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</si>
  <si>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</si>
  <si>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</si>
  <si>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</si>
  <si>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</si>
  <si>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</si>
  <si>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</si>
  <si>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</si>
  <si>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</si>
  <si>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</si>
  <si>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</si>
  <si>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</si>
  <si>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</si>
  <si>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</si>
  <si>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</si>
  <si>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</si>
  <si>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</si>
  <si>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</si>
  <si>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</si>
  <si>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</si>
  <si>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</si>
  <si>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</si>
  <si>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</si>
  <si>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</si>
  <si>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</si>
  <si>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</si>
  <si>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</si>
  <si>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</si>
  <si>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</si>
  <si>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</si>
  <si>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</si>
  <si>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</si>
  <si>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</si>
  <si>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</si>
  <si>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</si>
  <si>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</si>
  <si>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</si>
  <si>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</si>
  <si>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</si>
  <si>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</si>
  <si>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</si>
  <si>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</si>
  <si>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</si>
  <si>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</si>
  <si>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</si>
  <si>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</si>
  <si>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</si>
  <si>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</si>
  <si>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</si>
  <si>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</si>
  <si>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</si>
  <si>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</si>
  <si>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</si>
  <si>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</si>
  <si>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</si>
  <si>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</si>
  <si>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</si>
  <si>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</si>
  <si>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</si>
  <si>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</si>
  <si>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</si>
  <si>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</si>
  <si>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</si>
  <si>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</si>
  <si>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</si>
  <si>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</si>
  <si>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</si>
  <si>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</si>
  <si>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</si>
  <si>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</si>
  <si>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</si>
  <si>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</si>
  <si>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</si>
  <si>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</si>
  <si>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</si>
  <si>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</si>
  <si>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</si>
  <si>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</si>
  <si>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</si>
  <si>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</si>
  <si>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</si>
  <si>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</si>
  <si>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</si>
  <si>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</si>
  <si>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</si>
  <si>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</si>
  <si>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</si>
  <si>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</si>
  <si>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</si>
  <si>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</si>
  <si>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</si>
  <si>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</si>
  <si>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</si>
  <si>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</si>
  <si>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</si>
  <si>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</si>
  <si>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</si>
  <si>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</si>
  <si>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</si>
  <si>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</si>
  <si>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</si>
  <si>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</si>
  <si>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</si>
  <si>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</si>
  <si>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</si>
  <si>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</si>
  <si>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</si>
  <si>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</si>
  <si>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</si>
  <si>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</si>
  <si>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</si>
  <si>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</si>
  <si>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</si>
  <si>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</si>
  <si>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</si>
  <si>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</si>
  <si>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</si>
  <si>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</si>
  <si>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</si>
  <si>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</si>
  <si>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</si>
  <si>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</si>
  <si>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</si>
  <si>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</si>
  <si>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</si>
  <si>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</si>
  <si>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</si>
  <si>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</si>
  <si>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</si>
  <si>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</si>
  <si>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</si>
  <si>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</si>
  <si>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</si>
  <si>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</si>
  <si>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</si>
  <si>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</si>
  <si>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</si>
  <si>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</si>
  <si>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</si>
  <si>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</si>
  <si>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</si>
  <si>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</si>
  <si>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</si>
  <si>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</si>
  <si>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</si>
  <si>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</si>
  <si>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</si>
  <si>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</si>
  <si>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</si>
  <si>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</si>
  <si>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</si>
  <si>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</si>
  <si>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</si>
  <si>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</si>
  <si>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</si>
  <si>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</si>
  <si>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</si>
  <si>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</si>
  <si>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</si>
  <si>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</si>
  <si>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</si>
  <si>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</si>
  <si>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</si>
  <si>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</si>
  <si>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</si>
  <si>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</si>
  <si>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</si>
  <si>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</si>
  <si>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</si>
  <si>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</si>
  <si>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</si>
  <si>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</si>
  <si>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</si>
  <si>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</si>
  <si>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</si>
  <si>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</si>
  <si>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</si>
  <si>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</si>
  <si>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</si>
  <si>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</si>
  <si>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</si>
  <si>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</si>
  <si>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</si>
  <si>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</si>
  <si>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</si>
  <si>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</si>
  <si>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</si>
  <si>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</si>
  <si>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</si>
  <si>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</si>
  <si>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</si>
  <si>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</si>
  <si>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</si>
  <si>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</si>
  <si>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</si>
  <si>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</si>
  <si>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</si>
  <si>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</si>
  <si>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</si>
  <si>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</si>
  <si>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</si>
  <si>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</si>
  <si>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</si>
  <si>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</si>
  <si>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</si>
  <si>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</si>
  <si>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</si>
  <si>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</si>
  <si>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</si>
  <si>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</si>
  <si>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</si>
  <si>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</si>
  <si>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</si>
  <si>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</si>
  <si>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</si>
  <si>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</si>
  <si>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</si>
  <si>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</si>
  <si>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</si>
  <si>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</si>
  <si>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</si>
  <si>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</si>
  <si>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</si>
  <si>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</si>
  <si>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</si>
  <si>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</si>
  <si>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</si>
  <si>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</si>
  <si>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</si>
  <si>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</si>
  <si>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</si>
  <si>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</si>
  <si>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</si>
  <si>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</si>
  <si>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</si>
  <si>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</si>
  <si>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</si>
  <si>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</si>
  <si>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</si>
  <si>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</si>
  <si>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</si>
  <si>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</si>
  <si>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</si>
  <si>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</si>
  <si>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</si>
  <si>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</si>
  <si>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</si>
  <si>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</si>
  <si>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</si>
  <si>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</si>
  <si>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</si>
  <si>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</si>
  <si>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</si>
  <si>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</si>
  <si>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</si>
  <si>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</si>
  <si>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</si>
  <si>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</si>
  <si>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</si>
  <si>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</si>
  <si>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</si>
  <si>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</si>
  <si>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</si>
  <si>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</si>
  <si>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</si>
  <si>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</si>
  <si>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</si>
  <si>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</si>
  <si>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</si>
  <si>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</si>
  <si>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</si>
  <si>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</si>
  <si>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</si>
  <si>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</si>
  <si>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</si>
  <si>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</si>
  <si>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</si>
  <si>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</si>
  <si>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</si>
  <si>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</si>
  <si>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</si>
  <si>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</si>
  <si>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</si>
  <si>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</si>
  <si>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</si>
  <si>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</si>
  <si>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</si>
  <si>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</si>
  <si>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</si>
  <si>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</si>
  <si>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</si>
  <si>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</si>
  <si>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</si>
  <si>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</si>
  <si>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</si>
  <si>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</si>
  <si>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</si>
  <si>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</si>
  <si>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</si>
  <si>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</si>
  <si>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</si>
  <si>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</si>
  <si>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</si>
  <si>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</si>
  <si>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</si>
  <si>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</si>
  <si>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</si>
  <si>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</si>
  <si>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</si>
  <si>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</si>
  <si>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</si>
  <si>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</si>
  <si>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</si>
  <si>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</si>
  <si>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</si>
  <si>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</si>
  <si>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</si>
  <si>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</si>
  <si>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</si>
  <si>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</si>
  <si>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</si>
  <si>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</si>
  <si>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</si>
  <si>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</si>
  <si>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</si>
  <si>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</si>
  <si>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</si>
  <si>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</si>
  <si>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</si>
  <si>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</si>
  <si>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</si>
  <si>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</si>
  <si>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</si>
  <si>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</si>
  <si>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</si>
  <si>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</si>
  <si>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</si>
  <si>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</si>
  <si>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</si>
  <si>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</si>
  <si>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</si>
  <si>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</si>
  <si>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</si>
  <si>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</si>
  <si>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</si>
  <si>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</si>
  <si>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</si>
  <si>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</si>
  <si>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</si>
  <si>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</si>
  <si>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</si>
  <si>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</si>
  <si>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</si>
  <si>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</si>
  <si>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</si>
  <si>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</si>
  <si>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</si>
  <si>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</si>
  <si>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</si>
  <si>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</si>
  <si>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</si>
  <si>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</si>
  <si>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</si>
  <si>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</si>
  <si>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</si>
  <si>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</si>
  <si>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</si>
  <si>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</si>
  <si>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</si>
  <si>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</si>
  <si>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</si>
  <si>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</si>
  <si>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</si>
  <si>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</si>
  <si>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</si>
  <si>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</si>
  <si>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</si>
  <si>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</si>
  <si>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</si>
  <si>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</si>
  <si>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</si>
  <si>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</si>
  <si>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</si>
  <si>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</si>
  <si>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</si>
  <si>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</si>
  <si>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</si>
  <si>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</si>
  <si>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</si>
  <si>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</si>
  <si>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</si>
  <si>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</si>
  <si>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</si>
  <si>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</si>
  <si>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</si>
  <si>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</si>
  <si>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</si>
  <si>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</si>
  <si>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</si>
  <si>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</si>
  <si>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</si>
  <si>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</si>
  <si>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</si>
  <si>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</si>
  <si>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</si>
  <si>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</si>
  <si>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</si>
  <si>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</si>
  <si>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</si>
  <si>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</si>
  <si>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</si>
  <si>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</si>
  <si>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</si>
  <si>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</si>
  <si>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</si>
  <si>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</si>
  <si>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</si>
  <si>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</si>
  <si>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</si>
  <si>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</si>
  <si>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</si>
  <si>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</si>
  <si>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</si>
  <si>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</si>
  <si>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</si>
  <si>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</si>
  <si>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</si>
  <si>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</si>
  <si>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</si>
  <si>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</si>
  <si>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</si>
  <si>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</si>
  <si>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</si>
  <si>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</si>
  <si>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</si>
  <si>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</si>
  <si>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</si>
  <si>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</si>
  <si>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</si>
  <si>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</si>
  <si>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</si>
  <si>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</si>
  <si>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</si>
  <si>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</si>
  <si>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</si>
  <si>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</si>
  <si>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</si>
  <si>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</si>
  <si>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</si>
  <si>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</si>
  <si>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</si>
  <si>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</si>
  <si>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</si>
  <si>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</si>
  <si>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</si>
  <si>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</si>
  <si>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</si>
  <si>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</si>
  <si>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</si>
  <si>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</si>
  <si>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</si>
  <si>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</si>
  <si>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</si>
  <si>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</si>
  <si>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</si>
  <si>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</si>
  <si>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</si>
  <si>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</si>
  <si>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</si>
  <si>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</si>
  <si>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</si>
  <si>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</si>
  <si>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</si>
  <si>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</si>
  <si>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</si>
  <si>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</si>
  <si>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</si>
  <si>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</si>
  <si>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</si>
  <si>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</si>
  <si>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</si>
  <si>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</si>
  <si>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</si>
  <si>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</si>
  <si>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</si>
  <si>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</si>
  <si>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</si>
  <si>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</si>
  <si>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</si>
  <si>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</si>
  <si>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</si>
  <si>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</si>
  <si>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</si>
  <si>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</si>
  <si>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</si>
  <si>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</si>
  <si>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</si>
  <si>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</si>
  <si>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</si>
  <si>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</si>
  <si>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</si>
  <si>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</si>
  <si>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</si>
  <si>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</si>
  <si>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</si>
  <si>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</si>
  <si>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</si>
  <si>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</si>
  <si>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</si>
  <si>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</si>
  <si>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</si>
  <si>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</si>
  <si>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</si>
  <si>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</si>
  <si>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</si>
  <si>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</si>
  <si>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</si>
  <si>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</si>
  <si>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</si>
  <si>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</si>
  <si>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</si>
  <si>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</si>
  <si>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</si>
  <si>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</si>
  <si>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</si>
  <si>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</si>
  <si>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</si>
  <si>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</si>
  <si>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</si>
  <si>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</si>
  <si>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</si>
  <si>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</si>
  <si>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</si>
  <si>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</si>
  <si>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</si>
  <si>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</si>
  <si>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</si>
  <si>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</si>
  <si>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</si>
  <si>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</si>
  <si>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</si>
  <si>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</si>
  <si>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</si>
  <si>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</si>
  <si>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</si>
  <si>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</si>
  <si>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</si>
  <si>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</si>
  <si>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</si>
  <si>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</si>
  <si>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</si>
  <si>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</si>
  <si>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</si>
  <si>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</si>
  <si>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</si>
  <si>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</si>
  <si>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</si>
  <si>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</si>
  <si>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</si>
  <si>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</si>
  <si>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</si>
  <si>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</si>
  <si>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</si>
  <si>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</si>
  <si>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</si>
  <si>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</si>
  <si>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</si>
  <si>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</si>
  <si>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</si>
  <si>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</si>
  <si>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</si>
  <si>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</si>
  <si>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</si>
  <si>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</si>
  <si>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</si>
  <si>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</si>
  <si>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</si>
  <si>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</si>
  <si>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</si>
  <si>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</si>
  <si>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</si>
  <si>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</si>
  <si>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</si>
  <si>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</si>
  <si>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</si>
  <si>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</si>
  <si>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</si>
  <si>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</si>
  <si>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</si>
  <si>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</si>
  <si>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</si>
  <si>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</si>
  <si>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</si>
  <si>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</si>
  <si>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</si>
  <si>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</si>
  <si>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</si>
  <si>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</si>
  <si>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</si>
  <si>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</si>
  <si>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</si>
  <si>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</si>
  <si>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</si>
  <si>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</si>
  <si>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</si>
  <si>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</si>
  <si>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</si>
  <si>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</si>
  <si>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</si>
  <si>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</si>
  <si>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</si>
  <si>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</si>
  <si>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</si>
  <si>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</si>
  <si>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</si>
  <si>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</si>
  <si>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</si>
  <si>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</si>
  <si>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</si>
  <si>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</si>
  <si>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</si>
  <si>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</si>
  <si>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</si>
  <si>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</si>
  <si>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</si>
  <si>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</si>
  <si>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</si>
  <si>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</si>
  <si>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</si>
  <si>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</si>
  <si>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</si>
  <si>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</si>
  <si>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</si>
  <si>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</si>
  <si>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</si>
  <si>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</si>
  <si>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</si>
  <si>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</si>
  <si>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</si>
  <si>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</si>
  <si>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</si>
  <si>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</si>
  <si>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</si>
  <si>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</si>
  <si>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</si>
  <si>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</si>
  <si>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</si>
  <si>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</si>
  <si>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</si>
  <si>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</si>
  <si>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</si>
  <si>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</si>
  <si>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</si>
  <si>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</si>
  <si>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</si>
  <si>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</si>
  <si>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</si>
  <si>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</si>
  <si>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</si>
  <si>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</si>
  <si>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</si>
  <si>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</si>
  <si>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</si>
  <si>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</si>
  <si>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</si>
  <si>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</si>
  <si>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</si>
  <si>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</si>
  <si>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</si>
  <si>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</si>
  <si>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</si>
  <si>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</si>
  <si>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</si>
  <si>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</si>
  <si>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</si>
  <si>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</si>
  <si>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</si>
  <si>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</si>
  <si>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</si>
  <si>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</si>
  <si>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</si>
  <si>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</si>
  <si>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</si>
  <si>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</si>
  <si>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</si>
  <si>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</si>
  <si>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</si>
  <si>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</si>
  <si>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</si>
  <si>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</si>
  <si>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</si>
  <si>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</si>
  <si>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</si>
  <si>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</si>
  <si>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</si>
  <si>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</si>
  <si>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</si>
  <si>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</si>
  <si>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</si>
  <si>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</si>
  <si>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</si>
  <si>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</si>
  <si>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</si>
  <si>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</si>
  <si>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</si>
  <si>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</si>
  <si>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</si>
  <si>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</si>
  <si>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</si>
  <si>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</si>
  <si>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</si>
  <si>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</si>
  <si>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</si>
  <si>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</si>
  <si>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</si>
  <si>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</si>
  <si>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</si>
  <si>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</si>
  <si>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</si>
  <si>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</si>
  <si>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</si>
  <si>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</si>
  <si>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</si>
  <si>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</si>
  <si>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</si>
  <si>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</si>
  <si>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</si>
  <si>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</si>
  <si>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</si>
  <si>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</si>
  <si>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</si>
  <si>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</si>
  <si>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</si>
  <si>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</si>
  <si>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</si>
  <si>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</si>
  <si>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</si>
  <si>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</si>
  <si>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</si>
  <si>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</si>
  <si>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</si>
  <si>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</si>
  <si>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</si>
  <si>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</si>
  <si>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</si>
  <si>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</si>
  <si>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</si>
  <si>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</si>
  <si>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</si>
  <si>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</si>
  <si>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</si>
  <si>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</si>
  <si>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</si>
  <si>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</si>
  <si>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</si>
  <si>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</si>
  <si>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</si>
  <si>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</si>
  <si>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</si>
  <si>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</si>
  <si>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</si>
  <si>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</si>
  <si>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</si>
  <si>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</si>
  <si>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</si>
  <si>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</si>
  <si>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</si>
  <si>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</si>
  <si>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</si>
  <si>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</si>
  <si>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</si>
  <si>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</si>
  <si>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</si>
  <si>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</si>
  <si>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</si>
  <si>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</si>
  <si>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</si>
  <si>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</si>
  <si>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</si>
  <si>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</si>
  <si>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</si>
  <si>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</si>
  <si>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</si>
  <si>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</si>
  <si>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</si>
  <si>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</si>
  <si>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</si>
  <si>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</si>
  <si>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</si>
  <si>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</si>
  <si>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</si>
  <si>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</si>
  <si>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</si>
  <si>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</si>
  <si>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</si>
  <si>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</si>
  <si>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</si>
  <si>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</si>
  <si>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</si>
  <si>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</si>
  <si>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</si>
  <si>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</si>
  <si>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</si>
  <si>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</si>
  <si>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</si>
  <si>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</si>
  <si>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</si>
  <si>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</si>
  <si>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</si>
  <si>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</si>
  <si>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</si>
  <si>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</si>
  <si>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</si>
  <si>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</si>
  <si>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</si>
  <si>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</si>
  <si>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</si>
  <si>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</si>
  <si>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</si>
  <si>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</si>
  <si>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</si>
  <si>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</si>
  <si>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</si>
  <si>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</si>
  <si>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</si>
  <si>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</si>
  <si>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</si>
  <si>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</si>
  <si>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</si>
  <si>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</si>
  <si>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</si>
  <si>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</si>
  <si>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</si>
  <si>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</si>
  <si>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</si>
  <si>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</si>
  <si>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</si>
  <si>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</si>
  <si>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</si>
  <si>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</si>
  <si>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</si>
  <si>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</si>
  <si>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</si>
  <si>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</si>
  <si>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</si>
  <si>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</si>
  <si>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</si>
  <si>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</si>
  <si>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</si>
  <si>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</si>
  <si>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</si>
  <si>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</si>
  <si>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</si>
  <si>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</si>
  <si>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</si>
  <si>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</si>
  <si>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</si>
  <si>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</si>
  <si>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</si>
  <si>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</si>
  <si>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</si>
  <si>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</si>
  <si>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</si>
  <si>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</si>
  <si>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</si>
  <si>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</si>
  <si>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</si>
  <si>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</si>
  <si>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</si>
  <si>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</si>
  <si>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</si>
  <si>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</si>
  <si>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</si>
  <si>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</si>
  <si>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</si>
  <si>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</si>
  <si>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</si>
  <si>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</si>
  <si>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</si>
  <si>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</si>
  <si>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</si>
  <si>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</si>
  <si>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</si>
  <si>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</si>
  <si>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</si>
  <si>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</si>
  <si>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</si>
  <si>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</si>
  <si>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</si>
  <si>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</si>
  <si>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</si>
  <si>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</si>
  <si>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</si>
  <si>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</si>
  <si>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</si>
  <si>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</si>
  <si>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</si>
  <si>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</si>
  <si>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</si>
  <si>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</si>
  <si>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</si>
  <si>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</si>
  <si>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</si>
  <si>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</si>
  <si>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</si>
  <si>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</si>
  <si>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</si>
  <si>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</si>
  <si>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</si>
  <si>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</si>
  <si>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</si>
  <si>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</si>
  <si>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</si>
  <si>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</si>
  <si>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</si>
  <si>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</si>
  <si>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</si>
  <si>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</si>
  <si>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</si>
  <si>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</si>
  <si>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</si>
  <si>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</si>
  <si>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</si>
  <si>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</si>
  <si>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</si>
  <si>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</si>
  <si>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</si>
  <si>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</si>
  <si>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</si>
  <si>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</si>
  <si>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</si>
  <si>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</si>
  <si>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</si>
  <si>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</si>
  <si>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</si>
  <si>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</si>
  <si>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</si>
  <si>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</si>
  <si>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</si>
  <si>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</si>
  <si>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</si>
  <si>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</si>
  <si>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</si>
  <si>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</si>
  <si>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</si>
  <si>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</si>
  <si>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</si>
  <si>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</si>
  <si>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</si>
  <si>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</si>
  <si>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</si>
  <si>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</si>
  <si>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</si>
  <si>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</si>
  <si>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</si>
  <si>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</si>
  <si>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</si>
  <si>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</si>
  <si>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</si>
  <si>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</si>
  <si>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</si>
  <si>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</si>
  <si>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</si>
  <si>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</si>
  <si>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</si>
  <si>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</si>
  <si>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</si>
  <si>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</si>
  <si>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</si>
  <si>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</si>
  <si>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</si>
  <si>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</si>
  <si>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</si>
  <si>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</si>
  <si>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</si>
  <si>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</si>
  <si>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</si>
  <si>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</si>
  <si>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</si>
  <si>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</si>
  <si>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</si>
  <si>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</si>
  <si>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</si>
  <si>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</si>
  <si>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</si>
  <si>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</si>
  <si>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</si>
  <si>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</si>
  <si>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</si>
  <si>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</si>
  <si>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</si>
  <si>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</si>
  <si>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</si>
  <si>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</si>
  <si>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</si>
  <si>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</si>
  <si>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</si>
  <si>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</si>
  <si>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</si>
  <si>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</si>
  <si>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</si>
  <si>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</si>
  <si>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</si>
  <si>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</si>
  <si>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</si>
  <si>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</si>
  <si>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</si>
  <si>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</si>
  <si>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</si>
  <si>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</si>
  <si>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</si>
  <si>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</si>
  <si>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</si>
  <si>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</si>
  <si>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</si>
  <si>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</si>
  <si>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</si>
  <si>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</si>
  <si>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</si>
  <si>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</si>
  <si>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</si>
  <si>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</si>
  <si>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</si>
  <si>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</si>
  <si>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</si>
  <si>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</si>
  <si>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</si>
  <si>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</si>
  <si>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</si>
  <si>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</si>
  <si>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</si>
  <si>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</si>
  <si>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</si>
  <si>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</si>
  <si>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</si>
  <si>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</si>
  <si>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</si>
  <si>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</si>
  <si>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</si>
  <si>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</si>
  <si>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</si>
  <si>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</si>
  <si>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</si>
  <si>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</si>
  <si>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</si>
  <si>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</si>
  <si>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</si>
  <si>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</si>
  <si>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</si>
  <si>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</si>
  <si>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</si>
  <si>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</si>
  <si>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</si>
  <si>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</si>
  <si>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</si>
  <si>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</si>
  <si>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</si>
  <si>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</si>
  <si>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</si>
  <si>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</si>
  <si>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</si>
  <si>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</si>
  <si>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</si>
  <si>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</si>
  <si>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</si>
  <si>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</si>
  <si>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</si>
  <si>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</si>
  <si>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</si>
  <si>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</si>
  <si>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</si>
  <si>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</si>
  <si>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</si>
  <si>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</si>
  <si>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</si>
  <si>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</si>
  <si>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</si>
  <si>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</si>
  <si>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</si>
  <si>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</si>
  <si>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</si>
  <si>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</si>
  <si>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</si>
  <si>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</si>
  <si>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</si>
  <si>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</si>
  <si>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</si>
  <si>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</si>
  <si>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</si>
  <si>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</si>
  <si>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</si>
  <si>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</si>
  <si>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</si>
  <si>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</si>
  <si>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</si>
  <si>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</si>
  <si>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</si>
  <si>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</si>
  <si>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</si>
  <si>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</si>
  <si>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</si>
  <si>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</si>
  <si>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</si>
  <si>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</si>
  <si>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</si>
  <si>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</si>
  <si>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</si>
  <si>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</si>
  <si>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</si>
  <si>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</si>
  <si>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</si>
  <si>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</si>
  <si>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</si>
  <si>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</si>
  <si>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</si>
  <si>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</si>
  <si>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</si>
  <si>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</si>
  <si>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</si>
  <si>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</si>
  <si>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</si>
  <si>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</si>
  <si>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</si>
  <si>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</si>
  <si>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</si>
  <si>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</si>
  <si>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</si>
  <si>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</si>
  <si>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</si>
  <si>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</si>
  <si>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</si>
  <si>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</si>
  <si>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</si>
  <si>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</si>
  <si>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</si>
  <si>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</si>
  <si>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</si>
  <si>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</si>
  <si>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</si>
  <si>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</si>
  <si>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</si>
  <si>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</si>
  <si>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</si>
  <si>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</si>
  <si>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</si>
  <si>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</si>
  <si>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</si>
  <si>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</si>
  <si>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</si>
  <si>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</si>
  <si>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</si>
  <si>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</si>
  <si>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</si>
  <si>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</si>
  <si>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</si>
  <si>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</si>
  <si>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</si>
  <si>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</si>
  <si>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</si>
  <si>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</si>
  <si>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</si>
  <si>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</si>
  <si>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</si>
  <si>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</si>
  <si>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</si>
  <si>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</si>
  <si>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</si>
  <si>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</si>
  <si>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</si>
  <si>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</si>
  <si>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</si>
  <si>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</si>
  <si>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</si>
  <si>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</si>
  <si>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</si>
  <si>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</si>
  <si>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</si>
  <si>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</si>
  <si>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</si>
  <si>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</si>
  <si>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</si>
  <si>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</si>
  <si>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</si>
  <si>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</si>
  <si>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</si>
  <si>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</si>
  <si>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</si>
  <si>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</si>
  <si>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</si>
  <si>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</si>
  <si>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</si>
  <si>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</si>
  <si>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</si>
  <si>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</si>
  <si>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</si>
  <si>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</si>
  <si>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</si>
  <si>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</si>
  <si>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</si>
  <si>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</si>
  <si>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</si>
  <si>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</si>
  <si>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</si>
  <si>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</si>
  <si>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</si>
  <si>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</si>
  <si>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</si>
  <si>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</si>
  <si>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</si>
  <si>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</si>
  <si>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</si>
  <si>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</si>
  <si>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</si>
  <si>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</si>
  <si>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</si>
  <si>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</si>
  <si>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</si>
  <si>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</si>
  <si>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</si>
  <si>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</si>
  <si>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</si>
  <si>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</si>
  <si>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</si>
  <si>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</si>
  <si>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</si>
  <si>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</si>
  <si>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</si>
  <si>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</si>
  <si>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</si>
  <si>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</si>
  <si>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</si>
  <si>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</si>
  <si>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</si>
  <si>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</si>
  <si>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</si>
  <si>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</si>
  <si>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</si>
  <si>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</si>
  <si>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</si>
  <si>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</si>
  <si>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</si>
  <si>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</si>
  <si>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</si>
  <si>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</si>
  <si>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</si>
  <si>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</si>
  <si>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</si>
  <si>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</si>
  <si>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</si>
  <si>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</si>
  <si>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</si>
  <si>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</si>
  <si>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</si>
  <si>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</si>
  <si>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</si>
  <si>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</si>
  <si>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</si>
  <si>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</si>
  <si>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</si>
  <si>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</si>
  <si>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</si>
  <si>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</si>
  <si>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</si>
  <si>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</si>
  <si>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</si>
  <si>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</si>
  <si>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</si>
  <si>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</si>
  <si>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</si>
  <si>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</si>
  <si>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</si>
  <si>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</si>
  <si>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</si>
  <si>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</si>
  <si>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</si>
  <si>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</si>
  <si>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</si>
  <si>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</si>
  <si>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</si>
  <si>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</si>
  <si>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</si>
  <si>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</si>
  <si>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</si>
  <si>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</si>
  <si>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</si>
  <si>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</si>
  <si>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</si>
  <si>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</si>
  <si>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</si>
  <si>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</si>
  <si>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</si>
  <si>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</si>
  <si>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</si>
  <si>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</si>
  <si>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</si>
  <si>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</si>
  <si>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</si>
  <si>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</si>
  <si>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</si>
  <si>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</si>
  <si>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</si>
  <si>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</si>
  <si>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</si>
  <si>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</si>
  <si>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</si>
  <si>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</si>
  <si>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</si>
  <si>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</si>
  <si>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</si>
  <si>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</si>
  <si>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</si>
  <si>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</si>
  <si>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</si>
  <si>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</si>
  <si>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</si>
  <si>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</si>
  <si>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</si>
  <si>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</si>
  <si>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</si>
  <si>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</si>
  <si>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</si>
  <si>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</si>
  <si>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</si>
  <si>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</si>
  <si>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</si>
  <si>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</si>
  <si>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</si>
  <si>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</si>
  <si>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</si>
  <si>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</si>
  <si>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</si>
  <si>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</si>
  <si>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</si>
  <si>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</si>
  <si>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</si>
  <si>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</si>
  <si>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</si>
  <si>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</si>
  <si>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</si>
  <si>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</si>
  <si>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</si>
  <si>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</si>
  <si>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</si>
  <si>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</si>
  <si>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</si>
  <si>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</si>
  <si>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</si>
  <si>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</si>
  <si>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</si>
  <si>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</si>
  <si>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</si>
  <si>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</si>
  <si>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</si>
  <si>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</si>
  <si>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</si>
  <si>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</si>
  <si>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</si>
  <si>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</si>
  <si>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</si>
  <si>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</si>
  <si>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</si>
  <si>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</si>
  <si>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</si>
  <si>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</si>
  <si>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</si>
  <si>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</si>
  <si>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</si>
  <si>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</si>
  <si>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</si>
  <si>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</si>
  <si>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</si>
  <si>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</si>
  <si>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</si>
  <si>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</si>
  <si>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</si>
  <si>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</si>
  <si>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</si>
  <si>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</si>
  <si>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</si>
  <si>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</si>
  <si>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</si>
  <si>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</si>
  <si>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</si>
  <si>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</si>
  <si>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</si>
  <si>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</si>
  <si>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</si>
  <si>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</si>
  <si>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</si>
  <si>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</si>
  <si>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</si>
  <si>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</si>
  <si>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</si>
  <si>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</si>
  <si>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</si>
  <si>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</si>
  <si>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</si>
  <si>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</si>
  <si>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</si>
  <si>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</si>
  <si>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</si>
  <si>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</si>
  <si>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</si>
  <si>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</si>
  <si>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</si>
  <si>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</si>
  <si>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</si>
  <si>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</si>
  <si>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</si>
  <si>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</si>
  <si>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</si>
  <si>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</si>
  <si>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</si>
  <si>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</si>
  <si>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</si>
  <si>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</si>
  <si>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</si>
  <si>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</si>
  <si>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</si>
  <si>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</si>
  <si>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</si>
  <si>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</si>
  <si>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</si>
  <si>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</si>
  <si>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</si>
  <si>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</si>
  <si>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</si>
  <si>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</si>
  <si>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</si>
  <si>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</si>
  <si>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</si>
  <si>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</si>
  <si>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</si>
  <si>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</si>
  <si>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</si>
  <si>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</si>
  <si>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</si>
  <si>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</si>
  <si>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</si>
  <si>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</si>
  <si>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</si>
  <si>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</si>
  <si>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</si>
  <si>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</si>
  <si>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</si>
  <si>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</si>
  <si>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</si>
  <si>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</si>
  <si>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</si>
  <si>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</si>
  <si>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</si>
  <si>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</si>
  <si>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</si>
  <si>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</si>
  <si>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</si>
  <si>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</si>
  <si>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</si>
  <si>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</si>
  <si>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</si>
  <si>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</si>
  <si>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</si>
  <si>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</si>
  <si>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</si>
  <si>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</si>
  <si>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</si>
  <si>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</si>
  <si>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</si>
  <si>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</si>
  <si>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</si>
  <si>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</si>
  <si>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</si>
  <si>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</si>
  <si>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</si>
  <si>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</si>
  <si>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</si>
  <si>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</si>
  <si>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</si>
  <si>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</si>
  <si>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</si>
  <si>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</si>
  <si>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</si>
  <si>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</si>
  <si>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</si>
  <si>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</si>
  <si>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</si>
  <si>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</si>
  <si>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</si>
  <si>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</si>
  <si>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</si>
  <si>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</si>
  <si>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</si>
  <si>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</si>
  <si>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</si>
  <si>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</si>
  <si>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</si>
  <si>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</si>
  <si>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</si>
  <si>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</si>
  <si>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</si>
  <si>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</si>
  <si>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</si>
  <si>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</si>
  <si>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</si>
  <si>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</si>
  <si>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</si>
  <si>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</si>
  <si>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</si>
  <si>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</si>
  <si>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</si>
  <si>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</si>
  <si>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</si>
  <si>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</si>
  <si>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</si>
  <si>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</si>
  <si>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</si>
  <si>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</si>
  <si>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</si>
  <si>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</si>
  <si>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</si>
  <si>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</si>
  <si>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</si>
  <si>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</si>
  <si>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</si>
  <si>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</si>
  <si>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</si>
  <si>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</si>
  <si>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</si>
  <si>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</si>
  <si>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</si>
  <si>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</si>
  <si>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</si>
  <si>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</si>
  <si>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</si>
  <si>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</si>
  <si>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</si>
  <si>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</si>
  <si>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</si>
  <si>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</si>
  <si>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</si>
  <si>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</si>
  <si>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</si>
  <si>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</si>
  <si>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</si>
  <si>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</si>
  <si>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</si>
  <si>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</si>
  <si>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</si>
  <si>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</si>
  <si>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</si>
  <si>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</si>
  <si>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</si>
  <si>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</si>
  <si>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</si>
  <si>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</si>
  <si>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</si>
  <si>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</si>
  <si>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</si>
  <si>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</si>
  <si>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</si>
  <si>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</si>
  <si>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</si>
  <si>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</si>
  <si>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</si>
  <si>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</si>
  <si>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</si>
  <si>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</si>
  <si>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</si>
  <si>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</si>
  <si>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</si>
  <si>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</si>
  <si>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</si>
  <si>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</si>
  <si>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</si>
  <si>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</si>
  <si>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</si>
  <si>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</si>
  <si>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</si>
  <si>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</si>
  <si>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</si>
  <si>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</si>
  <si>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</si>
  <si>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</si>
  <si>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</si>
  <si>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</si>
  <si>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</si>
  <si>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</si>
  <si>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</si>
  <si>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</si>
  <si>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</si>
  <si>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</si>
  <si>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</si>
  <si>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</si>
  <si>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</si>
  <si>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</si>
  <si>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</si>
  <si>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</si>
  <si>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</si>
  <si>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</si>
  <si>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</si>
  <si>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</si>
  <si>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</si>
  <si>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</si>
  <si>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</si>
  <si>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</si>
  <si>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</si>
  <si>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</si>
  <si>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</si>
  <si>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</si>
  <si>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</si>
  <si>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</si>
  <si>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</si>
  <si>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</si>
  <si>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</si>
  <si>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</si>
  <si>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</si>
  <si>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</si>
  <si>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</si>
  <si>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</si>
  <si>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</si>
  <si>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</si>
  <si>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</si>
  <si>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</si>
  <si>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</si>
  <si>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</si>
  <si>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</si>
  <si>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</si>
  <si>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</si>
  <si>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</si>
  <si>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</si>
  <si>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</si>
  <si>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</si>
  <si>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</si>
  <si>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</si>
  <si>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</si>
  <si>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</si>
  <si>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</si>
  <si>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</si>
  <si>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</si>
  <si>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</si>
  <si>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</si>
  <si>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</si>
  <si>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</si>
  <si>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</si>
  <si>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</si>
  <si>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</si>
  <si>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</si>
  <si>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</si>
  <si>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</si>
  <si>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</si>
  <si>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</si>
  <si>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</si>
  <si>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</si>
  <si>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</si>
  <si>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</si>
  <si>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</si>
  <si>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</si>
  <si>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</si>
  <si>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</si>
  <si>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</si>
  <si>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</si>
  <si>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</si>
  <si>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</si>
  <si>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</si>
  <si>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</si>
  <si>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</si>
  <si>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</si>
  <si>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</si>
  <si>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</si>
  <si>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</si>
  <si>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</si>
  <si>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</si>
  <si>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</si>
  <si>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</si>
  <si>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</si>
  <si>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</si>
  <si>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</si>
  <si>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</si>
  <si>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</si>
  <si>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</si>
  <si>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</si>
  <si>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</si>
  <si>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</si>
  <si>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</si>
  <si>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</si>
  <si>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</si>
  <si>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</si>
  <si>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</si>
  <si>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</si>
  <si>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</si>
  <si>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</si>
  <si>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</si>
  <si>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</si>
  <si>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</si>
  <si>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</si>
  <si>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</si>
  <si>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</si>
  <si>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</si>
  <si>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</si>
  <si>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</si>
  <si>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</si>
  <si>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</si>
  <si>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</si>
  <si>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</si>
  <si>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</si>
  <si>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</si>
  <si>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</si>
  <si>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</si>
  <si>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</si>
  <si>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</si>
  <si>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</si>
  <si>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</si>
  <si>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</si>
  <si>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</si>
  <si>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</si>
  <si>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</si>
  <si>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</si>
  <si>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</si>
  <si>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</si>
  <si>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</si>
  <si>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</si>
  <si>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</si>
  <si>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</si>
  <si>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</si>
  <si>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</si>
  <si>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</si>
  <si>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</si>
  <si>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</si>
  <si>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</si>
  <si>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</si>
  <si>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</si>
  <si>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</si>
  <si>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</si>
  <si>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</si>
  <si>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</si>
  <si>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</si>
  <si>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</si>
  <si>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</si>
  <si>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</si>
  <si>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</si>
  <si>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</si>
  <si>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</si>
  <si>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</si>
  <si>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</si>
  <si>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</si>
  <si>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</si>
  <si>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</si>
  <si>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</si>
  <si>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</si>
  <si>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</si>
  <si>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</si>
  <si>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</si>
  <si>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</si>
  <si>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</si>
  <si>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</si>
  <si>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</si>
  <si>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</si>
  <si>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</si>
  <si>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</si>
  <si>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</si>
  <si>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</si>
  <si>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</si>
  <si>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</si>
  <si>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</si>
  <si>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</si>
  <si>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</si>
  <si>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</si>
  <si>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</si>
  <si>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</si>
  <si>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</si>
  <si>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</si>
  <si>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</si>
  <si>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</si>
  <si>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</si>
  <si>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</si>
  <si>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</si>
  <si>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</si>
  <si>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</si>
  <si>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</si>
  <si>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</si>
  <si>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</si>
  <si>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</si>
  <si>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</si>
  <si>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</si>
  <si>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</si>
  <si>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</si>
  <si>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</si>
  <si>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</si>
  <si>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</si>
  <si>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</si>
  <si>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</si>
  <si>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</si>
  <si>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</si>
  <si>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</si>
  <si>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</si>
  <si>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</si>
  <si>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</si>
  <si>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</si>
  <si>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</si>
  <si>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</si>
  <si>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</si>
  <si>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</si>
  <si>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</si>
  <si>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</si>
  <si>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</si>
  <si>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</si>
  <si>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</si>
  <si>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</si>
  <si>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</si>
  <si>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</si>
  <si>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</si>
  <si>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</si>
  <si>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</si>
  <si>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</si>
  <si>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</si>
  <si>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</si>
  <si>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</si>
  <si>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</si>
  <si>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</si>
  <si>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</si>
  <si>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</si>
  <si>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</si>
  <si>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</si>
  <si>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</si>
  <si>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</si>
  <si>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</si>
  <si>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</si>
  <si>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</si>
  <si>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</si>
  <si>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</si>
  <si>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</si>
  <si>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</si>
  <si>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</si>
  <si>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</si>
  <si>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</si>
  <si>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</si>
  <si>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</si>
  <si>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</si>
  <si>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</si>
  <si>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</si>
  <si>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</si>
  <si>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</si>
  <si>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</si>
  <si>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</si>
  <si>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</si>
  <si>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</si>
  <si>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</si>
  <si>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</si>
  <si>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</si>
  <si>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</si>
  <si>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</si>
  <si>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</si>
  <si>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</si>
  <si>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</si>
  <si>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</si>
  <si>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</si>
  <si>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</si>
  <si>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</si>
  <si>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</si>
  <si>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</si>
  <si>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</si>
  <si>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</si>
  <si>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</si>
  <si>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</si>
  <si>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</si>
  <si>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</si>
  <si>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</si>
  <si>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</si>
  <si>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</si>
  <si>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</si>
  <si>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</si>
  <si>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</si>
  <si>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</si>
  <si>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</si>
  <si>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</si>
  <si>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</si>
  <si>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</si>
  <si>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</si>
  <si>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</si>
  <si>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</si>
  <si>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</si>
  <si>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</si>
  <si>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</si>
  <si>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</si>
  <si>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</si>
  <si>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</si>
  <si>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</si>
  <si>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</si>
  <si>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</si>
  <si>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</si>
  <si>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</si>
  <si>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</si>
  <si>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</si>
  <si>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</si>
  <si>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</si>
  <si>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</si>
  <si>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</si>
  <si>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</si>
  <si>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</si>
  <si>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</si>
  <si>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</si>
  <si>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</si>
  <si>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</si>
  <si>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</si>
  <si>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</si>
  <si>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</si>
  <si>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</si>
  <si>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</si>
  <si>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</si>
  <si>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</si>
  <si>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</si>
  <si>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</si>
  <si>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</si>
  <si>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</si>
  <si>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</si>
  <si>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</si>
  <si>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</si>
  <si>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</si>
  <si>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</si>
  <si>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</si>
  <si>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</si>
  <si>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</si>
  <si>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</si>
  <si>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</si>
  <si>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</si>
  <si>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</si>
  <si>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</si>
  <si>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</si>
  <si>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</si>
  <si>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</si>
  <si>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</si>
  <si>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</si>
  <si>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</si>
  <si>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</si>
  <si>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</si>
  <si>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</si>
  <si>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</si>
  <si>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</si>
  <si>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</si>
  <si>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</si>
  <si>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</si>
  <si>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</si>
  <si>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</si>
  <si>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</si>
  <si>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</si>
  <si>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</si>
  <si>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</si>
  <si>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</si>
  <si>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</si>
  <si>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</si>
  <si>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</si>
  <si>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</si>
  <si>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</si>
  <si>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</si>
  <si>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</si>
  <si>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</si>
  <si>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</si>
  <si>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</si>
  <si>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</si>
  <si>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</si>
  <si>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</si>
  <si>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</si>
  <si>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</si>
  <si>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</si>
  <si>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</si>
  <si>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</si>
  <si>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</si>
  <si>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</si>
  <si>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</si>
  <si>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</si>
  <si>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</si>
  <si>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</si>
  <si>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</si>
  <si>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</si>
  <si>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</si>
  <si>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</si>
  <si>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</si>
  <si>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</si>
  <si>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</si>
  <si>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</si>
  <si>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</si>
  <si>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</si>
  <si>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</si>
  <si>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</si>
  <si>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</si>
  <si>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</si>
  <si>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</si>
  <si>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</si>
  <si>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</si>
  <si>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</si>
  <si>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</si>
  <si>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</si>
  <si>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</si>
  <si>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</si>
  <si>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</si>
  <si>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</si>
  <si>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</si>
  <si>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</si>
  <si>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</si>
  <si>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</si>
  <si>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</si>
  <si>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</si>
  <si>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</si>
  <si>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</si>
  <si>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</si>
  <si>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</si>
  <si>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</si>
  <si>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</si>
  <si>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</si>
  <si>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</si>
  <si>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</si>
  <si>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</si>
  <si>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</si>
  <si>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</si>
  <si>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</si>
  <si>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</si>
  <si>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</si>
  <si>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</si>
  <si>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</si>
  <si>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</si>
  <si>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</si>
  <si>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</si>
  <si>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</si>
  <si>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</si>
  <si>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</si>
  <si>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</si>
  <si>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</si>
  <si>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</si>
  <si>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</si>
  <si>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</si>
  <si>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</si>
  <si>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</si>
  <si>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</si>
  <si>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</si>
  <si>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</si>
  <si>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</si>
  <si>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</si>
  <si>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</si>
  <si>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</si>
  <si>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</si>
  <si>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</si>
  <si>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</si>
  <si>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</si>
  <si>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</si>
  <si>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</si>
  <si>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</si>
  <si>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</si>
  <si>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</si>
  <si>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</si>
  <si>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</si>
  <si>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</si>
  <si>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</si>
  <si>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</si>
  <si>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</si>
  <si>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</si>
  <si>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</si>
  <si>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</si>
  <si>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</si>
  <si>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</si>
  <si>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</si>
  <si>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</si>
  <si>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</si>
  <si>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</si>
  <si>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</si>
  <si>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</si>
  <si>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</si>
  <si>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</si>
  <si>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</si>
  <si>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</si>
  <si>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</si>
  <si>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</si>
  <si>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</si>
  <si>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</si>
  <si>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</si>
  <si>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</si>
  <si>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</si>
  <si>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</si>
  <si>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</si>
  <si>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</si>
  <si>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</si>
  <si>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</si>
  <si>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</si>
  <si>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</si>
  <si>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</si>
  <si>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</si>
  <si>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</si>
  <si>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</si>
  <si>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</si>
  <si>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</si>
  <si>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</si>
  <si>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</si>
  <si>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</si>
  <si>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</si>
  <si>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</si>
  <si>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</si>
  <si>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</si>
  <si>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</si>
  <si>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</si>
  <si>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</si>
  <si>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</si>
  <si>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</si>
  <si>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</si>
  <si>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</si>
  <si>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</si>
  <si>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</si>
  <si>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</si>
  <si>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</si>
  <si>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</si>
  <si>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</si>
  <si>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</si>
  <si>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</si>
  <si>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</si>
  <si>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</si>
  <si>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</si>
  <si>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</si>
  <si>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</si>
  <si>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</si>
  <si>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</si>
  <si>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</si>
  <si>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</si>
  <si>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</si>
  <si>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</si>
  <si>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</si>
  <si>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</si>
  <si>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</si>
  <si>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</si>
  <si>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</si>
  <si>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</si>
  <si>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</si>
  <si>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</si>
  <si>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</si>
  <si>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</si>
  <si>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</si>
  <si>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</si>
  <si>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</si>
  <si>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</si>
  <si>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</si>
  <si>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</si>
  <si>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</si>
  <si>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</si>
  <si>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</si>
  <si>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</si>
  <si>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</si>
  <si>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</si>
  <si>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</si>
  <si>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</si>
  <si>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</si>
  <si>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</si>
  <si>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</si>
  <si>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</si>
  <si>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</si>
  <si>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</si>
  <si>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</si>
  <si>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</si>
  <si>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</si>
  <si>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</si>
  <si>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</si>
  <si>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</si>
  <si>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</si>
  <si>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</si>
  <si>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</si>
  <si>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</si>
  <si>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</si>
  <si>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</si>
  <si>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</si>
  <si>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</si>
  <si>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</si>
  <si>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</si>
  <si>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</si>
  <si>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</si>
  <si>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</si>
  <si>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</si>
  <si>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</si>
  <si>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</si>
  <si>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</si>
  <si>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</si>
  <si>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</si>
  <si>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</si>
  <si>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</si>
  <si>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</si>
  <si>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</si>
  <si>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</si>
  <si>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</si>
  <si>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</si>
  <si>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</si>
  <si>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</si>
  <si>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</si>
  <si>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</si>
  <si>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</si>
  <si>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</si>
  <si>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</si>
  <si>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</si>
  <si>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</si>
  <si>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</si>
  <si>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</si>
  <si>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</si>
  <si>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</si>
  <si>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</si>
  <si>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</si>
  <si>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</si>
  <si>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</si>
  <si>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</si>
  <si>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</si>
  <si>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</si>
  <si>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</si>
  <si>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</si>
  <si>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</si>
  <si>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</si>
  <si>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</si>
  <si>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</si>
  <si>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</si>
  <si>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</si>
  <si>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</si>
  <si>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</si>
  <si>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</si>
  <si>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</si>
  <si>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</si>
  <si>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</si>
  <si>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</si>
  <si>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</si>
  <si>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</si>
  <si>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</si>
  <si>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</si>
  <si>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</si>
  <si>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</si>
  <si>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</si>
  <si>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</si>
  <si>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</si>
  <si>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</si>
  <si>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</si>
  <si>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</si>
  <si>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</si>
  <si>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</si>
  <si>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</si>
  <si>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</si>
  <si>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</si>
  <si>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</si>
  <si>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</si>
  <si>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</si>
  <si>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</si>
  <si>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</si>
  <si>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</si>
  <si>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</si>
  <si>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</si>
  <si>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</si>
  <si>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</si>
  <si>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</si>
  <si>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</si>
  <si>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</si>
  <si>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</si>
  <si>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</si>
  <si>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</si>
  <si>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</si>
  <si>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</si>
  <si>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</si>
  <si>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</si>
  <si>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</si>
  <si>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</si>
  <si>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</si>
  <si>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</si>
  <si>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</si>
  <si>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</si>
  <si>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</si>
  <si>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</si>
  <si>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</si>
  <si>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</si>
  <si>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</si>
  <si>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</si>
  <si>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</si>
  <si>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</si>
  <si>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</si>
  <si>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</si>
  <si>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</si>
  <si>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</si>
  <si>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</si>
  <si>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</si>
  <si>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</si>
  <si>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</si>
  <si>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</si>
  <si>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</si>
  <si>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</si>
  <si>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</si>
  <si>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</si>
  <si>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</si>
  <si>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</si>
  <si>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</si>
  <si>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</si>
  <si>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</si>
  <si>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</si>
  <si>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</si>
  <si>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</si>
  <si>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</si>
  <si>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</si>
  <si>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</si>
  <si>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</si>
  <si>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</si>
  <si>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</si>
  <si>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</si>
  <si>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</si>
  <si>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</si>
  <si>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</si>
  <si>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</si>
  <si>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</si>
  <si>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</si>
  <si>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</si>
  <si>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</si>
  <si>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</si>
  <si>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</si>
  <si>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</si>
  <si>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</si>
  <si>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</si>
  <si>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</si>
  <si>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</si>
  <si>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</si>
  <si>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</si>
  <si>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</si>
  <si>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</si>
  <si>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</si>
  <si>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</si>
  <si>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</si>
  <si>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</si>
  <si>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</si>
  <si>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</si>
  <si>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</si>
  <si>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</si>
  <si>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</si>
  <si>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</si>
  <si>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</si>
  <si>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</si>
  <si>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</si>
  <si>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</si>
  <si>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</si>
  <si>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</si>
  <si>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</si>
  <si>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</si>
  <si>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</si>
  <si>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</si>
  <si>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</si>
  <si>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</si>
  <si>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</si>
  <si>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</si>
  <si>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</si>
  <si>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</si>
  <si>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</si>
  <si>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</si>
  <si>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</si>
  <si>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</si>
  <si>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</si>
  <si>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</si>
  <si>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</si>
  <si>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</si>
  <si>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</si>
  <si>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</si>
  <si>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</si>
  <si>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</si>
  <si>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</si>
  <si>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</si>
  <si>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</si>
  <si>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</si>
  <si>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</si>
  <si>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</si>
  <si>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</si>
  <si>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</si>
  <si>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</si>
  <si>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</si>
  <si>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</si>
  <si>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</si>
  <si>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</si>
  <si>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</si>
  <si>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</si>
  <si>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</si>
  <si>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</si>
  <si>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</si>
  <si>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</si>
  <si>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</si>
  <si>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</si>
  <si>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</si>
  <si>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</si>
  <si>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</si>
  <si>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</si>
  <si>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</si>
  <si>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</si>
  <si>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</si>
  <si>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</si>
  <si>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</si>
  <si>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</si>
  <si>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</si>
  <si>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</si>
  <si>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</si>
  <si>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</si>
  <si>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</si>
  <si>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</si>
  <si>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</si>
  <si>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</si>
  <si>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</si>
  <si>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</si>
  <si>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</si>
  <si>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</si>
  <si>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</si>
  <si>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</si>
  <si>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</si>
  <si>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</si>
  <si>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</si>
  <si>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</si>
  <si>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</si>
  <si>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</si>
  <si>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</si>
  <si>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</si>
  <si>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</si>
  <si>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</si>
  <si>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</si>
  <si>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</si>
  <si>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</si>
  <si>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</si>
  <si>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</si>
  <si>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</si>
  <si>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</si>
  <si>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</si>
  <si>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</si>
  <si>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</si>
  <si>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</si>
  <si>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</si>
  <si>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</si>
  <si>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</si>
  <si>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</si>
  <si>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</si>
  <si>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</si>
  <si>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</si>
  <si>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</si>
  <si>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</si>
  <si>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</si>
  <si>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</si>
  <si>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</si>
  <si>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</si>
  <si>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</si>
  <si>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</si>
  <si>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</si>
  <si>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</si>
  <si>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</si>
  <si>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</si>
  <si>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</si>
  <si>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</si>
  <si>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</si>
  <si>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</si>
  <si>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</si>
  <si>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</si>
  <si>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</si>
  <si>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</si>
  <si>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</si>
  <si>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</si>
  <si>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</si>
  <si>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</si>
  <si>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</si>
  <si>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</si>
  <si>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</si>
  <si>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</si>
  <si>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</si>
  <si>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</si>
  <si>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</si>
  <si>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</si>
  <si>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</si>
  <si>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</si>
  <si>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</si>
  <si>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</si>
  <si>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</si>
  <si>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</si>
  <si>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</si>
  <si>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</si>
  <si>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</si>
  <si>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</si>
  <si>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</si>
  <si>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</si>
  <si>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</si>
  <si>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</si>
  <si>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</si>
  <si>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</si>
  <si>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</si>
  <si>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</si>
  <si>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</si>
  <si>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</si>
  <si>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</si>
  <si>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</si>
  <si>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</si>
  <si>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</si>
  <si>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</si>
  <si>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</si>
  <si>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</si>
  <si>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</si>
  <si>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</si>
  <si>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</si>
  <si>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</si>
  <si>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</si>
  <si>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</si>
  <si>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</si>
  <si>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</si>
  <si>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</si>
  <si>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</si>
  <si>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</si>
  <si>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</si>
  <si>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</si>
  <si>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</si>
  <si>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</si>
  <si>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</si>
  <si>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</si>
  <si>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</si>
  <si>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</si>
  <si>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</si>
  <si>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</si>
  <si>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</si>
  <si>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</si>
  <si>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</si>
  <si>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</si>
  <si>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</si>
  <si>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</si>
  <si>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</si>
  <si>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</si>
  <si>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</si>
  <si>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</si>
  <si>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</si>
  <si>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</si>
  <si>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</si>
  <si>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</si>
  <si>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</si>
  <si>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</si>
  <si>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</si>
  <si>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</si>
  <si>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</si>
  <si>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</si>
  <si>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</si>
  <si>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</si>
  <si>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</si>
  <si>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</si>
  <si>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</si>
  <si>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</si>
  <si>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</si>
  <si>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</si>
  <si>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</si>
  <si>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</si>
  <si>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</si>
  <si>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</si>
  <si>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</si>
  <si>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</si>
  <si>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</si>
  <si>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</si>
  <si>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</si>
  <si>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</si>
  <si>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</si>
  <si>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</si>
  <si>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</si>
  <si>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</si>
  <si>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</si>
  <si>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</si>
  <si>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</si>
  <si>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</si>
  <si>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</si>
  <si>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</si>
  <si>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</si>
  <si>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</si>
  <si>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</si>
  <si>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</si>
  <si>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</si>
  <si>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</si>
  <si>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</si>
  <si>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</si>
  <si>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</si>
  <si>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</si>
  <si>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</si>
  <si>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</si>
  <si>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</si>
  <si>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</si>
  <si>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</si>
  <si>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</si>
  <si>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</si>
  <si>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</si>
  <si>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</si>
  <si>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</si>
  <si>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</si>
  <si>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</si>
  <si>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</si>
  <si>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</si>
  <si>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</si>
  <si>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</si>
  <si>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</si>
  <si>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</si>
  <si>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</si>
  <si>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</si>
  <si>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</si>
  <si>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</si>
  <si>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</si>
  <si>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</si>
  <si>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</si>
  <si>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</si>
  <si>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</si>
  <si>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</si>
  <si>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</si>
  <si>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</si>
  <si>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</si>
  <si>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</si>
  <si>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</si>
  <si>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</si>
  <si>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</si>
  <si>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</si>
  <si>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</si>
  <si>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</si>
  <si>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</si>
  <si>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</si>
  <si>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</si>
  <si>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</si>
  <si>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</si>
  <si>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</si>
  <si>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</si>
  <si>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</si>
  <si>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</si>
  <si>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</si>
  <si>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</si>
  <si>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</si>
  <si>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</si>
  <si>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</si>
  <si>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</si>
  <si>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</si>
  <si>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</si>
  <si>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</si>
  <si>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</si>
  <si>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</si>
  <si>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</si>
  <si>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</si>
  <si>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</si>
  <si>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</si>
  <si>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</si>
  <si>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</si>
  <si>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</si>
  <si>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</si>
  <si>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</si>
  <si>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</si>
  <si>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</si>
  <si>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</si>
  <si>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</si>
  <si>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</si>
  <si>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</si>
  <si>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</si>
  <si>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</si>
  <si>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</si>
  <si>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</si>
  <si>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</si>
  <si>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</si>
  <si>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</si>
  <si>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</si>
  <si>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</si>
  <si>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</si>
  <si>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</si>
  <si>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</si>
  <si>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</si>
  <si>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</si>
  <si>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</si>
  <si>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</si>
  <si>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</si>
  <si>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</si>
  <si>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</si>
  <si>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</si>
  <si>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</si>
  <si>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</si>
  <si>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</si>
  <si>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</si>
  <si>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</si>
  <si>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</si>
  <si>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</si>
  <si>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</si>
  <si>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</si>
  <si>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</si>
  <si>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</si>
  <si>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</si>
  <si>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</si>
  <si>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</si>
  <si>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</si>
  <si>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</si>
  <si>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</si>
  <si>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</si>
  <si>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</si>
  <si>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</si>
  <si>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</si>
  <si>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</si>
  <si>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</si>
  <si>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</si>
  <si>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</si>
  <si>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</si>
  <si>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</si>
  <si>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</si>
  <si>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</si>
  <si>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</si>
  <si>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</si>
  <si>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</si>
  <si>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</si>
  <si>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</si>
  <si>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</si>
  <si>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</si>
  <si>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</si>
  <si>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</si>
  <si>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</si>
  <si>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</si>
  <si>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</si>
  <si>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</si>
  <si>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</si>
  <si>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</si>
  <si>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</si>
  <si>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</si>
  <si>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</si>
  <si>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</si>
  <si>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</si>
  <si>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</si>
  <si>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</si>
  <si>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</si>
  <si>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</si>
  <si>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</si>
  <si>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</si>
  <si>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</si>
  <si>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</si>
  <si>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</si>
  <si>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</si>
  <si>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</si>
  <si>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</si>
  <si>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</si>
  <si>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</si>
  <si>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</si>
  <si>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</si>
  <si>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</si>
  <si>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</si>
  <si>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</si>
  <si>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</si>
  <si>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</si>
  <si>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</si>
  <si>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</si>
  <si>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</si>
  <si>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</si>
  <si>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</si>
  <si>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</si>
  <si>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</si>
  <si>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</si>
  <si>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</si>
  <si>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</si>
  <si>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</si>
  <si>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</si>
  <si>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</si>
  <si>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</si>
  <si>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</si>
  <si>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</si>
  <si>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</si>
  <si>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</si>
  <si>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</si>
  <si>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</si>
  <si>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</si>
  <si>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</si>
  <si>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</si>
  <si>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</si>
  <si>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</si>
  <si>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</si>
  <si>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</si>
  <si>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</si>
  <si>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</si>
  <si>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</si>
  <si>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</si>
  <si>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</si>
  <si>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</si>
  <si>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</si>
  <si>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</si>
  <si>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</si>
  <si>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</si>
  <si>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</si>
  <si>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</si>
  <si>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</si>
  <si>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</si>
  <si>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</si>
  <si>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</si>
  <si>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</si>
  <si>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</si>
  <si>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</si>
  <si>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</si>
  <si>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</si>
  <si>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</si>
  <si>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</si>
  <si>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</si>
  <si>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</si>
  <si>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</si>
  <si>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</si>
  <si>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</si>
  <si>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</si>
  <si>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</si>
  <si>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</si>
  <si>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</si>
  <si>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</si>
  <si>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</si>
  <si>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</si>
  <si>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</si>
  <si>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</si>
  <si>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</si>
  <si>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</si>
  <si>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</si>
  <si>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</si>
  <si>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</si>
  <si>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</si>
  <si>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</si>
  <si>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</si>
  <si>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</si>
  <si>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</si>
  <si>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</si>
  <si>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</si>
  <si>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</si>
  <si>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</si>
  <si>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</si>
  <si>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</si>
  <si>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</si>
  <si>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</si>
  <si>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</si>
  <si>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</si>
  <si>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</si>
  <si>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</si>
  <si>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</si>
  <si>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</si>
  <si>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</si>
  <si>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</si>
  <si>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</si>
  <si>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</si>
  <si>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</si>
  <si>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</si>
  <si>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</si>
  <si>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</si>
  <si>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</si>
  <si>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</si>
  <si>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</si>
  <si>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</si>
  <si>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</si>
  <si>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</si>
  <si>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</si>
  <si>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</si>
  <si>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</si>
  <si>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</si>
  <si>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</si>
  <si>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</si>
  <si>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</si>
  <si>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</si>
  <si>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</si>
  <si>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</si>
  <si>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</si>
  <si>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</si>
  <si>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</si>
  <si>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</si>
  <si>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</si>
  <si>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</si>
  <si>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</si>
  <si>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</si>
  <si>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</si>
  <si>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</si>
  <si>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</si>
  <si>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</si>
  <si>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</si>
  <si>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</si>
  <si>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</si>
  <si>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</si>
  <si>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</si>
  <si>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</si>
  <si>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</si>
  <si>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</si>
  <si>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</si>
  <si>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</si>
  <si>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</si>
  <si>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</si>
  <si>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</si>
  <si>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</si>
  <si>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</si>
  <si>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</si>
  <si>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</si>
  <si>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</si>
  <si>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</si>
  <si>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</si>
  <si>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</si>
  <si>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</si>
  <si>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</si>
  <si>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</si>
  <si>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</si>
  <si>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</si>
  <si>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</si>
  <si>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</si>
  <si>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</si>
  <si>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</si>
  <si>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</si>
  <si>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</si>
  <si>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</si>
  <si>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</si>
  <si>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</si>
  <si>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</si>
  <si>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</si>
  <si>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</si>
  <si>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</si>
  <si>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</si>
  <si>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</si>
  <si>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</si>
  <si>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</si>
  <si>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</si>
  <si>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</si>
  <si>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</si>
  <si>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</si>
  <si>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</si>
  <si>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</si>
  <si>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</si>
  <si>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</si>
  <si>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</si>
  <si>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</si>
  <si>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</si>
  <si>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</si>
  <si>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</si>
  <si>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</si>
  <si>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</si>
  <si>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</si>
  <si>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</si>
  <si>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</si>
  <si>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</si>
  <si>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</si>
  <si>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</si>
  <si>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</si>
  <si>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</si>
  <si>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</si>
  <si>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</si>
  <si>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</si>
  <si>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</si>
  <si>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</si>
  <si>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</si>
  <si>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</si>
  <si>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</si>
  <si>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</si>
  <si>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</si>
  <si>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</si>
  <si>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</si>
  <si>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</si>
  <si>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</si>
  <si>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</si>
  <si>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</si>
  <si>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</si>
  <si>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</si>
  <si>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</si>
  <si>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</si>
  <si>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</si>
  <si>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</si>
  <si>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</si>
  <si>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</si>
  <si>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</si>
  <si>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</si>
  <si>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</si>
  <si>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</si>
  <si>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</si>
  <si>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</si>
  <si>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</si>
  <si>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</si>
  <si>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</si>
  <si>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</si>
  <si>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</si>
  <si>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</si>
  <si>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</si>
  <si>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</si>
  <si>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</si>
  <si>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</si>
  <si>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</si>
  <si>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</si>
  <si>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</si>
  <si>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</si>
  <si>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</si>
  <si>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</si>
  <si>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</si>
  <si>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</si>
  <si>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</si>
  <si>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</si>
  <si>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</si>
  <si>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</si>
  <si>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</si>
  <si>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</si>
  <si>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</si>
  <si>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</si>
  <si>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</si>
  <si>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</si>
  <si>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</si>
  <si>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</si>
  <si>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</si>
  <si>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</si>
  <si>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</si>
  <si>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</si>
  <si>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</si>
  <si>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</si>
  <si>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</si>
  <si>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</si>
  <si>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</si>
  <si>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</si>
  <si>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</si>
  <si>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</si>
  <si>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</si>
  <si>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</si>
  <si>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</si>
  <si>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</si>
  <si>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</si>
  <si>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</si>
  <si>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</si>
  <si>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</si>
  <si>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</si>
  <si>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</si>
  <si>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</si>
  <si>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</si>
  <si>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</si>
  <si>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</si>
  <si>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</si>
  <si>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</si>
  <si>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</si>
  <si>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</si>
  <si>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</si>
  <si>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</si>
  <si>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</si>
  <si>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</si>
  <si>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</si>
  <si>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</si>
  <si>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</si>
  <si>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</si>
  <si>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</si>
  <si>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</si>
  <si>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</si>
  <si>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</si>
  <si>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</si>
  <si>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</si>
  <si>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</si>
  <si>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</si>
  <si>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</si>
  <si>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</si>
  <si>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</si>
  <si>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</si>
  <si>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</si>
  <si>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</si>
  <si>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</si>
  <si>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</si>
  <si>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</si>
  <si>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</si>
  <si>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</si>
  <si>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</si>
  <si>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</si>
  <si>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</si>
  <si>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</si>
  <si>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</si>
  <si>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</si>
  <si>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</si>
  <si>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</si>
  <si>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</si>
  <si>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</si>
  <si>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</si>
  <si>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</si>
  <si>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</si>
  <si>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</si>
  <si>
    <t>企业</t>
  </si>
  <si>
    <t>北京市</t>
  </si>
  <si>
    <t>房地产抵押价值</t>
  </si>
  <si>
    <r>
      <t>2</t>
    </r>
    <r>
      <rPr>
        <sz val="11"/>
        <color indexed="8"/>
        <rFont val="宋体"/>
        <family val="3"/>
        <charset val="134"/>
      </rPr>
      <t>层</t>
    </r>
    <phoneticPr fontId="30" type="noConversion"/>
  </si>
  <si>
    <t>1层</t>
    <phoneticPr fontId="134" type="noConversion"/>
  </si>
  <si>
    <t>2层</t>
    <phoneticPr fontId="134" type="noConversion"/>
  </si>
  <si>
    <t>3层</t>
    <phoneticPr fontId="134" type="noConversion"/>
  </si>
  <si>
    <t>三角形</t>
    <phoneticPr fontId="134" type="noConversion"/>
  </si>
  <si>
    <t>平均</t>
  </si>
  <si>
    <t>平均</t>
    <phoneticPr fontId="134" type="noConversion"/>
  </si>
  <si>
    <t>1层小</t>
  </si>
  <si>
    <t>1层小</t>
    <phoneticPr fontId="134" type="noConversion"/>
  </si>
  <si>
    <t>1层大</t>
  </si>
  <si>
    <t>1层大</t>
    <phoneticPr fontId="134" type="noConversion"/>
  </si>
  <si>
    <r>
      <t>1、</t>
    </r>
    <r>
      <rPr>
        <sz val="11"/>
        <color theme="1"/>
        <rFont val="宋体"/>
        <family val="3"/>
        <charset val="134"/>
        <scheme val="minor"/>
      </rPr>
      <t>2层小</t>
    </r>
    <phoneticPr fontId="134" type="noConversion"/>
  </si>
  <si>
    <t>修正项2</t>
    <phoneticPr fontId="3" type="noConversion"/>
  </si>
  <si>
    <t>形状</t>
    <phoneticPr fontId="3" type="noConversion"/>
  </si>
  <si>
    <t>方正</t>
  </si>
  <si>
    <t>方正</t>
    <phoneticPr fontId="24" type="noConversion"/>
  </si>
  <si>
    <t>三角</t>
  </si>
  <si>
    <t>三角</t>
    <phoneticPr fontId="24" type="noConversion"/>
  </si>
  <si>
    <t>分层面积</t>
    <phoneticPr fontId="3" type="noConversion"/>
  </si>
  <si>
    <t>平均</t>
    <phoneticPr fontId="24" type="noConversion"/>
  </si>
  <si>
    <t>1层大</t>
    <phoneticPr fontId="24" type="noConversion"/>
  </si>
  <si>
    <r>
      <t>1</t>
    </r>
    <r>
      <rPr>
        <sz val="10"/>
        <color indexed="8"/>
        <rFont val="宋体"/>
        <family val="3"/>
        <charset val="134"/>
      </rPr>
      <t>层小</t>
    </r>
    <phoneticPr fontId="24" type="noConversion"/>
  </si>
  <si>
    <r>
      <t>1</t>
    </r>
    <r>
      <rPr>
        <sz val="10"/>
        <color indexed="8"/>
        <rFont val="宋体"/>
        <family val="3"/>
        <charset val="134"/>
      </rPr>
      <t>、</t>
    </r>
    <r>
      <rPr>
        <sz val="10"/>
        <color indexed="8"/>
        <rFont val="Arial"/>
        <family val="2"/>
      </rPr>
      <t>2</t>
    </r>
    <r>
      <rPr>
        <sz val="10"/>
        <color indexed="8"/>
        <rFont val="宋体"/>
        <family val="3"/>
        <charset val="134"/>
      </rPr>
      <t>层小</t>
    </r>
    <phoneticPr fontId="24" type="noConversion"/>
  </si>
  <si>
    <t>房型</t>
    <phoneticPr fontId="134" type="noConversion"/>
  </si>
  <si>
    <t>方正</t>
    <phoneticPr fontId="134" type="noConversion"/>
  </si>
  <si>
    <t>分层面积</t>
    <phoneticPr fontId="134" type="noConversion"/>
  </si>
  <si>
    <t>1、2层小</t>
  </si>
  <si>
    <t>平面位置</t>
    <phoneticPr fontId="3" type="noConversion"/>
  </si>
  <si>
    <t>较好</t>
    <phoneticPr fontId="24" type="noConversion"/>
  </si>
  <si>
    <t>一般</t>
    <phoneticPr fontId="24" type="noConversion"/>
  </si>
  <si>
    <t>较方正</t>
  </si>
  <si>
    <t>较方正</t>
    <phoneticPr fontId="24" type="noConversion"/>
  </si>
  <si>
    <t>较方正</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</si>
</sst>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241934</xdr:colOff>
      <xdr:row>0</xdr:row>
      <xdr:rowOff>0</xdr:rowOff>
    </xdr:from>
    <xdr:to>
      <xdr:col>24</xdr:col>
      <xdr:colOff>567690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8997314" y="0"/>
          <a:ext cx="5202556" cy="1719475"/>
        </a:xfrm>
        <a:prstGeom prst="rect">
          <a:avLst/>
        </a:prstGeom>
      </xdr:spPr>
    </xdr:pic>
    <xdr:clientData/>
  </xdr:twoCellAnchor>
  <xdr:twoCellAnchor editAs="oneCell">
    <xdr:from>
      <xdr:col>16</xdr:col>
      <xdr:colOff>310514</xdr:colOff>
      <xdr:row>10</xdr:row>
      <xdr:rowOff>87361</xdr:rowOff>
    </xdr:from>
    <xdr:to>
      <xdr:col>24</xdr:col>
      <xdr:colOff>425709</xdr:colOff>
      <xdr:row>18</xdr:row>
      <xdr:rowOff>155953</xdr:rowOff>
    </xdr:to>
    <xdr:pic>
      <xdr:nvPicPr>
        <xdr:cNvPr id="3" name="图片 2"/>
        <xdr:cNvPicPr>
          <a:picLocks noChangeAspect="1"/>
        </xdr:cNvPicPr>
      </xdr:nvPicPr>
      <xdr:blipFill>
        <a:blip xmlns:r="http://schemas.openxmlformats.org/officeDocument/2006/relationships" r:embed="rId2"/>
        <a:stretch>
          <a:fillRect/>
        </a:stretch>
      </xdr:blipFill>
      <xdr:spPr>
        <a:xfrm>
          <a:off x="9065894" y="1916161"/>
          <a:ext cx="4991995" cy="1531632"/>
        </a:xfrm>
        <a:prstGeom prst="rect">
          <a:avLst/>
        </a:prstGeom>
      </xdr:spPr>
    </xdr:pic>
    <xdr:clientData/>
  </xdr:twoCellAnchor>
  <xdr:twoCellAnchor editAs="oneCell">
    <xdr:from>
      <xdr:col>16</xdr:col>
      <xdr:colOff>426719</xdr:colOff>
      <xdr:row>20</xdr:row>
      <xdr:rowOff>114205</xdr:rowOff>
    </xdr:from>
    <xdr:to>
      <xdr:col>24</xdr:col>
      <xdr:colOff>333375</xdr:colOff>
      <xdr:row>30</xdr:row>
      <xdr:rowOff>111964</xdr:rowOff>
    </xdr:to>
    <xdr:pic>
      <xdr:nvPicPr>
        <xdr:cNvPr id="4" name="图片 3"/>
        <xdr:cNvPicPr>
          <a:picLocks noChangeAspect="1"/>
        </xdr:cNvPicPr>
      </xdr:nvPicPr>
      <xdr:blipFill>
        <a:blip xmlns:r="http://schemas.openxmlformats.org/officeDocument/2006/relationships" r:embed="rId3"/>
        <a:stretch>
          <a:fillRect/>
        </a:stretch>
      </xdr:blipFill>
      <xdr:spPr>
        <a:xfrm>
          <a:off x="9182099" y="3771805"/>
          <a:ext cx="4783456" cy="18265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8376;&#22836;&#27807;&#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Sheet1"/>
      <sheetName val="典型户型修正"/>
      <sheetName val="比较法-商业"/>
      <sheetName val="比较法-办公"/>
      <sheetName val="收益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219.43</v>
          </cell>
          <cell r="D14">
            <v>576</v>
          </cell>
        </row>
      </sheetData>
      <sheetData sheetId="17">
        <row r="32">
          <cell r="C32">
            <v>26256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2024年1月31日（评估专业人员实地查勘之日）</v>
      </c>
    </row>
    <row r="13" spans="1:2" s="1202" customFormat="1">
      <c r="A13" s="1200" t="s">
        <v>529</v>
      </c>
      <c r="B13" s="1201"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2288</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4"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2" t="s">
        <v>385</v>
      </c>
      <c r="C54" s="1549" t="s">
        <v>583</v>
      </c>
    </row>
    <row r="55" spans="1:4">
      <c r="A55" s="3504"/>
      <c r="B55" s="1552" t="s">
        <v>386</v>
      </c>
      <c r="C55" s="1549" t="s">
        <v>584</v>
      </c>
    </row>
    <row r="56" spans="1:4">
      <c r="A56" s="3504"/>
      <c r="B56" s="1552" t="s">
        <v>387</v>
      </c>
      <c r="C56" s="1549" t="s">
        <v>588</v>
      </c>
    </row>
    <row r="57" spans="1:4">
      <c r="A57" s="3504"/>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05" t="s">
        <v>2579</v>
      </c>
      <c r="J2" s="3505"/>
      <c r="K2" s="3505"/>
      <c r="L2" s="3505"/>
      <c r="M2" s="3505"/>
      <c r="N2" s="3505"/>
      <c r="O2" s="3505"/>
      <c r="P2" s="3505"/>
      <c r="Q2" s="3505"/>
      <c r="R2" s="3505"/>
    </row>
    <row r="3" spans="1:18">
      <c r="A3" s="3018" t="s">
        <v>2500</v>
      </c>
      <c r="B3" s="3019">
        <f>项目基本情况!D3</f>
        <v>45322</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2.88</v>
      </c>
      <c r="D5" s="3023">
        <f>IF(ISERROR(ROUND(POWER(1+E5,A5-C5)*(POWER(1+E5,C5)-1)/(POWER(1+E5,A5)-1),3)),0,ROUND(POWER(1+E5,A5-C5)*(POWER(1+E5,C5)-1)/(POWER(1+E5,A5)-1),4))</f>
        <v>0.13489999999999999</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12.89</v>
      </c>
      <c r="D6" s="3023">
        <f>IF(ISERROR(ROUND(POWER(1+E6,A6-C6)*(POWER(1+E6,C6)-1)/(POWER(1+E6,A6)-1),3)),0,ROUND(POWER(1+E6,A6-C6)*(POWER(1+E6,C6)-1)/(POWER(1+E6,A6)-1),4))</f>
        <v>0.46179999999999999</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32.9</v>
      </c>
      <c r="D7" s="3023">
        <f>IF(ISERROR(ROUND(POWER(1+E7,A7-C7)*(POWER(1+E7,C7)-1)/(POWER(1+E7,A7)-1),3)),0,ROUND(POWER(1+E7,A7-C7)*(POWER(1+E7,C7)-1)/(POWER(1+E7,A7)-1),4))</f>
        <v>0.77459999999999996</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38" sqref="L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2164</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2165</v>
      </c>
      <c r="B3" s="2371">
        <v>45322</v>
      </c>
      <c r="C3" s="2372" t="s">
        <v>2166</v>
      </c>
      <c r="D3" s="2371">
        <f>B3</f>
        <v>45322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3375</v>
      </c>
      <c r="C8" s="2388"/>
      <c r="D8" s="3517" t="s">
        <v>2172</v>
      </c>
      <c r="E8" s="2389" t="s">
        <v>3441</v>
      </c>
      <c r="F8" s="2390"/>
      <c r="G8" s="2661"/>
      <c r="H8" s="2661"/>
      <c r="I8" s="2661"/>
      <c r="J8" s="2437"/>
      <c r="K8" s="2612"/>
      <c r="L8" s="2611"/>
      <c r="M8" s="2611"/>
      <c r="N8" s="2437"/>
      <c r="O8" s="2448"/>
      <c r="P8" s="2437"/>
      <c r="Q8" s="2437"/>
      <c r="R8" s="2437"/>
    </row>
    <row r="9" spans="1:30" ht="13.5" thickBot="1">
      <c r="A9" s="2391" t="s">
        <v>2173</v>
      </c>
      <c r="B9" s="2392" t="s">
        <v>3441</v>
      </c>
      <c r="C9" s="2393"/>
      <c r="D9" s="3518"/>
      <c r="E9" s="2392"/>
      <c r="F9" s="2394"/>
      <c r="G9" s="2663"/>
      <c r="H9" s="2663"/>
      <c r="I9" s="2663"/>
      <c r="J9" s="2437"/>
      <c r="K9" s="2614"/>
      <c r="L9" s="2611"/>
      <c r="M9" s="2611"/>
      <c r="N9" s="2437"/>
      <c r="O9" s="2448"/>
      <c r="P9" s="2437"/>
      <c r="Q9" s="2437"/>
      <c r="R9" s="2437"/>
    </row>
    <row r="10" spans="1:30" ht="13.5" thickTop="1">
      <c r="A10" s="2395" t="s">
        <v>2174</v>
      </c>
      <c r="B10" s="2396" t="s">
        <v>3440</v>
      </c>
      <c r="C10" s="2397"/>
      <c r="D10" s="2380"/>
      <c r="E10" s="2398" t="s">
        <v>2175</v>
      </c>
      <c r="F10" s="2664"/>
      <c r="G10" s="2665"/>
      <c r="H10" s="2666"/>
      <c r="I10" s="2667"/>
      <c r="J10" s="2437"/>
      <c r="K10" s="2614"/>
      <c r="L10" s="2611"/>
      <c r="M10" s="2611"/>
      <c r="N10" s="2437"/>
      <c r="O10" s="2448"/>
      <c r="P10" s="2437"/>
      <c r="Q10" s="2437"/>
      <c r="R10" s="2437"/>
    </row>
    <row r="11" spans="1:30">
      <c r="A11" s="2399" t="s">
        <v>2176</v>
      </c>
      <c r="B11" s="2400" t="s">
        <v>3439</v>
      </c>
      <c r="C11" s="2401"/>
      <c r="D11" s="2402"/>
      <c r="E11" s="2368"/>
      <c r="F11" s="2368"/>
      <c r="G11" s="2368"/>
      <c r="H11" s="2368"/>
      <c r="I11" s="2368"/>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3"/>
    </row>
    <row r="13" spans="1:30">
      <c r="A13" s="3421" t="s">
        <v>3331</v>
      </c>
      <c r="B13" s="2405" t="s">
        <v>2185</v>
      </c>
      <c r="C13" s="856"/>
      <c r="D13" s="856">
        <v>56557</v>
      </c>
      <c r="E13" s="856"/>
      <c r="F13" s="856"/>
      <c r="G13" s="856"/>
      <c r="H13" s="856"/>
      <c r="I13" s="856"/>
      <c r="J13" s="3060"/>
      <c r="K13" s="2611"/>
      <c r="L13" s="2611"/>
      <c r="M13" s="2437"/>
      <c r="N13" s="2448"/>
      <c r="O13" s="2437"/>
      <c r="P13" s="2437"/>
      <c r="Q13" s="2437"/>
      <c r="AD13" s="1743"/>
    </row>
    <row r="14" spans="1:30">
      <c r="A14" s="1080"/>
      <c r="B14" s="2405" t="s">
        <v>2186</v>
      </c>
      <c r="C14" s="2406"/>
      <c r="D14" s="2406">
        <v>40</v>
      </c>
      <c r="E14" s="2406"/>
      <c r="F14" s="2406"/>
      <c r="G14" s="2406"/>
      <c r="H14" s="2406"/>
      <c r="I14" s="2406"/>
      <c r="J14" s="3061"/>
      <c r="K14" s="2611"/>
      <c r="L14" s="2611"/>
      <c r="M14" s="2437"/>
      <c r="N14" s="2448"/>
      <c r="O14" s="2437"/>
      <c r="P14" s="2437"/>
      <c r="Q14" s="2437"/>
      <c r="AD14" s="1743"/>
    </row>
    <row r="15" spans="1:30">
      <c r="A15" s="320"/>
      <c r="B15" s="2407" t="s">
        <v>2187</v>
      </c>
      <c r="C15" s="2408" t="str">
        <f>IF(A13="出让",IF(C13="","",ROUNDDOWN(MIN((C13-$D$3)/365,C14),2)),C14)</f>
        <v/>
      </c>
      <c r="D15" s="2408">
        <f>IF(A13="出让",IF(D13="","",ROUNDDOWN(MIN((D13-$D$3)/365,D14),2)),D14)</f>
        <v>30.78</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2188</v>
      </c>
      <c r="B16" s="3524"/>
      <c r="C16" s="3525"/>
      <c r="D16" s="3526"/>
      <c r="E16" s="2411" t="s">
        <v>2189</v>
      </c>
      <c r="F16" s="3527"/>
      <c r="G16" s="3528"/>
      <c r="H16" s="3528"/>
      <c r="I16" s="3529"/>
      <c r="J16" s="2437"/>
      <c r="K16" s="2615"/>
      <c r="L16" s="2449"/>
      <c r="M16" s="2449"/>
      <c r="N16" s="2507"/>
      <c r="O16" s="2449"/>
      <c r="P16" s="2507"/>
      <c r="Q16" s="2437"/>
      <c r="R16" s="2437"/>
    </row>
    <row r="17" spans="1:28">
      <c r="A17" s="313" t="s">
        <v>2190</v>
      </c>
      <c r="B17" s="302" t="s">
        <v>2191</v>
      </c>
      <c r="C17" s="8">
        <f>'数据-汇总表'!E3</f>
        <v>87.01</v>
      </c>
      <c r="D17" s="2320" t="s">
        <v>2192</v>
      </c>
      <c r="E17" s="3530" t="s">
        <v>2193</v>
      </c>
      <c r="F17" s="3531"/>
      <c r="G17" s="3531"/>
      <c r="H17" s="3531"/>
      <c r="I17" s="3532"/>
      <c r="J17" s="2437"/>
      <c r="K17" s="2616"/>
      <c r="L17" s="2449"/>
      <c r="M17" s="2449"/>
      <c r="N17" s="2507"/>
      <c r="O17" s="2449"/>
      <c r="P17" s="2507"/>
      <c r="Q17" s="2437"/>
      <c r="R17" s="2437"/>
      <c r="S17" s="2437"/>
      <c r="T17" s="2437"/>
      <c r="U17" s="2437"/>
      <c r="V17" s="2437"/>
    </row>
    <row r="18" spans="1:28" ht="24.75" thickBot="1">
      <c r="A18" s="2412" t="s">
        <v>2194</v>
      </c>
      <c r="B18" s="1089" t="s">
        <v>2195</v>
      </c>
      <c r="C18" s="2413">
        <f>'数据-汇总表'!D3</f>
        <v>0</v>
      </c>
      <c r="D18" s="1091" t="s">
        <v>2196</v>
      </c>
      <c r="E18" s="3533" t="s">
        <v>2197</v>
      </c>
      <c r="F18" s="3534"/>
      <c r="G18" s="3534"/>
      <c r="H18" s="3534"/>
      <c r="I18" s="3535"/>
      <c r="J18" s="2437"/>
      <c r="K18" s="2616"/>
      <c r="L18" s="2449"/>
      <c r="M18" s="2449"/>
      <c r="N18" s="2507"/>
      <c r="O18" s="2449"/>
      <c r="P18" s="2507"/>
      <c r="Q18" s="2437"/>
      <c r="R18" s="2437"/>
      <c r="S18" s="2437"/>
      <c r="T18" s="2437"/>
      <c r="U18" s="2437"/>
      <c r="V18" s="2437"/>
    </row>
    <row r="19" spans="1:28" ht="37.5" thickTop="1" thickBot="1">
      <c r="A19" s="327" t="s">
        <v>1055</v>
      </c>
      <c r="B19" s="307" t="s">
        <v>2198</v>
      </c>
      <c r="C19" s="1561"/>
      <c r="D19" s="1562" t="s">
        <v>2199</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2200</v>
      </c>
      <c r="B20" s="3520" t="s">
        <v>2201</v>
      </c>
      <c r="C20" s="3521"/>
      <c r="D20" s="3522" t="s">
        <v>2202</v>
      </c>
      <c r="E20" s="3523"/>
      <c r="F20" s="2645" t="s">
        <v>1056</v>
      </c>
      <c r="G20" s="2662"/>
      <c r="H20" s="2662"/>
      <c r="I20" s="2662"/>
      <c r="J20" s="2437"/>
      <c r="K20" s="3519"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2204</v>
      </c>
      <c r="C21" s="2632" t="s">
        <v>1057</v>
      </c>
      <c r="D21" s="1566" t="s">
        <v>2205</v>
      </c>
      <c r="E21" s="2633" t="s">
        <v>1057</v>
      </c>
      <c r="F21" s="2646"/>
      <c r="G21" s="2662"/>
      <c r="H21" s="2662"/>
      <c r="I21" s="2662"/>
      <c r="J21" s="2437"/>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2206</v>
      </c>
      <c r="C22" s="2632" t="s">
        <v>1058</v>
      </c>
      <c r="D22" s="2661"/>
      <c r="E22" s="2661"/>
      <c r="F22" s="2661"/>
      <c r="G22" s="2662"/>
      <c r="H22" s="2662"/>
      <c r="I22" s="2662"/>
      <c r="J22" s="2437"/>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7" t="s">
        <v>2209</v>
      </c>
      <c r="B27" s="320" t="s">
        <v>2210</v>
      </c>
      <c r="C27" s="2414" t="s">
        <v>3379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7"/>
      <c r="B28" s="302" t="s">
        <v>2211</v>
      </c>
      <c r="C28" s="2416" t="s">
        <v>3380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7"/>
      <c r="B29" s="302" t="s">
        <v>2212</v>
      </c>
      <c r="C29" s="2418" t="s">
        <v>3381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8"/>
      <c r="B30" s="302" t="s">
        <v>2213</v>
      </c>
      <c r="C30" s="3509"/>
      <c r="D30" s="3510"/>
      <c r="E30" s="2662"/>
      <c r="F30" s="2662"/>
      <c r="G30" s="2662"/>
      <c r="H30" s="2662"/>
      <c r="I30" s="2662"/>
      <c r="J30" s="2437"/>
      <c r="K30" s="2614"/>
      <c r="L30" s="2611"/>
      <c r="M30" s="2611"/>
      <c r="N30" s="2437"/>
      <c r="O30" s="2448"/>
      <c r="P30" s="2437"/>
      <c r="Q30" s="2437"/>
      <c r="R30" s="2437"/>
      <c r="S30" s="2437"/>
      <c r="T30" s="2437"/>
      <c r="U30" s="2437"/>
      <c r="V30" s="2437"/>
    </row>
    <row r="31" spans="1:28">
      <c r="A31" s="3511" t="s">
        <v>2214</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12"/>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12"/>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4"/>
      <c r="C34" s="2024"/>
      <c r="D34" s="2024"/>
      <c r="E34" s="2024"/>
      <c r="F34" s="2024"/>
      <c r="G34" s="2024"/>
      <c r="H34" s="2024"/>
      <c r="I34" s="2662"/>
      <c r="J34" s="2437"/>
      <c r="K34" s="2425">
        <f>COUNTIF(B34:H34,"——")</f>
        <v>0</v>
      </c>
      <c r="L34" s="323" t="s">
        <v>2216</v>
      </c>
      <c r="M34" s="323" t="s">
        <v>2217</v>
      </c>
      <c r="N34" s="323" t="s">
        <v>2218</v>
      </c>
      <c r="O34" s="323" t="s">
        <v>2219</v>
      </c>
      <c r="P34" s="323" t="s">
        <v>2220</v>
      </c>
      <c r="Q34" s="323" t="s">
        <v>2221</v>
      </c>
      <c r="R34" s="323" t="s">
        <v>2222</v>
      </c>
      <c r="S34" s="3506" t="s">
        <v>2223</v>
      </c>
      <c r="T34" s="2426" t="str">
        <f>NUMBERSTRING(7-K34,1)&amp;"通"</f>
        <v>七通</v>
      </c>
      <c r="U34" s="2437"/>
      <c r="V34" s="2437"/>
    </row>
    <row r="35" spans="1:30">
      <c r="A35" s="2427"/>
      <c r="B35" s="3513" t="s">
        <v>2224</v>
      </c>
      <c r="C35" s="3513"/>
      <c r="D35" s="3513"/>
      <c r="E35" s="3513"/>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c r="A37" s="2628" t="s">
        <v>2225</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2226</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2228</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87.01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3384</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9"/>
      <c r="K10" s="1607"/>
      <c r="L10" s="809"/>
      <c r="M10" s="1607"/>
      <c r="N10" s="809"/>
      <c r="O10" s="1607"/>
      <c r="P10" s="809"/>
      <c r="Q10" s="1607"/>
      <c r="R10" s="809"/>
      <c r="S10" s="1607"/>
      <c r="T10" s="809"/>
      <c r="U10" s="1607"/>
      <c r="V10" s="809"/>
      <c r="W10" s="1607"/>
      <c r="X10" s="809"/>
      <c r="Y10" s="1607"/>
      <c r="Z10" s="809"/>
      <c r="AA10" s="1607"/>
      <c r="AB10" s="809"/>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50"/>
      <c r="B13" s="1050"/>
      <c r="C13" s="2436" t="s">
        <v>3385</v>
      </c>
      <c r="D13" s="1623" t="s">
        <v>3383</v>
      </c>
      <c r="E13" s="13">
        <f>IF($C$3="是",ROUND($A$3*G13/$B$3,2),ROUND($A$3*(G13-AT13)/$B$3,2))</f>
        <v>0</v>
      </c>
      <c r="F13" s="29"/>
      <c r="G13" s="30">
        <f>H13+AC13+AT13</f>
        <v>87.01</v>
      </c>
      <c r="H13" s="17">
        <f>SUMIF(I$12:AB$12,"总值",I13:AB13)</f>
        <v>87.01</v>
      </c>
      <c r="I13" s="1624">
        <f>典型户型修正!B24</f>
        <v>87.01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2-2-9</v>
      </c>
      <c r="AY13" s="1347">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47"/>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3447"/>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3447"/>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3447"/>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8"/>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8"/>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8"/>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8"/>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8"/>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8"/>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8"/>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8"/>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8"/>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8"/>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8"/>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8"/>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8"/>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8"/>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8"/>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8"/>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8"/>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8"/>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8"/>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8"/>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45" t="s">
        <v>1131</v>
      </c>
      <c r="B2" s="3545"/>
      <c r="C2" s="3545"/>
      <c r="D2" s="796" t="s">
        <v>1107</v>
      </c>
      <c r="E2" s="1637" t="s">
        <v>1108</v>
      </c>
      <c r="F2" s="2657"/>
      <c r="G2" s="2648"/>
      <c r="H2" s="2649"/>
      <c r="I2" s="2323" t="s">
        <v>1132</v>
      </c>
      <c r="J2" s="2657"/>
      <c r="K2" s="2657"/>
      <c r="L2" s="2657"/>
      <c r="M2" s="2657"/>
      <c r="N2" s="2659"/>
      <c r="O2" s="2657"/>
      <c r="P2" s="2657"/>
    </row>
    <row r="3" spans="1:16" ht="15.75" thickBot="1">
      <c r="A3" s="3546" t="s">
        <v>1105</v>
      </c>
      <c r="B3" s="3546"/>
      <c r="C3" s="3546"/>
      <c r="D3" s="43">
        <f>'数据-基础表'!AY6</f>
        <v>0</v>
      </c>
      <c r="E3" s="43">
        <f>'数据-基础表'!AZ5</f>
        <v>87.01</v>
      </c>
      <c r="F3" s="2657"/>
      <c r="G3" s="1144"/>
      <c r="H3" s="1025" t="s">
        <v>1106</v>
      </c>
      <c r="I3" s="855" t="e">
        <f>ROUND('数据-基础表'!B3/'数据-基础表'!A3,2)</f>
        <v>#DIV/0!</v>
      </c>
      <c r="J3" s="2657"/>
      <c r="K3" s="2657"/>
      <c r="L3" s="2657"/>
      <c r="M3" s="2657"/>
      <c r="N3" s="2659"/>
      <c r="O3" s="2657"/>
      <c r="P3" s="2657"/>
    </row>
    <row r="4" spans="1:16" ht="15">
      <c r="A4" s="3547"/>
      <c r="B4" s="3548"/>
      <c r="C4" s="3549"/>
      <c r="D4" s="1639" t="s">
        <v>1107</v>
      </c>
      <c r="E4" s="1640"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0" t="s">
        <v>1110</v>
      </c>
      <c r="C5" s="3550"/>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2"/>
      <c r="B6" s="3550" t="s">
        <v>1111</v>
      </c>
      <c r="C6" s="3550"/>
      <c r="D6" s="45">
        <f>ROUND($D$3*E6/$E$3,2)</f>
        <v>0</v>
      </c>
      <c r="E6" s="46">
        <f>E3-E5</f>
        <v>87.01</v>
      </c>
      <c r="F6" s="2657"/>
      <c r="G6" s="2651" t="s">
        <v>1112</v>
      </c>
      <c r="H6" s="1145" t="s">
        <v>1113</v>
      </c>
      <c r="I6" s="2652" t="e">
        <f>ROUND(F31/D31,2)</f>
        <v>#DIV/0!</v>
      </c>
      <c r="J6" s="2657"/>
      <c r="K6" s="2657"/>
      <c r="L6" s="2657"/>
      <c r="M6" s="2657"/>
      <c r="N6" s="2657"/>
      <c r="O6" s="2657"/>
      <c r="P6" s="2657"/>
    </row>
    <row r="7" spans="1:16" ht="15.75" thickBot="1">
      <c r="A7" s="3542"/>
      <c r="B7" s="3543"/>
      <c r="C7" s="3544"/>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87.01</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87.01</v>
      </c>
      <c r="F16" s="2657"/>
      <c r="G16" s="2658"/>
      <c r="H16" s="1646" t="s">
        <v>1135</v>
      </c>
      <c r="I16" s="1647"/>
      <c r="J16" s="1138"/>
      <c r="K16" s="3539" t="s">
        <v>1135</v>
      </c>
      <c r="L16" s="3540"/>
      <c r="M16" s="3540"/>
      <c r="N16" s="3540"/>
      <c r="O16" s="3540"/>
      <c r="P16" s="3541"/>
    </row>
    <row r="17" spans="1:19" ht="15">
      <c r="A17" s="1648" t="s">
        <v>1136</v>
      </c>
      <c r="B17" s="1649" t="s">
        <v>1137</v>
      </c>
      <c r="C17" s="1650" t="s">
        <v>1138</v>
      </c>
      <c r="D17" s="1651" t="s">
        <v>1126</v>
      </c>
      <c r="E17" s="1652" t="s">
        <v>1127</v>
      </c>
      <c r="F17" s="1653"/>
      <c r="G17" s="1654"/>
      <c r="H17" s="1655" t="s">
        <v>1139</v>
      </c>
      <c r="I17" s="1656" t="s">
        <v>1124</v>
      </c>
      <c r="J17" s="1138"/>
      <c r="K17" s="3536" t="s">
        <v>1140</v>
      </c>
      <c r="L17" s="3537"/>
      <c r="M17" s="3538"/>
      <c r="N17" s="3536" t="s">
        <v>1141</v>
      </c>
      <c r="O17" s="3537"/>
      <c r="P17" s="3538"/>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5" t="s">
        <v>1150</v>
      </c>
      <c r="N18" s="1040" t="s">
        <v>1148</v>
      </c>
      <c r="O18" s="1664" t="s">
        <v>1149</v>
      </c>
      <c r="P18" s="855" t="s">
        <v>1150</v>
      </c>
      <c r="R18" s="1025" t="s">
        <v>1151</v>
      </c>
      <c r="S18" s="1025" t="s">
        <v>1152</v>
      </c>
    </row>
    <row r="19" spans="1:19">
      <c r="A19" s="1665"/>
      <c r="B19" s="47" t="s">
        <v>1125</v>
      </c>
      <c r="C19" s="3415" t="s">
        <v>3386</v>
      </c>
      <c r="D19" s="45">
        <f>ROUND($D$3*E19/$E$3,2)</f>
        <v>0</v>
      </c>
      <c r="E19" s="53">
        <f t="shared" ref="E19:E26" si="1">SUM(F19:G19)</f>
        <v>87.01</v>
      </c>
      <c r="F19" s="2793">
        <f>'数据-基础表'!I13</f>
        <v>87.01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87.01</v>
      </c>
    </row>
    <row r="20" spans="1:19">
      <c r="A20" s="1668"/>
      <c r="B20" s="47" t="s">
        <v>1153</v>
      </c>
      <c r="C20" s="3415"/>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1153</v>
      </c>
      <c r="C21" s="3415"/>
      <c r="D21" s="45">
        <f t="shared" si="6"/>
        <v>0</v>
      </c>
      <c r="E21" s="53">
        <f t="shared" si="1"/>
        <v>0</v>
      </c>
      <c r="F21" s="2793"/>
      <c r="G21" s="2794"/>
      <c r="H21" s="670">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70">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70">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70">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5" t="s">
        <v>1158</v>
      </c>
      <c r="D31" s="676">
        <f>D27+D30</f>
        <v>0</v>
      </c>
      <c r="E31" s="676">
        <f>E27+E30</f>
        <v>87.01</v>
      </c>
      <c r="F31" s="677">
        <f>F27+F30</f>
        <v>87.01</v>
      </c>
      <c r="G31" s="678">
        <f>G27+G30</f>
        <v>0</v>
      </c>
      <c r="H31" s="2657"/>
      <c r="I31" s="2657"/>
      <c r="J31" s="2657"/>
      <c r="K31" s="2657"/>
      <c r="L31" s="2657"/>
      <c r="M31" s="2657"/>
      <c r="N31" s="2657"/>
      <c r="O31" s="2657"/>
      <c r="P31" s="2657"/>
    </row>
    <row r="32" spans="1:19">
      <c r="A32" s="1641"/>
      <c r="B32" s="1641" t="s">
        <v>1159</v>
      </c>
      <c r="C32" s="1641"/>
      <c r="D32" s="1641"/>
      <c r="E32" s="1052">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90"/>
      <c r="D1" s="1678"/>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7" customFormat="1" ht="15.75" thickBot="1">
      <c r="A2" s="1681" t="s">
        <v>1161</v>
      </c>
      <c r="B2" s="1044">
        <f>项目基本情况!D3</f>
        <v>45322</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3387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8">
        <f>SUMIF(项目基本情况!C$12:I$12,C6,项目基本情况!C$14:I$14)</f>
        <v>40</v>
      </c>
      <c r="E6" s="857">
        <f>IF(B6="","",SUMIF(项目基本情况!C$12:I$12,C6,项目基本情况!C$13:I$13))</f>
        <v>56557</v>
      </c>
      <c r="F6" s="64">
        <f>SUMIF(项目基本情况!C$12:I$12,C6,项目基本情况!C$15:I$15)</f>
        <v>30.78</v>
      </c>
      <c r="G6" s="65">
        <f>IF(ISERROR(ROUND(POWER(1+H6,D6-F6)*(POWER(1+H6,F6)-1)/(POWER(1+H6,D6)-1),3)),0,ROUND(POWER(1+H6,D6-F6)*(POWER(1+H6,F6)-1)/(POWER(1+H6,D6)-1),3))</f>
        <v>0.90600000000000003</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5</v>
      </c>
      <c r="V6" s="70">
        <v>2.5000000000000001E-2</v>
      </c>
      <c r="W6" s="70">
        <v>0.1</v>
      </c>
      <c r="X6" s="1039"/>
      <c r="Y6" s="71">
        <f>N6</f>
        <v>0.92</v>
      </c>
      <c r="Z6" s="72"/>
      <c r="AA6" s="66"/>
      <c r="AB6" s="66"/>
      <c r="AC6" s="1039"/>
      <c r="AD6" s="73"/>
      <c r="AE6" s="1040">
        <f ca="1">IF(AN6="",0,SUMIF(INDIRECT("'"&amp;AN6&amp;"'"&amp;"!E:E"),$AE$5,INDIRECT("'"&amp;AN6&amp;"'"&amp;"!F:F")))</f>
        <v>30.78</v>
      </c>
      <c r="AF6" s="1346"/>
      <c r="AG6" s="138">
        <f>IF(AF6="",0,AE6-AF6)</f>
        <v>0</v>
      </c>
      <c r="AH6" s="74"/>
      <c r="AI6" s="76">
        <v>365</v>
      </c>
      <c r="AJ6" s="77"/>
      <c r="AK6" s="78">
        <v>5.0000000000000001E-3</v>
      </c>
      <c r="AL6" s="79">
        <v>1.5E-3</v>
      </c>
      <c r="AM6" s="80">
        <v>5.0000000000000001E-3</v>
      </c>
      <c r="AN6" s="1713" t="s">
        <v>3388</v>
      </c>
      <c r="AO6" s="52">
        <f ca="1">SUMIF(INDIRECT("'"&amp;AN6&amp;"'"&amp;"!A:A"),"总价",INDIRECT("'"&amp;AN6&amp;"'"&amp;"!B:B"))</f>
        <v>227.5557</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7"/>
      <c r="V8" s="735"/>
      <c r="W8" s="735"/>
      <c r="X8" s="1039"/>
      <c r="Y8" s="71"/>
      <c r="Z8" s="72"/>
      <c r="AA8" s="66"/>
      <c r="AB8" s="66"/>
      <c r="AC8" s="1039"/>
      <c r="AD8" s="73"/>
      <c r="AE8" s="1040">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5"/>
      <c r="AJ14" s="704"/>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5"/>
      <c r="AJ15" s="704"/>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0.90600000000000003</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ROUND(B28*K16,0)</f>
        <v>17402</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7">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4"/>
  </cols>
  <sheetData>
    <row r="1" spans="1:29" s="2455" customFormat="1" ht="18.75" thickBot="1">
      <c r="A1" s="3551" t="s">
        <v>2281</v>
      </c>
      <c r="B1" s="3552"/>
      <c r="C1" s="3552"/>
      <c r="D1" s="3552"/>
      <c r="E1" s="3552"/>
      <c r="F1" s="3552"/>
      <c r="G1" s="3552"/>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1"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39"/>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F10" sqref="F10"/>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447.64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45322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1456</v>
      </c>
      <c r="C5" s="2510">
        <f ca="1">IF(B5=D14,结果表!H102,ROUND(B5*10000/$B$1,0))</f>
        <v>32526</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典型户型修正!B24+典型户型修正!B28</f>
        <v>228.20999999999998</v>
      </c>
      <c r="C14" s="2516"/>
      <c r="D14" s="2516">
        <f ca="1">典型户型修正!S24+典型户型修正!S28</f>
        <v>880</v>
      </c>
      <c r="E14" s="2516">
        <f ca="1">ROUND(D14*10000/B14,0)</f>
        <v>38561</v>
      </c>
      <c r="F14" s="2516" t="e">
        <f ca="1">ROUND(D14*10000/C14,0)</f>
        <v>#DIV/0!</v>
      </c>
      <c r="G14" s="2516"/>
      <c r="H14" s="2516"/>
      <c r="I14" s="2516"/>
      <c r="J14" s="2685"/>
      <c r="K14" s="2686"/>
    </row>
    <row r="15" spans="1:11" ht="16.5">
      <c r="A15" s="2515" t="s">
        <v>649</v>
      </c>
      <c r="B15" s="2517">
        <f>[2]系统读取表!$B$14</f>
        <v>219.43</v>
      </c>
      <c r="C15" s="2517"/>
      <c r="D15" s="2517">
        <f ca="1">[2]系统读取表!$D$14</f>
        <v>576</v>
      </c>
      <c r="E15" s="2516">
        <f t="shared" ref="E15:E23" ca="1" si="0">ROUND(D15*10000/B15,0)</f>
        <v>26250</v>
      </c>
      <c r="F15" s="2516" t="e">
        <f t="shared" ref="F15:F23" ca="1"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H27" sqref="H27"/>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2" t="s">
        <v>1265</v>
      </c>
      <c r="B4" s="1753" t="s">
        <v>1266</v>
      </c>
      <c r="C4" s="1754" t="s">
        <v>3416</v>
      </c>
      <c r="D4" s="1754" t="s">
        <v>3388</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c r="D5" s="3590"/>
      <c r="E5" s="131" t="s">
        <v>1269</v>
      </c>
      <c r="F5" s="1755"/>
      <c r="G5" s="1755"/>
      <c r="H5" s="1755"/>
      <c r="I5" s="1371"/>
    </row>
    <row r="6" spans="1:12" ht="12.75">
      <c r="A6" s="3567"/>
      <c r="B6" s="3554"/>
      <c r="C6" s="3571"/>
      <c r="D6" s="3590"/>
      <c r="E6" s="131" t="s">
        <v>1270</v>
      </c>
      <c r="F6" s="1755"/>
      <c r="G6" s="1755"/>
      <c r="H6" s="1755"/>
      <c r="I6" s="1371"/>
    </row>
    <row r="7" spans="1:12" ht="12.75">
      <c r="A7" s="3567"/>
      <c r="B7" s="3554"/>
      <c r="C7" s="3572"/>
      <c r="D7" s="3590"/>
      <c r="E7" s="131" t="s">
        <v>1271</v>
      </c>
      <c r="F7" s="1755"/>
      <c r="G7" s="1755"/>
      <c r="H7" s="1755"/>
      <c r="I7" s="1371"/>
    </row>
    <row r="8" spans="1:12" ht="12.75">
      <c r="A8" s="3567" t="s">
        <v>1272</v>
      </c>
      <c r="B8" s="3554">
        <v>15</v>
      </c>
      <c r="C8" s="3570"/>
      <c r="D8" s="3590"/>
      <c r="E8" s="131" t="s">
        <v>1273</v>
      </c>
      <c r="F8" s="1755"/>
      <c r="G8" s="1755"/>
      <c r="H8" s="1755"/>
      <c r="I8" s="1371"/>
    </row>
    <row r="9" spans="1:12" ht="12.75">
      <c r="A9" s="3567"/>
      <c r="B9" s="3554"/>
      <c r="C9" s="3572"/>
      <c r="D9" s="3590"/>
      <c r="E9" s="131" t="s">
        <v>1274</v>
      </c>
      <c r="F9" s="1755"/>
      <c r="G9" s="1755"/>
      <c r="H9" s="1755"/>
      <c r="I9" s="1371"/>
    </row>
    <row r="10" spans="1:12" ht="12.75">
      <c r="A10" s="3567" t="s">
        <v>1275</v>
      </c>
      <c r="B10" s="3554">
        <v>15</v>
      </c>
      <c r="C10" s="3570"/>
      <c r="D10" s="3590"/>
      <c r="E10" s="131" t="s">
        <v>1276</v>
      </c>
      <c r="F10" s="1755"/>
      <c r="G10" s="1755"/>
      <c r="H10" s="1755"/>
      <c r="I10" s="1371"/>
    </row>
    <row r="11" spans="1:12" ht="12.75">
      <c r="A11" s="3567"/>
      <c r="B11" s="3554"/>
      <c r="C11" s="3572"/>
      <c r="D11" s="3590"/>
      <c r="E11" s="131" t="s">
        <v>1277</v>
      </c>
      <c r="F11" s="1755"/>
      <c r="G11" s="1755"/>
      <c r="H11" s="1755"/>
      <c r="I11" s="1371"/>
    </row>
    <row r="12" spans="1:12" ht="12.75">
      <c r="A12" s="3567" t="s">
        <v>1278</v>
      </c>
      <c r="B12" s="3554">
        <v>15</v>
      </c>
      <c r="C12" s="3570"/>
      <c r="D12" s="3590"/>
      <c r="E12" s="131" t="s">
        <v>1279</v>
      </c>
      <c r="F12" s="1755"/>
      <c r="G12" s="1755"/>
      <c r="H12" s="1755"/>
      <c r="I12" s="1371"/>
    </row>
    <row r="13" spans="1:12" ht="12.75">
      <c r="A13" s="3567"/>
      <c r="B13" s="3554"/>
      <c r="C13" s="3572"/>
      <c r="D13" s="3590"/>
      <c r="E13" s="131" t="s">
        <v>1280</v>
      </c>
      <c r="F13" s="1755"/>
      <c r="G13" s="1755"/>
      <c r="H13" s="1755"/>
      <c r="I13" s="1371"/>
    </row>
    <row r="14" spans="1:12" ht="12.75">
      <c r="A14" s="3567" t="s">
        <v>1281</v>
      </c>
      <c r="B14" s="3554">
        <v>30</v>
      </c>
      <c r="C14" s="3570">
        <v>7</v>
      </c>
      <c r="D14" s="3590">
        <v>3</v>
      </c>
      <c r="E14" s="131" t="s">
        <v>1282</v>
      </c>
      <c r="F14" s="1755"/>
      <c r="G14" s="1755"/>
      <c r="H14" s="1755"/>
      <c r="I14" s="1371"/>
    </row>
    <row r="15" spans="1:12" ht="12.75">
      <c r="A15" s="3567"/>
      <c r="B15" s="3554"/>
      <c r="C15" s="3571"/>
      <c r="D15" s="3590"/>
      <c r="E15" s="131" t="s">
        <v>1283</v>
      </c>
      <c r="F15" s="1755"/>
      <c r="G15" s="1755"/>
      <c r="H15" s="1755"/>
      <c r="I15" s="1371"/>
    </row>
    <row r="16" spans="1:12" ht="12.75">
      <c r="A16" s="3567"/>
      <c r="B16" s="3554"/>
      <c r="C16" s="3572"/>
      <c r="D16" s="3590"/>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77" t="s">
        <v>2126</v>
      </c>
      <c r="F18" s="3578"/>
      <c r="G18" s="3578"/>
      <c r="H18" s="3578"/>
      <c r="I18" s="3578"/>
      <c r="K18" s="302" t="s">
        <v>1289</v>
      </c>
      <c r="L18" s="302">
        <f>IF(C1="",'数据-汇总表'!E3,SUMIF(项目类型,C1,'数据-汇总表'!E17:E26)+SUMIF(项目类型,C1,'数据-汇总表'!I17:I26))</f>
        <v>87.01</v>
      </c>
      <c r="M18" s="302">
        <f>IF(C1="",'数据-汇总表'!E3,SUMIF(项目类型,C1,'数据-汇总表'!E17:E26))</f>
        <v>87.01</v>
      </c>
    </row>
    <row r="19" spans="1:36" ht="15">
      <c r="A19" s="1759" t="s">
        <v>1290</v>
      </c>
      <c r="B19" s="1760" t="s">
        <v>1291</v>
      </c>
      <c r="C19" s="134">
        <f ca="1">SUMIF(INDIRECT("'"&amp;C4&amp;"'"&amp;"!A:A"),结果表!B19,INDIRECT("'"&amp;C4&amp;"'"&amp;"!B:B"))</f>
        <v>394.12920000000003</v>
      </c>
      <c r="D19" s="135">
        <f ca="1">SUMIF(INDIRECT("'"&amp;D4&amp;"'"&amp;"!A:A"),结果表!B19,INDIRECT("'"&amp;D4&amp;"'"&amp;"!B:B"))</f>
        <v>227.5557</v>
      </c>
      <c r="E19" s="1759" t="s">
        <v>1292</v>
      </c>
      <c r="F19" s="1760" t="s">
        <v>1291</v>
      </c>
      <c r="G19" s="136">
        <f ca="1">ROUND(C19*$C$18+D19*$D$18,0)</f>
        <v>344</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45297</v>
      </c>
      <c r="D20" s="138">
        <f ca="1">SUMIF(INDIRECT("'"&amp;D4&amp;"'"&amp;"!A:A"),结果表!B20,INDIRECT("'"&amp;D4&amp;"'"&amp;"!B:B"))</f>
        <v>26153</v>
      </c>
      <c r="E20" s="1762"/>
      <c r="F20" s="1025" t="s">
        <v>1295</v>
      </c>
      <c r="G20" s="139">
        <f ca="1">ROUND(C20*$C$18+D20*$D$18,0)</f>
        <v>39554</v>
      </c>
      <c r="H20" s="808" t="s">
        <v>1296</v>
      </c>
      <c r="I20" s="129"/>
    </row>
    <row r="21" spans="1:36" ht="15" customHeight="1" thickBot="1">
      <c r="A21" s="828"/>
      <c r="B21" s="1763" t="s">
        <v>1297</v>
      </c>
      <c r="C21" s="719" t="e">
        <f ca="1">ROUND(C19*10000/L19,0)</f>
        <v>#DIV/0!</v>
      </c>
      <c r="D21" s="720" t="e">
        <f ca="1">ROUND(D19*10000/L19,0)</f>
        <v>#DIV/0!</v>
      </c>
      <c r="E21" s="828"/>
      <c r="F21" s="1763" t="s">
        <v>1297</v>
      </c>
      <c r="G21" s="140" t="e">
        <f ca="1">ROUND(G19*10000/L19,0)</f>
        <v>#DIV/0!</v>
      </c>
      <c r="H21" s="1764" t="s">
        <v>1296</v>
      </c>
      <c r="I21" s="129"/>
    </row>
    <row r="22" spans="1:36" ht="15" thickBot="1">
      <c r="A22" s="1686" t="s">
        <v>1298</v>
      </c>
      <c r="B22" s="1765"/>
      <c r="C22" s="1766"/>
      <c r="D22" s="721">
        <f ca="1">IF(C19&lt;D19,D19/C19-1,C19/D19-1)</f>
        <v>0.73201198651582899</v>
      </c>
      <c r="E22" s="129"/>
      <c r="F22" s="129"/>
      <c r="G22" s="129"/>
      <c r="H22" s="129"/>
      <c r="I22" s="129"/>
    </row>
    <row r="23" spans="1:36" ht="13.5" thickBot="1">
      <c r="A23" s="1745"/>
      <c r="B23" s="1745"/>
      <c r="C23" s="1745"/>
      <c r="D23" s="1745"/>
      <c r="E23" s="129"/>
      <c r="F23" s="129"/>
      <c r="G23" s="129"/>
      <c r="H23" s="129"/>
      <c r="I23" s="129"/>
    </row>
    <row r="24" spans="1:36" ht="14.25">
      <c r="A24" s="3561" t="s">
        <v>1299</v>
      </c>
      <c r="B24" s="1760" t="s">
        <v>1291</v>
      </c>
      <c r="C24" s="136">
        <f>IF(B30=0,0,D30)</f>
        <v>0</v>
      </c>
      <c r="D24" s="1767"/>
      <c r="E24" s="129"/>
      <c r="F24" s="129"/>
      <c r="G24" s="129"/>
      <c r="H24" s="129"/>
      <c r="I24" s="129"/>
    </row>
    <row r="25" spans="1:36" ht="14.25">
      <c r="A25" s="3562"/>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39554</v>
      </c>
      <c r="D32" s="1773"/>
      <c r="E32" s="129"/>
      <c r="F32" s="129"/>
      <c r="G32" s="129"/>
      <c r="H32" s="129"/>
      <c r="I32" s="129"/>
    </row>
    <row r="33" spans="1:15" ht="15">
      <c r="A33" s="786"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1" t="s">
        <v>1309</v>
      </c>
      <c r="F34" s="1329"/>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81" t="s">
        <v>1312</v>
      </c>
      <c r="B36" s="1785" t="s">
        <v>1313</v>
      </c>
      <c r="C36" s="145"/>
      <c r="D36" s="1786"/>
      <c r="E36" s="1787"/>
      <c r="F36" s="1788"/>
      <c r="G36" s="129"/>
      <c r="H36" s="129"/>
      <c r="I36" s="129"/>
    </row>
    <row r="37" spans="1:15" ht="15.75" thickBot="1">
      <c r="A37" s="3582"/>
      <c r="B37" s="1672" t="s">
        <v>1314</v>
      </c>
      <c r="C37" s="147"/>
      <c r="D37" s="1138"/>
      <c r="E37" s="1138"/>
      <c r="F37" s="1788"/>
      <c r="G37" s="129"/>
      <c r="H37" s="129"/>
      <c r="I37" s="129"/>
    </row>
    <row r="38" spans="1:15" ht="15.75" thickBot="1">
      <c r="A38" s="3583"/>
      <c r="B38" s="1789" t="s">
        <v>1315</v>
      </c>
      <c r="C38" s="674"/>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8" t="s">
        <v>1326</v>
      </c>
      <c r="B45" s="3559"/>
      <c r="C45" s="3560"/>
      <c r="D45" s="155" t="e">
        <f ca="1">ROUND(H101*F45,0)</f>
        <v>#REF!</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4"/>
      <c r="I46" s="159"/>
      <c r="J46" s="2521">
        <v>1</v>
      </c>
      <c r="K46" s="3617" t="s">
        <v>1331</v>
      </c>
      <c r="L46" s="3617"/>
      <c r="M46" s="3637"/>
      <c r="N46" s="3637"/>
      <c r="O46" s="3637"/>
    </row>
    <row r="47" spans="1:15" ht="12" customHeight="1">
      <c r="A47" s="160" t="s">
        <v>1332</v>
      </c>
      <c r="B47" s="161"/>
      <c r="C47" s="162"/>
      <c r="D47" s="1086" t="s">
        <v>1333</v>
      </c>
      <c r="E47" s="302" t="s">
        <v>1334</v>
      </c>
      <c r="F47" s="163" t="s">
        <v>1335</v>
      </c>
      <c r="G47" s="2544" t="s">
        <v>1336</v>
      </c>
      <c r="H47" s="2545"/>
      <c r="I47" s="159"/>
      <c r="J47" s="2521">
        <v>2</v>
      </c>
      <c r="K47" s="3617" t="s">
        <v>1337</v>
      </c>
      <c r="L47" s="3617"/>
      <c r="M47" s="3638">
        <f>'数据-取费表'!B2</f>
        <v>45322</v>
      </c>
      <c r="N47" s="3638"/>
      <c r="O47" s="3638"/>
    </row>
    <row r="48" spans="1:15" ht="25.5">
      <c r="A48" s="3586" t="s">
        <v>1338</v>
      </c>
      <c r="B48" s="3569"/>
      <c r="C48" s="3569"/>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7" t="s">
        <v>1340</v>
      </c>
      <c r="L48" s="3617"/>
      <c r="M48" s="3639" t="e">
        <f ca="1">H101</f>
        <v>#REF!</v>
      </c>
      <c r="N48" s="3639"/>
      <c r="O48" s="3639"/>
    </row>
    <row r="49" spans="1:35" ht="25.5" customHeight="1">
      <c r="A49" s="2331" t="s">
        <v>1341</v>
      </c>
      <c r="B49" s="3553" t="s">
        <v>1342</v>
      </c>
      <c r="C49" s="3553"/>
      <c r="D49" s="1588">
        <v>0</v>
      </c>
      <c r="E49" s="324" t="s">
        <v>1343</v>
      </c>
      <c r="F49" s="2422" t="s">
        <v>28</v>
      </c>
      <c r="G49" s="3623"/>
      <c r="H49" s="2308" t="s">
        <v>2129</v>
      </c>
      <c r="I49" s="2309"/>
      <c r="J49" s="2521">
        <v>4</v>
      </c>
      <c r="K49" s="3617" t="str">
        <f>IF(项目基本情况!E8="房地产抵押价值","房地产抵押价值","抵押担保权已注销时的房地产抵押价值")</f>
        <v>房地产抵押价值</v>
      </c>
      <c r="L49" s="3617"/>
      <c r="M49" s="3639" t="str">
        <f ca="1">IF(项目基本情况!E8="房地产抵押价值",H107,H109)</f>
        <v>——</v>
      </c>
      <c r="N49" s="3639"/>
      <c r="O49" s="3639"/>
    </row>
    <row r="50" spans="1:35" ht="25.5" customHeight="1">
      <c r="A50" s="2549"/>
      <c r="B50" s="3553" t="s">
        <v>1344</v>
      </c>
      <c r="C50" s="3553"/>
      <c r="D50" s="2550"/>
      <c r="E50" s="332"/>
      <c r="F50" s="2422"/>
      <c r="G50" s="3624"/>
      <c r="H50" s="2310" t="s">
        <v>2130</v>
      </c>
      <c r="I50" s="2309"/>
      <c r="J50" s="3636" t="s">
        <v>1345</v>
      </c>
      <c r="K50" s="3636"/>
      <c r="L50" s="3636"/>
      <c r="M50" s="3636"/>
      <c r="N50" s="3636"/>
      <c r="O50" s="3636"/>
    </row>
    <row r="51" spans="1:35" ht="20.45" customHeight="1">
      <c r="A51" s="2551"/>
      <c r="B51" s="3553" t="s">
        <v>1346</v>
      </c>
      <c r="C51" s="3553"/>
      <c r="D51" s="1086"/>
      <c r="E51" s="327"/>
      <c r="F51" s="2422"/>
      <c r="G51" s="3625"/>
      <c r="H51" s="2310" t="s">
        <v>2131</v>
      </c>
      <c r="I51" s="2309"/>
      <c r="J51" s="2522" t="s">
        <v>1347</v>
      </c>
      <c r="K51" s="3617" t="s">
        <v>1348</v>
      </c>
      <c r="L51" s="3617"/>
      <c r="M51" s="2522" t="s">
        <v>1349</v>
      </c>
      <c r="N51" s="2522" t="s">
        <v>1350</v>
      </c>
      <c r="O51" s="2522" t="s">
        <v>1351</v>
      </c>
    </row>
    <row r="52" spans="1:35" ht="24" customHeight="1">
      <c r="A52" s="2333" t="s">
        <v>1352</v>
      </c>
      <c r="B52" s="3553" t="s">
        <v>1353</v>
      </c>
      <c r="C52" s="3553"/>
      <c r="D52" s="1086" t="e">
        <f ca="1">ROUND(D45*'数据-取费表'!B41/(1+'数据-取费表'!C42),0)</f>
        <v>#REF!</v>
      </c>
      <c r="E52" s="2332" t="s">
        <v>1354</v>
      </c>
      <c r="F52" s="2552">
        <f>'数据-取费表'!B41</f>
        <v>5.6000000000000001E-2</v>
      </c>
      <c r="G52" s="2553"/>
      <c r="H52" s="2542"/>
      <c r="I52" s="1805"/>
      <c r="J52" s="2521">
        <v>1</v>
      </c>
      <c r="K52" s="3618" t="s">
        <v>1355</v>
      </c>
      <c r="L52" s="3618"/>
      <c r="M52" s="2523" t="b">
        <f>D48</f>
        <v>0</v>
      </c>
      <c r="N52" s="2521" t="str">
        <f>E48</f>
        <v>销售额×税（费）率</v>
      </c>
      <c r="O52" s="2524">
        <f>F48</f>
        <v>5.6000000000000001E-2</v>
      </c>
    </row>
    <row r="53" spans="1:35" ht="12" customHeight="1">
      <c r="A53" s="2333" t="s">
        <v>1356</v>
      </c>
      <c r="B53" s="3579" t="s">
        <v>2286</v>
      </c>
      <c r="C53" s="3580"/>
      <c r="D53" s="1086" t="e">
        <f ca="1">ROUND(D45*'数据-取费表'!B41/(1+'数据-取费表'!C42),0)</f>
        <v>#REF!</v>
      </c>
      <c r="E53" s="2332" t="s">
        <v>1354</v>
      </c>
      <c r="F53" s="2552">
        <f>'数据-取费表'!B41</f>
        <v>5.6000000000000001E-2</v>
      </c>
      <c r="G53" s="2553"/>
      <c r="H53" s="2542"/>
      <c r="I53" s="1805"/>
      <c r="J53" s="2521">
        <v>2</v>
      </c>
      <c r="K53" s="3618" t="s">
        <v>1357</v>
      </c>
      <c r="L53" s="3618"/>
      <c r="M53" s="2523" t="e">
        <f t="shared" ref="M53:O54" ca="1" si="0">D55</f>
        <v>#REF!</v>
      </c>
      <c r="N53" s="2521" t="str">
        <f t="shared" si="0"/>
        <v>销售额×税（费）率</v>
      </c>
      <c r="O53" s="2524" t="str">
        <f t="shared" si="0"/>
        <v>免征</v>
      </c>
    </row>
    <row r="54" spans="1:35" ht="12" customHeight="1">
      <c r="A54" s="2333" t="s">
        <v>1358</v>
      </c>
      <c r="B54" s="3579" t="s">
        <v>2287</v>
      </c>
      <c r="C54" s="3580"/>
      <c r="D54" s="1086" t="e">
        <f ca="1">C68</f>
        <v>#REF!</v>
      </c>
      <c r="E54" s="327" t="s">
        <v>1359</v>
      </c>
      <c r="F54" s="2552">
        <f>'数据-取费表'!B41</f>
        <v>5.6000000000000001E-2</v>
      </c>
      <c r="G54" s="2553"/>
      <c r="H54" s="2554"/>
      <c r="I54" s="1805"/>
      <c r="J54" s="2521">
        <v>3</v>
      </c>
      <c r="K54" s="3618" t="s">
        <v>1360</v>
      </c>
      <c r="L54" s="3618"/>
      <c r="M54" s="2523" t="e">
        <f t="shared" ca="1" si="0"/>
        <v>#REF!</v>
      </c>
      <c r="N54" s="2521" t="str">
        <f t="shared" si="0"/>
        <v>增值额×税（费）率</v>
      </c>
      <c r="O54" s="2525" t="str">
        <f t="shared" si="0"/>
        <v>免征</v>
      </c>
    </row>
    <row r="55" spans="1:35" ht="24" customHeight="1">
      <c r="A55" s="3568" t="s">
        <v>1361</v>
      </c>
      <c r="B55" s="3569"/>
      <c r="C55" s="3569"/>
      <c r="D55" s="2322" t="e">
        <f ca="1">IF(H55="个人住宅",0,ROUND(D45*I55,0))</f>
        <v>#REF!</v>
      </c>
      <c r="E55" s="2332" t="s">
        <v>1362</v>
      </c>
      <c r="F55" s="2552" t="str">
        <f>IF(H55="正常",I55,"免征")</f>
        <v>免征</v>
      </c>
      <c r="G55" s="2553"/>
      <c r="H55" s="2548"/>
      <c r="I55" s="165">
        <f>'数据-取费表'!B49</f>
        <v>5.0000000000000001E-4</v>
      </c>
      <c r="J55" s="2521">
        <f>IF(H59="非个人房产","",4)</f>
        <v>4</v>
      </c>
      <c r="K55" s="3618" t="str">
        <f>IF(H59="非个人房产","——","个人所得税")</f>
        <v>个人所得税</v>
      </c>
      <c r="L55" s="3618"/>
      <c r="M55" s="2526" t="e">
        <f ca="1">D59</f>
        <v>#REF!</v>
      </c>
      <c r="N55" s="2038" t="str">
        <f>E59</f>
        <v>差额计税</v>
      </c>
      <c r="O55" s="2527">
        <f>F59</f>
        <v>0.01</v>
      </c>
    </row>
    <row r="56" spans="1:35" ht="24.75">
      <c r="A56" s="3568" t="s">
        <v>1363</v>
      </c>
      <c r="B56" s="3569"/>
      <c r="C56" s="3569"/>
      <c r="D56" s="2322" t="e">
        <f ca="1">IF(H56="个人住宅",D57,D58)</f>
        <v>#REF!</v>
      </c>
      <c r="E56" s="2332" t="s">
        <v>1364</v>
      </c>
      <c r="F56" s="2552" t="str">
        <f>IF(H56="正常",F58,"免征")</f>
        <v>免征</v>
      </c>
      <c r="G56" s="2555" t="s">
        <v>1365</v>
      </c>
      <c r="H56" s="2556"/>
      <c r="I56" s="1806"/>
      <c r="J56" s="2521" t="str">
        <f>IF(项目基本情况!K6="上海银行",IF(J55="",4,J55+1),"")</f>
        <v/>
      </c>
      <c r="K56" s="3641" t="str">
        <f>IF(项目基本情况!K6="上海银行","其他处置费用","")</f>
        <v/>
      </c>
      <c r="L56" s="3642"/>
      <c r="M56" s="2523" t="str">
        <f>IF(项目基本情况!K6="上海银行",M69,"")</f>
        <v/>
      </c>
      <c r="N56" s="3641" t="str">
        <f>IF(项目基本情况!K6="上海银行","包含处置中涉及的律师、诉讼、拍卖、评估等费用","")</f>
        <v/>
      </c>
      <c r="O56" s="3644"/>
    </row>
    <row r="57" spans="1:35" ht="12.75">
      <c r="A57" s="2333" t="s">
        <v>1341</v>
      </c>
      <c r="B57" s="3579" t="s">
        <v>1366</v>
      </c>
      <c r="C57" s="3580"/>
      <c r="D57" s="1588">
        <v>0</v>
      </c>
      <c r="E57" s="324" t="s">
        <v>1343</v>
      </c>
      <c r="F57" s="302"/>
      <c r="G57" s="2553"/>
      <c r="H57" s="2557"/>
      <c r="I57" s="1806"/>
      <c r="J57" s="3618">
        <f>IF(AND(J55="",J56=""),4,IF(项目基本情况!K6="上海银行",结果表!J56+1,结果表!J55+1))</f>
        <v>5</v>
      </c>
      <c r="K57" s="3618" t="s">
        <v>1367</v>
      </c>
      <c r="L57" s="2528" t="s">
        <v>1368</v>
      </c>
      <c r="M57" s="2529"/>
      <c r="N57" s="2530">
        <f ca="1">SUMIF(M52:M56,"&lt;9e307")</f>
        <v>0</v>
      </c>
      <c r="O57" s="2531"/>
      <c r="P57" s="2688" t="e">
        <f ca="1">N57/M49</f>
        <v>#VALUE!</v>
      </c>
    </row>
    <row r="58" spans="1:35" ht="24.75">
      <c r="A58" s="2333" t="s">
        <v>1352</v>
      </c>
      <c r="B58" s="3579" t="s">
        <v>1369</v>
      </c>
      <c r="C58" s="3553"/>
      <c r="D58" s="2322" t="e">
        <f ca="1">IF(H58="转让取得",C81,C97)</f>
        <v>#REF!</v>
      </c>
      <c r="E58" s="2332" t="s">
        <v>1364</v>
      </c>
      <c r="F58" s="302" t="s">
        <v>28</v>
      </c>
      <c r="G58" s="2553"/>
      <c r="H58" s="2556"/>
      <c r="I58" s="1806"/>
      <c r="J58" s="3618"/>
      <c r="K58" s="3618"/>
      <c r="L58" s="2528" t="s">
        <v>1370</v>
      </c>
      <c r="M58" s="2532"/>
      <c r="N58" s="2533" t="str">
        <f ca="1">NUMBERSTRING(INT(N57*10000),2)&amp;"元整"</f>
        <v>零元整</v>
      </c>
      <c r="O58" s="2534"/>
    </row>
    <row r="59" spans="1:35" ht="24.75" thickBot="1">
      <c r="A59" s="3621" t="s">
        <v>1371</v>
      </c>
      <c r="B59" s="3622"/>
      <c r="C59" s="3622"/>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2132</v>
      </c>
      <c r="J59" s="3619">
        <f>J57+1</f>
        <v>6</v>
      </c>
      <c r="K59" s="3618" t="s">
        <v>1372</v>
      </c>
      <c r="L59" s="2521" t="s">
        <v>1368</v>
      </c>
      <c r="M59" s="2535"/>
      <c r="N59" s="2536" t="e">
        <f ca="1">M49-N57</f>
        <v>#VALUE!</v>
      </c>
      <c r="O59" s="2537"/>
    </row>
    <row r="60" spans="1:35" ht="12" customHeight="1">
      <c r="A60" s="1807"/>
      <c r="B60" s="1745"/>
      <c r="C60" s="1745"/>
      <c r="D60" s="1745"/>
      <c r="E60" s="1576"/>
      <c r="F60" s="1806"/>
      <c r="G60" s="1806"/>
      <c r="H60" s="1808"/>
      <c r="I60" s="129"/>
      <c r="J60" s="3620"/>
      <c r="K60" s="3618"/>
      <c r="L60" s="2528" t="s">
        <v>1370</v>
      </c>
      <c r="M60" s="2532"/>
      <c r="N60" s="2533" t="e">
        <f ca="1">NUMBERSTRING(INT(N59*10000),2)&amp;"元整"</f>
        <v>#VALUE!</v>
      </c>
      <c r="O60" s="2534"/>
    </row>
    <row r="61" spans="1:35" ht="13.5" thickBot="1">
      <c r="A61" s="3566" t="s">
        <v>1373</v>
      </c>
      <c r="B61" s="3566"/>
      <c r="C61" s="3566"/>
      <c r="D61" s="3566"/>
      <c r="E61" s="3566"/>
      <c r="F61" s="1806"/>
      <c r="G61" s="1806"/>
      <c r="H61" s="1808"/>
      <c r="I61" s="129"/>
      <c r="J61" s="2521">
        <f>J59+1</f>
        <v>7</v>
      </c>
      <c r="K61" s="3618" t="s">
        <v>1374</v>
      </c>
      <c r="L61" s="3618"/>
      <c r="M61" s="2538"/>
      <c r="N61" s="2539" t="e">
        <f ca="1">ROUND(N59*10000/'数据-汇总表'!E3,0)</f>
        <v>#VALUE!</v>
      </c>
      <c r="O61" s="2540"/>
    </row>
    <row r="62" spans="1:35" ht="12.75">
      <c r="A62" s="3584" t="s">
        <v>1375</v>
      </c>
      <c r="B62" s="3585"/>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43" t="s">
        <v>1379</v>
      </c>
      <c r="K63" s="1331" t="s">
        <v>1380</v>
      </c>
      <c r="L63" s="1331"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643"/>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643"/>
      <c r="K65" s="1331" t="s">
        <v>1385</v>
      </c>
      <c r="L65" s="1331"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643"/>
      <c r="K66" s="1331" t="s">
        <v>1387</v>
      </c>
      <c r="L66" s="1331"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43"/>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5.6000000000000001E-2</v>
      </c>
      <c r="E68" s="178"/>
      <c r="F68" s="1806"/>
      <c r="G68" s="1806"/>
      <c r="H68" s="1808"/>
      <c r="I68" s="129"/>
      <c r="J68" s="3643"/>
      <c r="K68" s="1331" t="s">
        <v>1392</v>
      </c>
      <c r="L68" s="1331"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43"/>
      <c r="K69" s="1331" t="s">
        <v>1393</v>
      </c>
      <c r="L69" s="1331"/>
      <c r="M69" s="302" t="e">
        <f ca="1">ROUND(SUM(M63:M68),0)</f>
        <v>#VALUE!</v>
      </c>
      <c r="N69" s="2543" t="e">
        <f ca="1">M69/M49</f>
        <v>#VALUE!</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05" t="s">
        <v>1394</v>
      </c>
      <c r="B70" s="3606"/>
      <c r="C70" s="3606"/>
      <c r="D70" s="3606"/>
      <c r="E70" s="3606"/>
      <c r="F70" s="3606"/>
      <c r="G70" s="3606"/>
      <c r="H70" s="360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4" t="s">
        <v>1375</v>
      </c>
      <c r="B71" s="3585"/>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9" t="s">
        <v>1402</v>
      </c>
      <c r="F76" s="3553"/>
      <c r="G76" s="3553"/>
      <c r="H76" s="360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6.000000000000001E-3</v>
      </c>
      <c r="E78" s="3563" t="s">
        <v>1406</v>
      </c>
      <c r="F78" s="3564"/>
      <c r="G78" s="3564"/>
      <c r="H78" s="357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5" t="s">
        <v>1410</v>
      </c>
      <c r="B83" s="3606"/>
      <c r="C83" s="3606"/>
      <c r="D83" s="3606"/>
      <c r="E83" s="3606"/>
      <c r="F83" s="3606"/>
      <c r="G83" s="3606"/>
      <c r="H83" s="360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4" t="s">
        <v>1375</v>
      </c>
      <c r="B84" s="3585"/>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5" t="s">
        <v>2124</v>
      </c>
      <c r="H90" s="3646"/>
      <c r="I90" s="1819"/>
      <c r="J90" s="2519" t="s">
        <v>2284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63" t="s">
        <v>1419</v>
      </c>
      <c r="F91" s="3564"/>
      <c r="G91" s="356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63" t="s">
        <v>1422</v>
      </c>
      <c r="F92" s="3564"/>
      <c r="G92" s="3564"/>
      <c r="H92" s="3573"/>
      <c r="I92" s="1819"/>
      <c r="J92" s="2520" t="s">
        <v>2285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6.000000000000001E-3</v>
      </c>
      <c r="E93" s="3563" t="s">
        <v>1406</v>
      </c>
      <c r="F93" s="3564"/>
      <c r="G93" s="3564"/>
      <c r="H93" s="357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74" t="s">
        <v>1426</v>
      </c>
      <c r="F94" s="3575"/>
      <c r="G94" s="3575"/>
      <c r="H94" s="3576"/>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3" t="str">
        <f>C4</f>
        <v>比较法-商业</v>
      </c>
      <c r="D101" s="2584" t="str">
        <f>D4</f>
        <v>收益法 (元)</v>
      </c>
      <c r="E101" s="3640" t="s">
        <v>1431</v>
      </c>
      <c r="F101" s="3597"/>
      <c r="G101" s="1825" t="s">
        <v>1432</v>
      </c>
      <c r="H101" s="2593" t="e">
        <f ca="1">H118</f>
        <v>#REF!</v>
      </c>
      <c r="I101" s="129"/>
    </row>
    <row r="102" spans="1:35" ht="18.75" customHeight="1">
      <c r="A102" s="3599" t="s">
        <v>1433</v>
      </c>
      <c r="B102" s="2582" t="s">
        <v>1432</v>
      </c>
      <c r="C102" s="2583">
        <f ca="1">IF(D32="楼面单价",ROUND(C19,0),C19)</f>
        <v>394.12920000000003</v>
      </c>
      <c r="D102" s="2584">
        <f ca="1">IF(D32="楼面单价",ROUND(D19,0),D19)</f>
        <v>227.5557</v>
      </c>
      <c r="E102" s="3640"/>
      <c r="F102" s="3597"/>
      <c r="G102" s="1825" t="s">
        <v>1434</v>
      </c>
      <c r="H102" s="2553" t="e">
        <f ca="1">I118</f>
        <v>#REF!</v>
      </c>
      <c r="I102" s="129"/>
    </row>
    <row r="103" spans="1:35" ht="42.75" customHeight="1">
      <c r="A103" s="3599"/>
      <c r="B103" s="2582" t="s">
        <v>1434</v>
      </c>
      <c r="C103" s="2585">
        <f ca="1">C20</f>
        <v>45297</v>
      </c>
      <c r="D103" s="2586">
        <f ca="1">D20</f>
        <v>26153</v>
      </c>
      <c r="E103" s="3634" t="s">
        <v>1435</v>
      </c>
      <c r="F103" s="3635"/>
      <c r="G103" s="1826" t="s">
        <v>1436</v>
      </c>
      <c r="H103" s="2593">
        <f>IF(D36="正常操作",H104+H105+H106,H105+H106)</f>
        <v>0</v>
      </c>
      <c r="I103" s="129"/>
    </row>
    <row r="104" spans="1:35" ht="18.75" customHeight="1">
      <c r="A104" s="3599"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00"/>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6" t="str">
        <f>IF(项目基本情况!E8="已注销","——","3.房地产抵押价值")</f>
        <v>3.房地产抵押价值</v>
      </c>
      <c r="F107" s="3597"/>
      <c r="G107" s="1825" t="s">
        <v>1432</v>
      </c>
      <c r="H107" s="2593" t="e">
        <f ca="1">IF(E107="——","——",H101-H103)</f>
        <v>#REF!</v>
      </c>
      <c r="I107" s="129"/>
    </row>
    <row r="108" spans="1:35" ht="18.75" customHeight="1">
      <c r="A108" s="129"/>
      <c r="B108" s="129"/>
      <c r="C108" s="129"/>
      <c r="D108" s="129"/>
      <c r="E108" s="3596"/>
      <c r="F108" s="3597"/>
      <c r="G108" s="1825" t="s">
        <v>1434</v>
      </c>
      <c r="H108" s="2553">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5" t="s">
        <v>1432</v>
      </c>
      <c r="H109" s="2596" t="str">
        <f>IF(E109="——","——",H101-H105-H106)</f>
        <v>——</v>
      </c>
      <c r="I109" s="129"/>
    </row>
    <row r="110" spans="1:35" ht="18.75" customHeight="1">
      <c r="A110" s="129"/>
      <c r="B110" s="129"/>
      <c r="C110" s="129"/>
      <c r="D110" s="129"/>
      <c r="E110" s="3596"/>
      <c r="F110" s="3597"/>
      <c r="G110" s="1825" t="s">
        <v>1434</v>
      </c>
      <c r="H110" s="2553"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5" t="s">
        <v>1432</v>
      </c>
      <c r="H111" s="2593" t="str">
        <f>IF(E111="——","——",N59)</f>
        <v>——</v>
      </c>
      <c r="I111" s="129"/>
    </row>
    <row r="112" spans="1:35" ht="18.75" customHeight="1" thickBot="1">
      <c r="A112" s="129"/>
      <c r="B112" s="129"/>
      <c r="C112" s="129"/>
      <c r="D112" s="129"/>
      <c r="E112" s="3629"/>
      <c r="F112" s="3630"/>
      <c r="G112" s="1828" t="s">
        <v>1434</v>
      </c>
      <c r="H112" s="2597" t="str">
        <f>IF(E111="——","——",N61)</f>
        <v>——</v>
      </c>
      <c r="I112" s="129"/>
    </row>
    <row r="113" spans="1:27" ht="18.75" customHeight="1">
      <c r="A113" s="129"/>
      <c r="B113" s="129"/>
      <c r="C113" s="129"/>
      <c r="D113" s="129"/>
      <c r="E113" s="3601" t="s">
        <v>1440</v>
      </c>
      <c r="F113" s="3601"/>
      <c r="G113" s="3601"/>
      <c r="H113" s="3601"/>
      <c r="I113" s="129"/>
    </row>
    <row r="114" spans="1:27" ht="3.75" customHeight="1">
      <c r="A114" s="1745"/>
      <c r="B114" s="1745"/>
      <c r="C114" s="1745"/>
      <c r="D114" s="1745"/>
      <c r="E114" s="1807"/>
      <c r="F114" s="1807"/>
      <c r="G114" s="1807"/>
      <c r="H114" s="1807"/>
      <c r="I114" s="1745"/>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87.01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67" t="s">
        <v>1452</v>
      </c>
      <c r="B119" s="3567"/>
      <c r="C119" s="3567"/>
      <c r="D119" s="3607" t="e">
        <f ca="1">NUMBERSTRING(INT(D118*10000),2)&amp;"元整"</f>
        <v>#REF!</v>
      </c>
      <c r="E119" s="3609"/>
      <c r="F119" s="3607" t="e">
        <f ca="1">NUMBERSTRING(INT(F118*10000),2)&amp;"元整"</f>
        <v>#REF!</v>
      </c>
      <c r="G119" s="3609"/>
      <c r="H119" s="3607" t="e">
        <f ca="1">NUMBERSTRING(INT(H118*10000),2)&amp;"元整"</f>
        <v>#REF!</v>
      </c>
      <c r="I119" s="3609"/>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房地产抵押价值</v>
      </c>
      <c r="B122" s="3598"/>
      <c r="C122" s="3598"/>
      <c r="D122" s="3631" t="e">
        <f ca="1">H107</f>
        <v>#REF!</v>
      </c>
      <c r="E122" s="3632"/>
      <c r="F122" s="3632"/>
      <c r="G122" s="3632"/>
      <c r="H122" s="3632"/>
      <c r="I122" s="3633"/>
      <c r="AA122" s="725"/>
    </row>
    <row r="123" spans="1:27" ht="18.75" customHeight="1">
      <c r="A123" s="3567" t="s">
        <v>1452</v>
      </c>
      <c r="B123" s="3567"/>
      <c r="C123" s="3567"/>
      <c r="D123" s="3607" t="e">
        <f ca="1">NUMBERSTRING(INT(D122*10000),2)&amp;"元整"</f>
        <v>#REF!</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1452</v>
      </c>
      <c r="B127" s="3567"/>
      <c r="C127" s="3567"/>
      <c r="D127" s="3607" t="e">
        <f>NUMBERSTRING(INT(D126*10000),2)&amp;"元整"</f>
        <v>#VALUE!</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7</v>
      </c>
    </row>
    <row r="2" spans="1:9" s="200" customFormat="1" ht="18" customHeight="1">
      <c r="A2" s="201" t="s">
        <v>1462</v>
      </c>
      <c r="B2" s="202">
        <f ca="1">IF(D2="——",C52,C52-E2)</f>
        <v>24495</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6"/>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4"/>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6.9999999999999999E-4</v>
      </c>
      <c r="D44" s="238"/>
      <c r="E44" s="238"/>
      <c r="F44" s="239"/>
      <c r="G44" s="3649"/>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北京市房地产抵押价值预评估</v>
      </c>
      <c r="C37" s="3464"/>
      <c r="D37" s="3464"/>
      <c r="E37" s="3464"/>
      <c r="F37" s="3464"/>
      <c r="G37" s="3464"/>
      <c r="H37" s="3464"/>
      <c r="I37" s="3464"/>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5">
        <f>MATCH(B1,'数据-取费表'!A6:A16,0)+5</f>
        <v>7</v>
      </c>
      <c r="H1" s="1060" t="str">
        <f>IF(ISERROR(FIND("住宅",B1)),"非住宅","住宅")</f>
        <v>非住宅</v>
      </c>
    </row>
    <row r="2" spans="1:8" s="200" customFormat="1" ht="18" customHeight="1">
      <c r="A2" s="201" t="s">
        <v>1462</v>
      </c>
      <c r="B2" s="3422">
        <f ca="1">ROUND(IF(D2="——",C52/10000,C52/10000-E2),4)</f>
        <v>58.484099999999998</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4"/>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4"/>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7" t="s">
        <v>1591</v>
      </c>
    </row>
    <row r="43" spans="1:7" ht="13.5" customHeight="1">
      <c r="A43" s="780" t="s">
        <v>347</v>
      </c>
      <c r="B43" s="215" t="s">
        <v>1545</v>
      </c>
      <c r="C43" s="238">
        <f ca="1">ROUND(IF('数据-取费表'!B22&lt;=1,C39*F22*'数据-取费表'!B20/2,C39*(POWER((1+F22),'数据-取费表'!B20/2)-1)),0)</f>
        <v>294</v>
      </c>
      <c r="D43" s="238"/>
      <c r="E43" s="238"/>
      <c r="F43" s="239"/>
      <c r="G43" s="3648"/>
    </row>
    <row r="44" spans="1:7" ht="13.5" customHeight="1">
      <c r="A44" s="780" t="s">
        <v>348</v>
      </c>
      <c r="B44" s="215" t="s">
        <v>1546</v>
      </c>
      <c r="C44" s="238">
        <f ca="1">ROUND(IF('数据-取费表'!B22&lt;=1,C40*F22*'数据-取费表'!B20/2,C40*(POWER((1+F22),'数据-取费表'!B20/2)-1)),4)</f>
        <v>6.9999999999999999E-4</v>
      </c>
      <c r="D44" s="238"/>
      <c r="E44" s="238"/>
      <c r="F44" s="239"/>
      <c r="G44" s="3649"/>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20698</v>
      </c>
      <c r="C2" s="276" t="s">
        <v>1595</v>
      </c>
      <c r="D2" s="276"/>
      <c r="E2" s="2804"/>
      <c r="F2" s="2804"/>
      <c r="G2" s="2804"/>
      <c r="H2" s="2804"/>
      <c r="I2" s="2804"/>
      <c r="J2" s="2804"/>
      <c r="K2" s="2804"/>
    </row>
    <row r="3" spans="1:33" ht="18" customHeight="1" thickBot="1">
      <c r="A3" s="203" t="s">
        <v>1464</v>
      </c>
      <c r="B3" s="204">
        <f ca="1">ROUND(B2*10000/IF(C1="",'数据-汇总表'!E3,INDIRECT("'数据-取费表'!K"&amp;$K$1)),0)</f>
        <v>2378807</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0"/>
      <c r="H18" s="1186"/>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c r="D1" s="1360" t="s">
        <v>43</v>
      </c>
      <c r="E1" s="1361" t="s">
        <v>678</v>
      </c>
      <c r="F1" s="1061">
        <f ca="1">J53</f>
        <v>0</v>
      </c>
      <c r="G1" s="1376">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652" t="s">
        <v>694</v>
      </c>
      <c r="C6" s="1073">
        <f ca="1">ROUND(F6*F8*F7*(1-F9)/10000,0)</f>
        <v>0</v>
      </c>
      <c r="D6" s="155" t="s">
        <v>2104</v>
      </c>
      <c r="E6" s="302" t="s">
        <v>696</v>
      </c>
      <c r="F6" s="303">
        <f ca="1">INDIRECT("'数据-取费表'!u"&amp;$G$1)</f>
        <v>0</v>
      </c>
      <c r="G6" s="1382"/>
      <c r="H6" s="1068" t="s">
        <v>398</v>
      </c>
      <c r="I6" s="3652" t="s">
        <v>694</v>
      </c>
      <c r="J6" s="301">
        <f ca="1">ROUND(M6*M8*M7*(1-M9)/10000,0)</f>
        <v>0</v>
      </c>
      <c r="K6" s="155" t="s">
        <v>2103</v>
      </c>
      <c r="L6" s="302" t="s">
        <v>696</v>
      </c>
      <c r="M6" s="303">
        <f ca="1">INDIRECT("'数据-取费表'!z"&amp;$G$1)</f>
        <v>0</v>
      </c>
    </row>
    <row r="7" spans="1:37" ht="18" customHeight="1">
      <c r="A7" s="1072"/>
      <c r="B7" s="3653"/>
      <c r="C7" s="1074"/>
      <c r="D7" s="307"/>
      <c r="E7" s="1075" t="s">
        <v>697</v>
      </c>
      <c r="F7" s="303">
        <f ca="1">IF(INDIRECT("'数据-取费表'!ah"&amp;$G$1)="",INDIRECT("'数据-取费表'!k"&amp;$G$1),INDIRECT("'数据-取费表'!ah"&amp;$G$1))</f>
        <v>0</v>
      </c>
      <c r="G7" s="1382"/>
      <c r="H7" s="304"/>
      <c r="I7" s="3653"/>
      <c r="J7" s="306"/>
      <c r="K7" s="307"/>
      <c r="L7" s="302" t="s">
        <v>697</v>
      </c>
      <c r="M7" s="303">
        <f ca="1">F7</f>
        <v>0</v>
      </c>
    </row>
    <row r="8" spans="1:37" ht="18" customHeight="1">
      <c r="A8" s="304"/>
      <c r="B8" s="3653"/>
      <c r="C8" s="306"/>
      <c r="D8" s="307"/>
      <c r="E8" s="302" t="s">
        <v>698</v>
      </c>
      <c r="F8" s="303">
        <f ca="1">INDIRECT("'数据-取费表'!ai"&amp;$G$1)</f>
        <v>0</v>
      </c>
      <c r="G8" s="1382"/>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2"/>
      <c r="H9" s="304"/>
      <c r="I9" s="365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2112</v>
      </c>
      <c r="E10" s="313" t="s">
        <v>701</v>
      </c>
      <c r="F10" s="1115"/>
      <c r="G10" s="1382"/>
      <c r="H10" s="1068" t="s">
        <v>402</v>
      </c>
      <c r="I10" s="1363" t="s">
        <v>700</v>
      </c>
      <c r="J10" s="301">
        <f ca="1">ROUND(IF(M10="押一",J6/12*M11,IF(M10="押二",J6/12*2*M11,IF(M10="押三",J6/12*3*M11,J11*M11))),0)</f>
        <v>0</v>
      </c>
      <c r="K10" s="1364" t="s">
        <v>2111</v>
      </c>
      <c r="L10" s="313" t="s">
        <v>701</v>
      </c>
      <c r="M10" s="1115"/>
    </row>
    <row r="11" spans="1:37" ht="18" customHeight="1">
      <c r="A11" s="308"/>
      <c r="B11" s="1365" t="s">
        <v>679</v>
      </c>
      <c r="C11" s="959"/>
      <c r="D11" s="1366"/>
      <c r="E11" s="313" t="s">
        <v>702</v>
      </c>
      <c r="F11" s="314">
        <f ca="1">'数据-取费表'!B39</f>
        <v>1.4999999999999999E-2</v>
      </c>
      <c r="G11" s="1382"/>
      <c r="H11" s="1076"/>
      <c r="I11" s="1365" t="s">
        <v>679</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2" t="s">
        <v>397</v>
      </c>
      <c r="B14" s="302" t="s">
        <v>707</v>
      </c>
      <c r="C14" s="318">
        <f ca="1">INDIRECT("'数据-取费表'!m"&amp;$G$1)+INDIRECT("'数据-取费表'!t"&amp;$G$1)</f>
        <v>0</v>
      </c>
      <c r="D14" s="1343" t="s">
        <v>708</v>
      </c>
      <c r="E14" s="1340"/>
      <c r="F14" s="319"/>
      <c r="G14" s="1382"/>
      <c r="H14" s="982" t="s">
        <v>398</v>
      </c>
      <c r="I14" s="302" t="s">
        <v>709</v>
      </c>
      <c r="J14" s="21">
        <f ca="1">C29</f>
        <v>0</v>
      </c>
      <c r="K14" s="12"/>
      <c r="L14" s="807"/>
      <c r="M14" s="808"/>
    </row>
    <row r="15" spans="1:37" s="1395" customFormat="1" ht="18" customHeight="1" thickBot="1">
      <c r="A15" s="982" t="s">
        <v>399</v>
      </c>
      <c r="B15" s="302" t="s">
        <v>710</v>
      </c>
      <c r="C15" s="21">
        <f ca="1">ROUND(C14*F15,0)</f>
        <v>0</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2" t="s">
        <v>681</v>
      </c>
      <c r="B17" s="302" t="s">
        <v>716</v>
      </c>
      <c r="C17" s="21">
        <f ca="1">ROUND(F17*(F43+INDIRECT("'数据-取费表'!S"&amp;$G$1))/10000,0)</f>
        <v>0</v>
      </c>
      <c r="D17" s="302" t="s">
        <v>717</v>
      </c>
      <c r="E17" s="302" t="s">
        <v>718</v>
      </c>
      <c r="F17" s="23">
        <f>'数据-取费表'!B35</f>
        <v>200</v>
      </c>
      <c r="G17" s="1394"/>
      <c r="H17" s="982"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0</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0</v>
      </c>
      <c r="D19" s="131" t="s">
        <v>726</v>
      </c>
      <c r="E19" s="1358"/>
      <c r="F19" s="23"/>
      <c r="G19" s="1382"/>
      <c r="H19" s="982"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2" t="s">
        <v>402</v>
      </c>
      <c r="B20" s="302" t="s">
        <v>728</v>
      </c>
      <c r="C20" s="21">
        <f ca="1">ROUND(C19*F20,0)</f>
        <v>0</v>
      </c>
      <c r="D20" s="323" t="s">
        <v>729</v>
      </c>
      <c r="E20" s="302" t="s">
        <v>712</v>
      </c>
      <c r="F20" s="322">
        <f>'数据-取费表'!B37</f>
        <v>0.02</v>
      </c>
      <c r="G20" s="1394"/>
      <c r="H20" s="982"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v>
      </c>
      <c r="K22" s="1342" t="s">
        <v>739</v>
      </c>
      <c r="L22" s="302" t="s">
        <v>712</v>
      </c>
      <c r="M22" s="328">
        <f ca="1">INDIRECT("'数据-取费表'!Ak"&amp;$G$1)</f>
        <v>0</v>
      </c>
    </row>
    <row r="23" spans="1:37" s="1395"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2"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90"/>
      <c r="I41" s="1396"/>
      <c r="J41" s="1397"/>
      <c r="K41" s="2542"/>
      <c r="L41" s="1190"/>
      <c r="M41" s="1190"/>
    </row>
    <row r="42" spans="1:18" ht="18" customHeight="1">
      <c r="A42" s="308"/>
      <c r="B42" s="309"/>
      <c r="C42" s="310"/>
      <c r="D42" s="327"/>
      <c r="E42" s="302" t="s">
        <v>766</v>
      </c>
      <c r="F42" s="312">
        <f ca="1">INDIRECT("'数据-取费表'!v"&amp;$G$1)</f>
        <v>0</v>
      </c>
      <c r="G42" s="1382"/>
      <c r="H42" s="1190"/>
      <c r="I42" s="1396"/>
      <c r="J42" s="1397"/>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6" t="s">
        <v>687</v>
      </c>
      <c r="B47" s="978" t="s">
        <v>688</v>
      </c>
      <c r="C47" s="1116" t="s">
        <v>689</v>
      </c>
      <c r="D47" s="978" t="s">
        <v>690</v>
      </c>
      <c r="E47" s="1057" t="s">
        <v>691</v>
      </c>
      <c r="F47" s="1058"/>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2"/>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5" t="s">
        <v>439</v>
      </c>
      <c r="B49" s="1369" t="s">
        <v>779</v>
      </c>
      <c r="C49" s="1113">
        <f ca="1">ROUND(F49*F51*F50*(1-F52)/10000,0)</f>
        <v>0</v>
      </c>
      <c r="D49" s="1054" t="s">
        <v>2105</v>
      </c>
      <c r="E49" s="1370" t="s">
        <v>780</v>
      </c>
      <c r="F49" s="1059"/>
      <c r="G49" s="1423"/>
      <c r="H49" s="723"/>
      <c r="I49" s="1419" t="s">
        <v>823</v>
      </c>
      <c r="J49" s="1424"/>
      <c r="K49" s="1421" t="s">
        <v>824</v>
      </c>
      <c r="L49" s="1425"/>
      <c r="O49" s="1426" t="s">
        <v>405</v>
      </c>
      <c r="P49" s="1417" t="s">
        <v>825</v>
      </c>
      <c r="Q49" s="1418">
        <f ca="1">C29</f>
        <v>0</v>
      </c>
      <c r="R49" s="1418" t="s">
        <v>818</v>
      </c>
    </row>
    <row r="50" spans="1:18" s="1382" customFormat="1" ht="13.5" thickBot="1">
      <c r="A50" s="976"/>
      <c r="B50" s="979"/>
      <c r="C50" s="1117"/>
      <c r="D50" s="953"/>
      <c r="E50" s="1055" t="s">
        <v>697</v>
      </c>
      <c r="F50" s="1056">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7"/>
      <c r="B51" s="979"/>
      <c r="C51" s="980"/>
      <c r="D51" s="953"/>
      <c r="E51" s="981"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7"/>
      <c r="B52" s="979"/>
      <c r="C52" s="980"/>
      <c r="D52" s="953"/>
      <c r="E52" s="981" t="s">
        <v>699</v>
      </c>
      <c r="F52" s="1053"/>
      <c r="I52" s="1435" t="s">
        <v>832</v>
      </c>
      <c r="J52" s="1436"/>
      <c r="K52" s="1435" t="s">
        <v>833</v>
      </c>
      <c r="L52" s="1436"/>
      <c r="O52" s="1426" t="s">
        <v>408</v>
      </c>
      <c r="P52" s="1417" t="s">
        <v>834</v>
      </c>
      <c r="Q52" s="1418">
        <f ca="1">J53</f>
        <v>0</v>
      </c>
      <c r="R52" s="1418" t="s">
        <v>835</v>
      </c>
    </row>
    <row r="53" spans="1:18" s="1382" customFormat="1" ht="24.75" thickBot="1">
      <c r="A53" s="1151" t="s">
        <v>440</v>
      </c>
      <c r="B53" s="1371" t="s">
        <v>700</v>
      </c>
      <c r="C53" s="316">
        <f ca="1">ROUND(IF(F53="押一",C49/12*F11,IF(F53="押二",C49/12*2*F11,IF(F53="押三",C49/12*3*F11,C54*F11))),0)</f>
        <v>0</v>
      </c>
      <c r="D53" s="1364" t="s">
        <v>2111</v>
      </c>
      <c r="E53" s="313" t="s">
        <v>701</v>
      </c>
      <c r="F53" s="1115"/>
      <c r="I53" s="1437" t="s">
        <v>836</v>
      </c>
      <c r="J53" s="2166">
        <f ca="1">IF(M47="住宅",IF(D1="——",MAX(J51,L48),MAX(J51,L48-'数据-取费表'!B24)),IF(D1="——",MIN(J51,L48),MIN(J51,L48-'数据-取费表'!B24)))</f>
        <v>0</v>
      </c>
      <c r="K53" s="3650" t="s">
        <v>837</v>
      </c>
      <c r="L53" s="3651"/>
      <c r="O53" s="1416" t="s">
        <v>409</v>
      </c>
      <c r="P53" s="1417" t="s">
        <v>838</v>
      </c>
      <c r="Q53" s="1418" t="e">
        <f ca="1">Q47+Q48</f>
        <v>#DIV/0!</v>
      </c>
      <c r="R53" s="1418" t="s">
        <v>410</v>
      </c>
    </row>
    <row r="54" spans="1:18" s="1382" customFormat="1" ht="13.5" thickBot="1">
      <c r="A54" s="1152"/>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7">
        <v>2</v>
      </c>
      <c r="B56" s="958"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50"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8" t="s">
        <v>714</v>
      </c>
      <c r="C58" s="316">
        <f ca="1">ROUND(C59+C64+C65+C66,0)</f>
        <v>0</v>
      </c>
      <c r="D58" s="960" t="s">
        <v>715</v>
      </c>
      <c r="E58" s="961"/>
      <c r="F58" s="962"/>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IF(项目基本情况!B11="自然人","——",ROUND(F62*F63/10000,2))</f>
        <v>0</v>
      </c>
      <c r="D62" s="965" t="s">
        <v>786</v>
      </c>
      <c r="E62" s="950"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v>
      </c>
      <c r="D64" s="964" t="s">
        <v>791</v>
      </c>
      <c r="E64" s="950"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v>
      </c>
      <c r="D65" s="964" t="s">
        <v>743</v>
      </c>
      <c r="E65" s="950"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2" t="s">
        <v>793</v>
      </c>
      <c r="B66" s="950" t="s">
        <v>728</v>
      </c>
      <c r="C66" s="21">
        <f ca="1">ROUND(C48*F66,2)</f>
        <v>0</v>
      </c>
      <c r="D66" s="964" t="s">
        <v>794</v>
      </c>
      <c r="E66" s="950" t="s">
        <v>712</v>
      </c>
      <c r="F66" s="312">
        <f t="shared" ca="1" si="0"/>
        <v>0</v>
      </c>
      <c r="O66" s="1416" t="s">
        <v>404</v>
      </c>
      <c r="P66" s="1417" t="s">
        <v>846</v>
      </c>
      <c r="Q66" s="1418" t="e">
        <f ca="1">L60</f>
        <v>#DIV/0!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0</v>
      </c>
      <c r="R67" s="1418" t="s">
        <v>870</v>
      </c>
    </row>
    <row r="68" spans="1:18" s="1382" customFormat="1" ht="16.5" thickBot="1">
      <c r="A68" s="947" t="s">
        <v>395</v>
      </c>
      <c r="B68" s="948" t="s">
        <v>774</v>
      </c>
      <c r="C68" s="301" t="e">
        <f ca="1">ROUND(C67*(1-((1+F70)/(1+F68))^F69)/(F68-F70),0)</f>
        <v>#DIV/0!</v>
      </c>
      <c r="D68" s="965" t="s">
        <v>758</v>
      </c>
      <c r="E68" s="950" t="s">
        <v>759</v>
      </c>
      <c r="F68" s="312">
        <f ca="1">F40</f>
        <v>0</v>
      </c>
      <c r="O68" s="1426" t="s">
        <v>406</v>
      </c>
      <c r="P68" s="1465" t="s">
        <v>871</v>
      </c>
      <c r="Q68" s="1418">
        <f ca="1">ROUND(Q69-Q70*Q71,0)</f>
        <v>0</v>
      </c>
      <c r="R68" s="1418" t="s">
        <v>414</v>
      </c>
    </row>
    <row r="69" spans="1:18" s="1382" customFormat="1" ht="13.5" thickBot="1">
      <c r="A69" s="951"/>
      <c r="B69" s="952"/>
      <c r="C69" s="306"/>
      <c r="D69" s="970" t="s">
        <v>762</v>
      </c>
      <c r="E69" s="950" t="s">
        <v>763</v>
      </c>
      <c r="F69" s="333">
        <f ca="1">F41</f>
        <v>0</v>
      </c>
      <c r="O69" s="1426" t="s">
        <v>411</v>
      </c>
      <c r="P69" s="1465" t="s">
        <v>872</v>
      </c>
      <c r="Q69" s="1418">
        <f ca="1">C39</f>
        <v>0</v>
      </c>
      <c r="R69" s="1418" t="s">
        <v>818</v>
      </c>
    </row>
    <row r="70" spans="1:18" s="1382" customFormat="1" ht="13.5" thickBot="1">
      <c r="A70" s="954"/>
      <c r="B70" s="955"/>
      <c r="C70" s="310"/>
      <c r="D70" s="966"/>
      <c r="E70" s="950" t="s">
        <v>766</v>
      </c>
      <c r="F70" s="1053"/>
      <c r="O70" s="1426" t="s">
        <v>412</v>
      </c>
      <c r="P70" s="1465" t="s">
        <v>873</v>
      </c>
      <c r="Q70" s="1418">
        <f ca="1">C13</f>
        <v>0</v>
      </c>
      <c r="R70" s="1418" t="s">
        <v>818</v>
      </c>
    </row>
    <row r="71" spans="1:18" s="1382" customFormat="1" ht="13.5" thickBot="1">
      <c r="A71" s="971" t="s">
        <v>396</v>
      </c>
      <c r="B71" s="972" t="s">
        <v>776</v>
      </c>
      <c r="C71" s="336" t="e">
        <f ca="1">ROUND(C68*10000/F71,0)</f>
        <v>#DIV/0!</v>
      </c>
      <c r="D71" s="973" t="s">
        <v>777</v>
      </c>
      <c r="E71" s="974" t="s">
        <v>778</v>
      </c>
      <c r="F71" s="339">
        <f ca="1">F43</f>
        <v>0</v>
      </c>
      <c r="O71" s="1426" t="s">
        <v>413</v>
      </c>
      <c r="P71" s="1465" t="s">
        <v>874</v>
      </c>
      <c r="Q71" s="1429">
        <f ca="1">C76</f>
        <v>0</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workbookViewId="0">
      <selection activeCell="D22" sqref="D22"/>
    </sheetView>
  </sheetViews>
  <sheetFormatPr defaultRowHeight="13.5"/>
  <cols>
    <col min="8" max="8" width="10.5" bestFit="1" customWidth="1"/>
    <col min="10" max="10" width="10.5" bestFit="1" customWidth="1"/>
  </cols>
  <sheetData>
    <row r="1" spans="1:16">
      <c r="A1" s="3458" t="s">
        <v>3431</v>
      </c>
      <c r="H1">
        <v>1</v>
      </c>
      <c r="I1">
        <v>0.75</v>
      </c>
      <c r="J1">
        <v>0.65</v>
      </c>
    </row>
    <row r="2" spans="1:16">
      <c r="A2" s="3458" t="s">
        <v>3437</v>
      </c>
      <c r="B2" s="3458" t="s">
        <v>3438</v>
      </c>
      <c r="C2" s="3458" t="s">
        <v>3434</v>
      </c>
      <c r="D2" s="3458" t="s">
        <v>3435</v>
      </c>
      <c r="E2" s="3458" t="s">
        <v>3429</v>
      </c>
      <c r="F2" s="3458" t="s">
        <v>3430</v>
      </c>
      <c r="H2" s="3458" t="s">
        <v>3443</v>
      </c>
      <c r="I2" s="3458" t="s">
        <v>3444</v>
      </c>
      <c r="J2" s="3458" t="s">
        <v>3445</v>
      </c>
      <c r="L2" s="3458" t="s">
        <v>3465</v>
      </c>
      <c r="M2" s="3458" t="s">
        <v>3467</v>
      </c>
    </row>
    <row r="3" spans="1:16">
      <c r="A3" s="3457" t="str">
        <f>典型户型修正!A25</f>
        <v>2-10</v>
      </c>
      <c r="B3">
        <f>典型户型修正!B25</f>
        <v>223.14</v>
      </c>
      <c r="C3">
        <f ca="1">典型户型修正!R25</f>
        <v>33419</v>
      </c>
      <c r="D3">
        <f ca="1">ROUND(C3*B3/10000,2)</f>
        <v>745.71</v>
      </c>
      <c r="E3">
        <v>774.99</v>
      </c>
      <c r="F3" s="3459">
        <f ca="1">E3/D3-1</f>
        <v>3.9264593474675147E-2</v>
      </c>
      <c r="H3">
        <f ca="1">H19</f>
        <v>44300.5631536605</v>
      </c>
      <c r="I3">
        <f ca="1">I19</f>
        <v>33225.422365245373</v>
      </c>
      <c r="J3">
        <f ca="1">J19</f>
        <v>28795.366049879325</v>
      </c>
      <c r="K3">
        <f ca="1">(H3*1+I3*1+J3*4)/6</f>
        <v>32117.908286403865</v>
      </c>
      <c r="L3" s="3458" t="s">
        <v>3474</v>
      </c>
      <c r="M3" s="3458" t="s">
        <v>3453</v>
      </c>
      <c r="N3" s="3458">
        <f ca="1">K3/K19</f>
        <v>0.81200000000000006</v>
      </c>
      <c r="O3">
        <f ca="1">K3*B3/10000</f>
        <v>716.67900550281581</v>
      </c>
      <c r="P3" s="3460">
        <f ca="1">E3/O3-1</f>
        <v>8.1362777546795551E-2</v>
      </c>
    </row>
    <row r="4" spans="1:16">
      <c r="A4" s="3457" t="str">
        <f>典型户型修正!A29</f>
        <v>10-18</v>
      </c>
      <c r="B4">
        <f>典型户型修正!B29</f>
        <v>153.22</v>
      </c>
      <c r="C4">
        <f ca="1">典型户型修正!R29</f>
        <v>37005</v>
      </c>
      <c r="D4">
        <f ca="1">ROUND(C4*B4/10000,2)</f>
        <v>566.99</v>
      </c>
      <c r="E4">
        <v>596.37</v>
      </c>
      <c r="F4" s="3459">
        <f t="shared" ref="F4:F5" ca="1" si="0">E4/D4-1</f>
        <v>5.1817492371999396E-2</v>
      </c>
      <c r="H4">
        <f ca="1">H19</f>
        <v>44300.5631536605</v>
      </c>
      <c r="I4">
        <f ca="1">I19</f>
        <v>33225.422365245373</v>
      </c>
      <c r="K4">
        <f ca="1">AVERAGE(H4:I4)*0.95</f>
        <v>36824.843121480291</v>
      </c>
      <c r="L4" s="3458" t="s">
        <v>3446</v>
      </c>
      <c r="M4" s="3458" t="s">
        <v>3448</v>
      </c>
      <c r="N4" s="3458">
        <f ca="1">K4/K19</f>
        <v>0.93100000000000005</v>
      </c>
      <c r="O4">
        <f ca="1">K4*B4/10000</f>
        <v>564.23024630732095</v>
      </c>
      <c r="P4" s="3460">
        <f ca="1">E4/O4-1</f>
        <v>5.6962124776227308E-2</v>
      </c>
    </row>
    <row r="5" spans="1:16">
      <c r="B5">
        <f>SUM(B3:B4)</f>
        <v>376.36</v>
      </c>
      <c r="C5">
        <f ca="1">D5/B5*10000</f>
        <v>34878.83940907642</v>
      </c>
      <c r="D5">
        <f ca="1">SUM(D3:D4)</f>
        <v>1312.7</v>
      </c>
      <c r="E5">
        <f>SUM(E3:E4)</f>
        <v>1371.3600000000001</v>
      </c>
      <c r="F5" s="3459">
        <f t="shared" ca="1" si="0"/>
        <v>4.4686523958254121E-2</v>
      </c>
    </row>
    <row r="10" spans="1:16">
      <c r="A10" s="3458" t="s">
        <v>3432</v>
      </c>
    </row>
    <row r="11" spans="1:16">
      <c r="A11" s="3458" t="s">
        <v>3437</v>
      </c>
      <c r="B11" s="3458" t="s">
        <v>3438</v>
      </c>
      <c r="C11" s="3458" t="s">
        <v>3434</v>
      </c>
      <c r="D11" s="3458" t="s">
        <v>3435</v>
      </c>
      <c r="E11" s="3458" t="s">
        <v>3429</v>
      </c>
      <c r="F11" s="3458" t="s">
        <v>3430</v>
      </c>
    </row>
    <row r="12" spans="1:16">
      <c r="A12" s="3457" t="str">
        <f>典型户型修正!A26</f>
        <v>3-4</v>
      </c>
      <c r="B12">
        <f>典型户型修正!B26</f>
        <v>201.95</v>
      </c>
      <c r="C12">
        <f ca="1">典型户型修正!R26</f>
        <v>39550</v>
      </c>
      <c r="D12">
        <f ca="1">ROUND(C12*B12/10000,2)</f>
        <v>798.71</v>
      </c>
      <c r="E12">
        <v>867.92</v>
      </c>
      <c r="F12" s="3459">
        <f ca="1">E12/D12-1</f>
        <v>8.6652226715578706E-2</v>
      </c>
      <c r="H12">
        <f ca="1">H19</f>
        <v>44300.5631536605</v>
      </c>
      <c r="I12">
        <f ca="1">I19</f>
        <v>33225.422365245373</v>
      </c>
      <c r="K12">
        <f t="shared" ref="K12:K13" ca="1" si="1">AVERAGE(H12:I12)</f>
        <v>38762.992759452936</v>
      </c>
      <c r="L12" s="3458" t="s">
        <v>3466</v>
      </c>
      <c r="M12" s="3458" t="s">
        <v>3448</v>
      </c>
      <c r="N12" s="3458">
        <f ca="1">K12/K19</f>
        <v>0.98</v>
      </c>
      <c r="O12">
        <f t="shared" ref="O12:O13" ca="1" si="2">K12*B12/10000</f>
        <v>782.81863877715193</v>
      </c>
      <c r="P12" s="3460">
        <f t="shared" ref="P12:P13" ca="1" si="3">E12/O12-1</f>
        <v>0.10871146521981845</v>
      </c>
    </row>
    <row r="13" spans="1:16">
      <c r="A13" s="3457" t="str">
        <f>典型户型修正!A27</f>
        <v>4-14</v>
      </c>
      <c r="B13">
        <f>典型户型修正!B27</f>
        <v>162.37</v>
      </c>
      <c r="C13">
        <f ca="1">典型户型修正!R27</f>
        <v>41116</v>
      </c>
      <c r="D13">
        <f ca="1">ROUND(C13*B13/10000,2)</f>
        <v>667.6</v>
      </c>
      <c r="E13">
        <v>709.24</v>
      </c>
      <c r="F13" s="3459">
        <f t="shared" ref="F13:F14" ca="1" si="4">E13/D13-1</f>
        <v>6.2372678250449454E-2</v>
      </c>
      <c r="H13">
        <f ca="1">H19</f>
        <v>44300.5631536605</v>
      </c>
      <c r="I13">
        <f ca="1">I19</f>
        <v>33225.422365245373</v>
      </c>
      <c r="K13">
        <f t="shared" ca="1" si="1"/>
        <v>38762.992759452936</v>
      </c>
      <c r="L13" s="3458" t="s">
        <v>3466</v>
      </c>
      <c r="M13" s="3458" t="s">
        <v>3448</v>
      </c>
      <c r="N13" s="3458">
        <f ca="1">K13/K19</f>
        <v>0.98</v>
      </c>
      <c r="O13">
        <f t="shared" ca="1" si="2"/>
        <v>629.39471343523735</v>
      </c>
      <c r="P13" s="3460">
        <f t="shared" ca="1" si="3"/>
        <v>0.1268604340970183</v>
      </c>
    </row>
    <row r="14" spans="1:16">
      <c r="B14">
        <f>SUM(B12:B13)</f>
        <v>364.32</v>
      </c>
      <c r="D14">
        <f ca="1">SUM(D12:D13)</f>
        <v>1466.31</v>
      </c>
      <c r="E14">
        <f>SUM(E12:E13)</f>
        <v>1577.1599999999999</v>
      </c>
      <c r="F14" s="3459">
        <f t="shared" ca="1" si="4"/>
        <v>7.5597929496491023E-2</v>
      </c>
    </row>
    <row r="17" spans="1:16">
      <c r="A17" s="3458" t="s">
        <v>3436</v>
      </c>
    </row>
    <row r="18" spans="1:16">
      <c r="A18" s="3458" t="s">
        <v>3437</v>
      </c>
      <c r="B18" s="3458" t="s">
        <v>3438</v>
      </c>
      <c r="C18" s="3458" t="s">
        <v>3434</v>
      </c>
      <c r="D18" s="3458" t="s">
        <v>3435</v>
      </c>
      <c r="E18" s="3458" t="s">
        <v>3429</v>
      </c>
      <c r="F18" s="3458" t="s">
        <v>3430</v>
      </c>
    </row>
    <row r="19" spans="1:16">
      <c r="A19" s="3457" t="str">
        <f>典型户型修正!A24</f>
        <v>2-9</v>
      </c>
      <c r="B19">
        <f>典型户型修正!B24</f>
        <v>87.01</v>
      </c>
      <c r="C19">
        <f ca="1">典型户型修正!R24</f>
        <v>39554</v>
      </c>
      <c r="D19">
        <f ca="1">ROUND(C19*B19/10000,2)</f>
        <v>344.16</v>
      </c>
      <c r="E19">
        <v>364.95</v>
      </c>
      <c r="F19" s="3459">
        <f ca="1">E19/D19-1</f>
        <v>6.0407949790794779E-2</v>
      </c>
      <c r="H19">
        <f ca="1">D19*10000/(B19*4/7+I1*B19*3/7)</f>
        <v>44300.5631536605</v>
      </c>
      <c r="I19">
        <f ca="1">H19*I1</f>
        <v>33225.422365245373</v>
      </c>
      <c r="J19">
        <f ca="1">H19*J1</f>
        <v>28795.366049879325</v>
      </c>
      <c r="K19">
        <f ca="1">(H19*B19*4/7+I19*B19*3/7)/B19</f>
        <v>39554.074244339732</v>
      </c>
      <c r="L19" s="3458" t="s">
        <v>3466</v>
      </c>
      <c r="M19" s="3458" t="s">
        <v>3452</v>
      </c>
      <c r="O19">
        <f t="shared" ref="O19:O20" ca="1" si="5">K19*B19/10000</f>
        <v>344.16</v>
      </c>
      <c r="P19" s="3460">
        <f t="shared" ref="P19:P21" ca="1" si="6">E19/O19-1</f>
        <v>6.0407949790794779E-2</v>
      </c>
    </row>
    <row r="20" spans="1:16">
      <c r="A20" s="3457" t="str">
        <f>典型户型修正!A28</f>
        <v>10-2</v>
      </c>
      <c r="B20">
        <f>典型户型修正!B28</f>
        <v>141.19999999999999</v>
      </c>
      <c r="C20">
        <f ca="1">典型户型修正!R28</f>
        <v>37988</v>
      </c>
      <c r="D20">
        <f ca="1">ROUND(C20*B20/10000,2)</f>
        <v>536.39</v>
      </c>
      <c r="E20">
        <v>572.54</v>
      </c>
      <c r="F20" s="3459">
        <f t="shared" ref="F20" ca="1" si="7">E20/D20-1</f>
        <v>6.7394992449523627E-2</v>
      </c>
      <c r="H20">
        <f ca="1">H19</f>
        <v>44300.5631536605</v>
      </c>
      <c r="I20">
        <f ca="1">I19</f>
        <v>33225.422365245373</v>
      </c>
      <c r="K20">
        <f ca="1">(H20*0.6+I20)/1.6</f>
        <v>37378.600160901042</v>
      </c>
      <c r="L20" s="3458" t="s">
        <v>3466</v>
      </c>
      <c r="M20" s="3458" t="s">
        <v>3450</v>
      </c>
      <c r="N20" s="3458">
        <f ca="1">K20/K19</f>
        <v>0.94499999999999984</v>
      </c>
      <c r="O20">
        <f t="shared" ca="1" si="5"/>
        <v>527.78583427192268</v>
      </c>
      <c r="P20" s="3460">
        <f t="shared" ca="1" si="6"/>
        <v>8.4796072236033693E-2</v>
      </c>
    </row>
    <row r="21" spans="1:16">
      <c r="A21" s="3458" t="s">
        <v>3433</v>
      </c>
      <c r="B21">
        <f>219.43</f>
        <v>219.43</v>
      </c>
      <c r="C21">
        <f ca="1">[2]结果表!$C$32</f>
        <v>26256</v>
      </c>
      <c r="D21">
        <f ca="1">ROUND(C21*B21/10000,2)</f>
        <v>576.14</v>
      </c>
      <c r="E21">
        <v>627.62</v>
      </c>
      <c r="F21" s="3459">
        <f t="shared" ref="F21" ca="1" si="8">E21/D21-1</f>
        <v>8.9353282188356919E-2</v>
      </c>
      <c r="J21">
        <f ca="1">J19</f>
        <v>28795.366049879325</v>
      </c>
      <c r="K21">
        <f ca="1">J21</f>
        <v>28795.366049879325</v>
      </c>
      <c r="L21" s="3458" t="s">
        <v>3466</v>
      </c>
      <c r="N21">
        <f ca="1">K21/K19</f>
        <v>0.72799999999999998</v>
      </c>
      <c r="O21">
        <f ca="1">K21*B21/10000</f>
        <v>631.85671723250209</v>
      </c>
      <c r="P21" s="3460">
        <f t="shared" ca="1" si="6"/>
        <v>-6.7051866617144906E-3</v>
      </c>
    </row>
    <row r="22" spans="1:16">
      <c r="B22">
        <f>SUM(B19:B21)</f>
        <v>447.64</v>
      </c>
      <c r="D22">
        <f ca="1">SUM(D19:D21)</f>
        <v>1456.69</v>
      </c>
      <c r="E22">
        <f>SUM(E19:E21)</f>
        <v>1565.1100000000001</v>
      </c>
      <c r="F22" s="3459">
        <f t="shared" ref="F22:F23" ca="1" si="9">E22/D22-1</f>
        <v>7.4429013722892456E-2</v>
      </c>
    </row>
    <row r="23" spans="1:16">
      <c r="D23">
        <f ca="1">D5+D14+D22</f>
        <v>4235.7000000000007</v>
      </c>
      <c r="E23">
        <f>E5+E14+E22</f>
        <v>4513.63</v>
      </c>
      <c r="F23" s="3459">
        <f t="shared" ca="1" si="9"/>
        <v>6.5616072904124412E-2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28" sqref="S2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2.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8" t="s">
        <v>2084</v>
      </c>
      <c r="D1" s="3659"/>
      <c r="E1" s="3659"/>
      <c r="F1" s="3659"/>
      <c r="G1" s="3659"/>
      <c r="H1" s="3659"/>
      <c r="I1" s="3659"/>
      <c r="J1" s="3659"/>
      <c r="K1" s="3659"/>
      <c r="L1" s="3659"/>
      <c r="M1" s="3659"/>
      <c r="N1" s="3659"/>
      <c r="O1" s="3659"/>
      <c r="P1" s="3659"/>
      <c r="Q1" s="3659"/>
      <c r="R1" s="3659"/>
      <c r="S1" s="3660"/>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f>'比较法-商业'!C104</f>
        <v>99</v>
      </c>
      <c r="D4" s="989">
        <f>'比较法-商业'!D104</f>
        <v>100</v>
      </c>
      <c r="E4" s="989">
        <f>'比较法-商业'!E104</f>
        <v>99</v>
      </c>
      <c r="F4" s="989">
        <f>'比较法-商业'!F104</f>
        <v>98</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461" t="s">
        <v>3454</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3461" t="s">
        <v>3469</v>
      </c>
      <c r="C11" s="3462" t="s">
        <v>3470</v>
      </c>
      <c r="D11" s="3463" t="s">
        <v>3471</v>
      </c>
      <c r="E11" s="996"/>
      <c r="F11" s="996"/>
      <c r="G11" s="996"/>
      <c r="H11" s="996"/>
      <c r="I11" s="996"/>
      <c r="J11" s="996"/>
      <c r="K11" s="996"/>
      <c r="L11" s="996"/>
      <c r="M11" s="997"/>
      <c r="N11" s="1001"/>
      <c r="O11" s="1002"/>
      <c r="P11" s="1003"/>
      <c r="Q11" s="1004"/>
      <c r="R11" s="1005"/>
      <c r="S11" s="1006"/>
      <c r="T11" s="998">
        <v>5</v>
      </c>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95</v>
      </c>
      <c r="E12" s="902">
        <f t="shared" ref="E12:S12" si="10">D12-$T11</f>
        <v>90</v>
      </c>
      <c r="F12" s="902">
        <f t="shared" si="10"/>
        <v>85</v>
      </c>
      <c r="G12" s="902">
        <f t="shared" si="10"/>
        <v>80</v>
      </c>
      <c r="H12" s="902">
        <f t="shared" si="10"/>
        <v>75</v>
      </c>
      <c r="I12" s="902">
        <f t="shared" si="10"/>
        <v>70</v>
      </c>
      <c r="J12" s="902">
        <f t="shared" si="10"/>
        <v>65</v>
      </c>
      <c r="K12" s="902">
        <f t="shared" si="10"/>
        <v>60</v>
      </c>
      <c r="L12" s="902">
        <f t="shared" si="10"/>
        <v>55</v>
      </c>
      <c r="M12" s="902">
        <f t="shared" si="10"/>
        <v>50</v>
      </c>
      <c r="N12" s="902">
        <f t="shared" si="10"/>
        <v>45</v>
      </c>
      <c r="O12" s="902">
        <f t="shared" si="10"/>
        <v>40</v>
      </c>
      <c r="P12" s="902">
        <f t="shared" si="10"/>
        <v>35</v>
      </c>
      <c r="Q12" s="902">
        <f t="shared" si="10"/>
        <v>30</v>
      </c>
      <c r="R12" s="902">
        <f>Q12-$T11</f>
        <v>25</v>
      </c>
      <c r="S12" s="902">
        <f t="shared" si="10"/>
        <v>20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ht="24">
      <c r="A13" s="994"/>
      <c r="B13" s="3461" t="s">
        <v>3455</v>
      </c>
      <c r="C13" s="3462" t="s">
        <v>3457</v>
      </c>
      <c r="D13" s="3463" t="s">
        <v>3459</v>
      </c>
      <c r="E13" s="3463" t="s">
        <v>3473</v>
      </c>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v>100</v>
      </c>
      <c r="D14" s="900">
        <v>90</v>
      </c>
      <c r="E14" s="900">
        <v>98</v>
      </c>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3461" t="s">
        <v>3460</v>
      </c>
      <c r="C15" s="3462" t="s">
        <v>3462</v>
      </c>
      <c r="D15" s="3463" t="s">
        <v>3461</v>
      </c>
      <c r="E15" s="996" t="s">
        <v>3463</v>
      </c>
      <c r="F15" s="996" t="s">
        <v>3464</v>
      </c>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v>101</v>
      </c>
      <c r="D16" s="990">
        <v>100</v>
      </c>
      <c r="E16" s="990">
        <v>99</v>
      </c>
      <c r="F16" s="990">
        <v>98</v>
      </c>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2089</v>
      </c>
      <c r="B17" s="2147" t="s">
        <v>2090</v>
      </c>
      <c r="C17" s="3455" t="s">
        <v>3426</v>
      </c>
      <c r="D17" s="3456" t="s">
        <v>3428</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2091</v>
      </c>
      <c r="E19" s="1338"/>
      <c r="F19" s="1338"/>
      <c r="G19" s="1338"/>
      <c r="H19" s="1058"/>
      <c r="I19" s="159"/>
      <c r="J19" s="159"/>
      <c r="K19" s="159"/>
      <c r="L19" s="159"/>
      <c r="M19" s="159"/>
      <c r="N19" s="159"/>
      <c r="O19" s="159"/>
      <c r="P19" s="159"/>
      <c r="Q19" s="159"/>
      <c r="R19" s="718"/>
      <c r="S19" s="129"/>
    </row>
    <row r="20" spans="1:45" ht="16.5" thickBot="1">
      <c r="A20" s="662" t="s">
        <v>2092</v>
      </c>
      <c r="B20" s="294">
        <f ca="1">IF(D20="——",S22,S22-F20)</f>
        <v>3660</v>
      </c>
      <c r="C20" s="159"/>
      <c r="D20" s="2149" t="s">
        <v>43</v>
      </c>
      <c r="E20" s="1339"/>
      <c r="F20" s="983" t="e">
        <f ca="1">SUMIF(INDIRECT("'"&amp;H20&amp;"'"&amp;"!A:A"),"承租人权益价值",INDIRECT("'"&amp;H20&amp;"'"&amp;"!c:c"))</f>
        <v>#REF!</v>
      </c>
      <c r="G20" s="983" t="s">
        <v>2093</v>
      </c>
      <c r="H20" s="2150"/>
      <c r="I20" s="159"/>
      <c r="J20" s="159"/>
      <c r="K20" s="159"/>
      <c r="L20" s="159"/>
      <c r="M20" s="159"/>
      <c r="N20" s="159"/>
      <c r="O20" s="159"/>
      <c r="P20" s="159"/>
      <c r="Q20" s="159"/>
      <c r="R20" s="718"/>
      <c r="S20" s="129"/>
    </row>
    <row r="21" spans="1:45" ht="15.75">
      <c r="A21" s="662" t="s">
        <v>2094</v>
      </c>
      <c r="B21" s="294">
        <f ca="1">ROUND(B20*10000/B22,0)</f>
        <v>37775</v>
      </c>
      <c r="C21" s="159"/>
      <c r="D21" s="159"/>
      <c r="E21" s="159"/>
      <c r="F21" s="159"/>
      <c r="G21" s="159"/>
      <c r="H21" s="159"/>
      <c r="I21" s="159"/>
      <c r="J21" s="159"/>
      <c r="K21" s="159"/>
      <c r="L21" s="159"/>
      <c r="M21" s="159"/>
      <c r="N21" s="159"/>
      <c r="O21" s="159"/>
      <c r="P21" s="159"/>
      <c r="Q21" s="159"/>
      <c r="R21" s="718"/>
      <c r="S21" s="129"/>
    </row>
    <row r="22" spans="1:45">
      <c r="A22" s="316" t="s">
        <v>2095</v>
      </c>
      <c r="B22" s="21">
        <f>SUM(B24:B10000)</f>
        <v>968.88999999999987</v>
      </c>
      <c r="C22" s="3655" t="s">
        <v>27</v>
      </c>
      <c r="D22" s="3656"/>
      <c r="E22" s="3656"/>
      <c r="F22" s="3656"/>
      <c r="G22" s="3656"/>
      <c r="H22" s="3656"/>
      <c r="I22" s="3656"/>
      <c r="J22" s="3656"/>
      <c r="K22" s="3656"/>
      <c r="L22" s="3656"/>
      <c r="M22" s="3656"/>
      <c r="N22" s="3656"/>
      <c r="O22" s="3656"/>
      <c r="P22" s="3656"/>
      <c r="Q22" s="3657"/>
      <c r="R22" s="663">
        <f ca="1">ROUND(S22*10000/B22,0)</f>
        <v>37775</v>
      </c>
      <c r="S22" s="21">
        <f ca="1">SUM(S24:S10000)</f>
        <v>3660</v>
      </c>
    </row>
    <row r="23" spans="1:45" s="9" customFormat="1" ht="51">
      <c r="A23" s="8" t="s">
        <v>2096</v>
      </c>
      <c r="B23" s="8" t="s">
        <v>2097</v>
      </c>
      <c r="C23" s="8" t="s">
        <v>2098</v>
      </c>
      <c r="D23" s="8" t="str">
        <f>B5</f>
        <v>修正项2</v>
      </c>
      <c r="E23" s="8" t="s">
        <v>2098</v>
      </c>
      <c r="F23" s="8" t="str">
        <f>B7</f>
        <v>修正项3</v>
      </c>
      <c r="G23" s="8" t="s">
        <v>2098</v>
      </c>
      <c r="H23" s="8" t="str">
        <f>B9</f>
        <v>修正项4</v>
      </c>
      <c r="I23" s="8" t="s">
        <v>2098</v>
      </c>
      <c r="J23" s="8" t="str">
        <f>B11</f>
        <v>平面位置</v>
      </c>
      <c r="K23" s="8" t="s">
        <v>2098</v>
      </c>
      <c r="L23" s="8" t="str">
        <f>B13</f>
        <v>形状</v>
      </c>
      <c r="M23" s="8" t="s">
        <v>2098</v>
      </c>
      <c r="N23" s="8" t="str">
        <f>B15</f>
        <v>分层面积</v>
      </c>
      <c r="O23" s="8" t="s">
        <v>2098</v>
      </c>
      <c r="P23" s="8" t="str">
        <f>B17</f>
        <v>楼层</v>
      </c>
      <c r="Q23" s="8" t="s">
        <v>2098</v>
      </c>
      <c r="R23" s="664" t="s">
        <v>2099</v>
      </c>
      <c r="S23" s="8" t="s">
        <v>2100</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3" t="s">
        <v>3419</v>
      </c>
      <c r="B24" s="665">
        <v>87.01</v>
      </c>
      <c r="C24" s="2808">
        <v>1</v>
      </c>
      <c r="D24" s="2809"/>
      <c r="E24" s="2808">
        <v>1</v>
      </c>
      <c r="F24" s="2809"/>
      <c r="G24" s="2808">
        <v>1</v>
      </c>
      <c r="H24" s="2809"/>
      <c r="I24" s="2808">
        <v>1</v>
      </c>
      <c r="J24" s="2809" t="s">
        <v>3393</v>
      </c>
      <c r="K24" s="2808">
        <v>1</v>
      </c>
      <c r="L24" s="2809" t="s">
        <v>3456</v>
      </c>
      <c r="M24" s="2808">
        <v>1</v>
      </c>
      <c r="N24" s="2809" t="s">
        <v>3451</v>
      </c>
      <c r="O24" s="2808">
        <v>1</v>
      </c>
      <c r="P24" s="2809" t="s">
        <v>3425</v>
      </c>
      <c r="Q24" s="2808">
        <v>1</v>
      </c>
      <c r="R24" s="668">
        <f ca="1">结果表!G20</f>
        <v>39554</v>
      </c>
      <c r="S24" s="666">
        <f t="shared" ref="S24:S54" ca="1" si="11">ROUND(R24*B24/10000,0)</f>
        <v>344</v>
      </c>
      <c r="T24" s="730">
        <f ca="1">S25+S29</f>
        <v>1313</v>
      </c>
      <c r="U24" s="730">
        <f>B25+B29</f>
        <v>376.36</v>
      </c>
      <c r="V24" s="730">
        <f ca="1">T24/U24</f>
        <v>3.4886810500584544</v>
      </c>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4" t="s">
        <v>3420</v>
      </c>
      <c r="B25" s="54">
        <v>223.14</v>
      </c>
      <c r="C25" s="21">
        <f>IF(B25="",1,(LOOKUP(B25,$3:$3,$4:$4)-LOOKUP($B$24,$3:$3,$4:$4)+100)/100)</f>
        <v>1.01</v>
      </c>
      <c r="D25" s="667"/>
      <c r="E25" s="21">
        <f>(SUMIF($5:$5,D25,$6:$6)-SUMIF($5:$5,$D$24,$6:$6)+100)/100</f>
        <v>1</v>
      </c>
      <c r="F25" s="667"/>
      <c r="G25" s="21">
        <f>(SUMIF($7:$7,F25,$8:$8)-SUMIF($7:$7,$F$24,$8:$8)+100)/100</f>
        <v>1</v>
      </c>
      <c r="H25" s="667"/>
      <c r="I25" s="21">
        <f>(SUMIF($9:$9,H25,$10:$10)-SUMIF($9:$9,$H$24,$10:$10)+100)/100</f>
        <v>1</v>
      </c>
      <c r="J25" s="667" t="s">
        <v>3393</v>
      </c>
      <c r="K25" s="21">
        <f>(SUMIF($11:$11,J25,$12:$12)-SUMIF($11:$11,$J$24,$12:$12)+100)/100</f>
        <v>1</v>
      </c>
      <c r="L25" s="667" t="s">
        <v>3472</v>
      </c>
      <c r="M25" s="21">
        <f>(SUMIF($13:$13,L25,$14:$14)-SUMIF($13:$13,$L$24,$14:$14)+100)/100</f>
        <v>0.98</v>
      </c>
      <c r="N25" s="667" t="s">
        <v>3468</v>
      </c>
      <c r="O25" s="21">
        <f>(SUMIF($15:$15,N25,$16:$16)-SUMIF($15:$15,$N$24,$16:$16)+100)/100</f>
        <v>0.97</v>
      </c>
      <c r="P25" s="667" t="s">
        <v>3427</v>
      </c>
      <c r="Q25" s="21">
        <f>(SUMIF($17:$17,P25,$18:$18)-SUMIF($17:$17,$P$24,$18:$18)+100)/100</f>
        <v>0.88</v>
      </c>
      <c r="R25" s="663">
        <f ca="1">IF(B25="",0,ROUND($R$24*C25*E25*G25*I25*K25*M25*O25*Q25,0))</f>
        <v>33419</v>
      </c>
      <c r="S25" s="316">
        <f t="shared" ca="1" si="11"/>
        <v>746</v>
      </c>
    </row>
    <row r="26" spans="1:45">
      <c r="A26" s="3454" t="s">
        <v>3421</v>
      </c>
      <c r="B26" s="54">
        <v>201.95</v>
      </c>
      <c r="C26" s="21">
        <f t="shared" ref="C26:C89" si="12">IF(B26="",1,(LOOKUP(B26,$3:$3,$4:$4)-LOOKUP($B$24,$3:$3,$4:$4)+100)/100)</f>
        <v>1.01</v>
      </c>
      <c r="D26" s="667"/>
      <c r="E26" s="21">
        <f t="shared" ref="E26:E89" si="13">(SUMIF($5:$5,D26,$6:$6)-SUMIF($5:$5,$D$24,$6:$6)+100)/100</f>
        <v>1</v>
      </c>
      <c r="F26" s="667"/>
      <c r="G26" s="21">
        <f t="shared" ref="G26:G89" si="14">(SUMIF($7:$7,F26,$8:$8)-SUMIF($7:$7,$F$24,$8:$8)+100)/100</f>
        <v>1</v>
      </c>
      <c r="H26" s="667"/>
      <c r="I26" s="21">
        <f t="shared" ref="I26:I89" si="15">(SUMIF($9:$9,H26,$10:$10)-SUMIF($9:$9,$H$24,$10:$10)+100)/100</f>
        <v>1</v>
      </c>
      <c r="J26" s="667" t="s">
        <v>3393</v>
      </c>
      <c r="K26" s="21">
        <f t="shared" ref="K26:K89" si="16">(SUMIF($11:$11,J26,$12:$12)-SUMIF($11:$11,$J$24,$12:$12)+100)/100</f>
        <v>1</v>
      </c>
      <c r="L26" s="667" t="s">
        <v>3456</v>
      </c>
      <c r="M26" s="21">
        <f t="shared" ref="M26:M89" si="17">(SUMIF($13:$13,L26,$14:$14)-SUMIF($13:$13,$L$24,$14:$14)+100)/100</f>
        <v>1</v>
      </c>
      <c r="N26" s="667" t="s">
        <v>3447</v>
      </c>
      <c r="O26" s="21">
        <f t="shared" ref="O26:O89" si="18">(SUMIF($15:$15,N26,$16:$16)-SUMIF($15:$15,$N$24,$16:$16)+100)/100</f>
        <v>0.99</v>
      </c>
      <c r="P26" s="2809" t="s">
        <v>3425</v>
      </c>
      <c r="Q26" s="21">
        <f t="shared" ref="Q26:Q89" si="19">(SUMIF($17:$17,P26,$18:$18)-SUMIF($17:$17,$P$24,$18:$18)+100)/100</f>
        <v>1</v>
      </c>
      <c r="R26" s="663">
        <f t="shared" ref="R26:R89" ca="1" si="20">IF(B26="",0,ROUND($R$24*C26*E26*G26*I26*K26*M26*O26*Q26,0))</f>
        <v>39550</v>
      </c>
      <c r="S26" s="316">
        <f t="shared" ca="1" si="11"/>
        <v>799</v>
      </c>
    </row>
    <row r="27" spans="1:45">
      <c r="A27" s="3454" t="s">
        <v>3422</v>
      </c>
      <c r="B27" s="54">
        <v>162.37</v>
      </c>
      <c r="C27" s="21">
        <f t="shared" si="12"/>
        <v>1</v>
      </c>
      <c r="D27" s="667"/>
      <c r="E27" s="21">
        <f t="shared" si="13"/>
        <v>1</v>
      </c>
      <c r="F27" s="667"/>
      <c r="G27" s="21">
        <f t="shared" si="14"/>
        <v>1</v>
      </c>
      <c r="H27" s="667"/>
      <c r="I27" s="21">
        <f t="shared" si="15"/>
        <v>1</v>
      </c>
      <c r="J27" s="667" t="s">
        <v>3394</v>
      </c>
      <c r="K27" s="21">
        <f t="shared" si="16"/>
        <v>1.05</v>
      </c>
      <c r="L27" s="667" t="s">
        <v>3456</v>
      </c>
      <c r="M27" s="21">
        <f t="shared" si="17"/>
        <v>1</v>
      </c>
      <c r="N27" s="667" t="s">
        <v>3447</v>
      </c>
      <c r="O27" s="21">
        <f t="shared" si="18"/>
        <v>0.99</v>
      </c>
      <c r="P27" s="2809" t="s">
        <v>3425</v>
      </c>
      <c r="Q27" s="21">
        <f t="shared" si="19"/>
        <v>1</v>
      </c>
      <c r="R27" s="663">
        <f t="shared" ca="1" si="20"/>
        <v>41116</v>
      </c>
      <c r="S27" s="316">
        <f t="shared" ca="1" si="11"/>
        <v>668</v>
      </c>
    </row>
    <row r="28" spans="1:45">
      <c r="A28" s="3454" t="s">
        <v>3423</v>
      </c>
      <c r="B28" s="54">
        <v>141.19999999999999</v>
      </c>
      <c r="C28" s="21">
        <f t="shared" si="12"/>
        <v>1</v>
      </c>
      <c r="D28" s="667"/>
      <c r="E28" s="21">
        <f t="shared" si="13"/>
        <v>1</v>
      </c>
      <c r="F28" s="667"/>
      <c r="G28" s="21">
        <f t="shared" si="14"/>
        <v>1</v>
      </c>
      <c r="H28" s="667"/>
      <c r="I28" s="21">
        <f t="shared" si="15"/>
        <v>1</v>
      </c>
      <c r="J28" s="667" t="s">
        <v>3393</v>
      </c>
      <c r="K28" s="21">
        <f t="shared" si="16"/>
        <v>1</v>
      </c>
      <c r="L28" s="667" t="s">
        <v>3472</v>
      </c>
      <c r="M28" s="21">
        <f t="shared" si="17"/>
        <v>0.98</v>
      </c>
      <c r="N28" s="667" t="s">
        <v>3449</v>
      </c>
      <c r="O28" s="21">
        <f t="shared" si="18"/>
        <v>0.98</v>
      </c>
      <c r="P28" s="2809" t="s">
        <v>3425</v>
      </c>
      <c r="Q28" s="21">
        <f t="shared" si="19"/>
        <v>1</v>
      </c>
      <c r="R28" s="663">
        <f t="shared" ca="1" si="20"/>
        <v>37988</v>
      </c>
      <c r="S28" s="316">
        <f t="shared" ca="1" si="11"/>
        <v>536</v>
      </c>
    </row>
    <row r="29" spans="1:45">
      <c r="A29" s="3454" t="s">
        <v>3424</v>
      </c>
      <c r="B29" s="54">
        <v>153.22</v>
      </c>
      <c r="C29" s="21">
        <f t="shared" si="12"/>
        <v>1</v>
      </c>
      <c r="D29" s="667"/>
      <c r="E29" s="21">
        <f t="shared" si="13"/>
        <v>1</v>
      </c>
      <c r="F29" s="667"/>
      <c r="G29" s="21">
        <f t="shared" si="14"/>
        <v>1</v>
      </c>
      <c r="H29" s="667"/>
      <c r="I29" s="21">
        <f t="shared" si="15"/>
        <v>1</v>
      </c>
      <c r="J29" s="667" t="s">
        <v>3394</v>
      </c>
      <c r="K29" s="21">
        <f t="shared" si="16"/>
        <v>1.05</v>
      </c>
      <c r="L29" s="667" t="s">
        <v>3458</v>
      </c>
      <c r="M29" s="21">
        <f t="shared" si="17"/>
        <v>0.9</v>
      </c>
      <c r="N29" s="667" t="s">
        <v>3447</v>
      </c>
      <c r="O29" s="21">
        <f t="shared" si="18"/>
        <v>0.99</v>
      </c>
      <c r="P29" s="2809" t="s">
        <v>3425</v>
      </c>
      <c r="Q29" s="21">
        <f t="shared" si="19"/>
        <v>1</v>
      </c>
      <c r="R29" s="663">
        <f t="shared" ca="1" si="20"/>
        <v>37005</v>
      </c>
      <c r="S29" s="316">
        <f t="shared" ca="1" si="11"/>
        <v>567</v>
      </c>
    </row>
    <row r="30" spans="1:45">
      <c r="A30" s="3454"/>
      <c r="B30" s="54"/>
      <c r="C30" s="21">
        <f t="shared" si="12"/>
        <v>1</v>
      </c>
      <c r="D30" s="667"/>
      <c r="E30" s="21">
        <f t="shared" si="13"/>
        <v>1</v>
      </c>
      <c r="F30" s="667"/>
      <c r="G30" s="21">
        <f t="shared" si="14"/>
        <v>1</v>
      </c>
      <c r="H30" s="667"/>
      <c r="I30" s="21">
        <f t="shared" si="15"/>
        <v>1</v>
      </c>
      <c r="J30" s="667"/>
      <c r="K30" s="21">
        <f t="shared" si="16"/>
        <v>0.05</v>
      </c>
      <c r="L30" s="667"/>
      <c r="M30" s="21">
        <f t="shared" si="17"/>
        <v>0</v>
      </c>
      <c r="N30" s="667"/>
      <c r="O30" s="21">
        <f t="shared" si="18"/>
        <v>-0.01</v>
      </c>
      <c r="P30" s="667"/>
      <c r="Q30" s="21">
        <f t="shared" si="19"/>
        <v>0</v>
      </c>
      <c r="R30" s="663">
        <f t="shared" si="20"/>
        <v>0</v>
      </c>
      <c r="S30" s="316">
        <f t="shared" si="11"/>
        <v>0</v>
      </c>
    </row>
    <row r="31" spans="1:45">
      <c r="A31" s="3454"/>
      <c r="B31" s="54"/>
      <c r="C31" s="21">
        <f t="shared" si="12"/>
        <v>1</v>
      </c>
      <c r="D31" s="667"/>
      <c r="E31" s="21">
        <f t="shared" si="13"/>
        <v>1</v>
      </c>
      <c r="F31" s="667"/>
      <c r="G31" s="21">
        <f t="shared" si="14"/>
        <v>1</v>
      </c>
      <c r="H31" s="667"/>
      <c r="I31" s="21">
        <f t="shared" si="15"/>
        <v>1</v>
      </c>
      <c r="J31" s="667"/>
      <c r="K31" s="21">
        <f t="shared" si="16"/>
        <v>0.05</v>
      </c>
      <c r="L31" s="667"/>
      <c r="M31" s="21">
        <f t="shared" si="17"/>
        <v>0</v>
      </c>
      <c r="N31" s="667"/>
      <c r="O31" s="21">
        <f t="shared" si="18"/>
        <v>-0.01</v>
      </c>
      <c r="P31" s="667"/>
      <c r="Q31" s="21">
        <f t="shared" si="19"/>
        <v>0</v>
      </c>
      <c r="R31" s="663">
        <f t="shared" si="20"/>
        <v>0</v>
      </c>
      <c r="S31" s="316">
        <f t="shared" si="11"/>
        <v>0</v>
      </c>
    </row>
    <row r="32" spans="1:45">
      <c r="A32" s="3454"/>
      <c r="B32" s="54"/>
      <c r="C32" s="21">
        <f t="shared" si="12"/>
        <v>1</v>
      </c>
      <c r="D32" s="667"/>
      <c r="E32" s="21">
        <f t="shared" si="13"/>
        <v>1</v>
      </c>
      <c r="F32" s="667"/>
      <c r="G32" s="21">
        <f t="shared" si="14"/>
        <v>1</v>
      </c>
      <c r="H32" s="667"/>
      <c r="I32" s="21">
        <f t="shared" si="15"/>
        <v>1</v>
      </c>
      <c r="J32" s="667"/>
      <c r="K32" s="21">
        <f t="shared" si="16"/>
        <v>0.05</v>
      </c>
      <c r="L32" s="667"/>
      <c r="M32" s="21">
        <f t="shared" si="17"/>
        <v>0</v>
      </c>
      <c r="N32" s="667"/>
      <c r="O32" s="21">
        <f t="shared" si="18"/>
        <v>-0.01</v>
      </c>
      <c r="P32" s="667"/>
      <c r="Q32" s="21">
        <f t="shared" si="19"/>
        <v>0</v>
      </c>
      <c r="R32" s="663">
        <f t="shared" si="20"/>
        <v>0</v>
      </c>
      <c r="S32" s="316">
        <f t="shared" si="11"/>
        <v>0</v>
      </c>
    </row>
    <row r="33" spans="1:19">
      <c r="A33" s="3454"/>
      <c r="B33" s="54"/>
      <c r="C33" s="21">
        <f t="shared" si="12"/>
        <v>1</v>
      </c>
      <c r="D33" s="667"/>
      <c r="E33" s="21">
        <f t="shared" si="13"/>
        <v>1</v>
      </c>
      <c r="F33" s="667"/>
      <c r="G33" s="21">
        <f t="shared" si="14"/>
        <v>1</v>
      </c>
      <c r="H33" s="667"/>
      <c r="I33" s="21">
        <f t="shared" si="15"/>
        <v>1</v>
      </c>
      <c r="J33" s="667"/>
      <c r="K33" s="21">
        <f t="shared" si="16"/>
        <v>0.05</v>
      </c>
      <c r="L33" s="667"/>
      <c r="M33" s="21">
        <f t="shared" si="17"/>
        <v>0</v>
      </c>
      <c r="N33" s="667"/>
      <c r="O33" s="21">
        <f t="shared" si="18"/>
        <v>-0.01</v>
      </c>
      <c r="P33" s="667"/>
      <c r="Q33" s="21">
        <f t="shared" si="19"/>
        <v>0</v>
      </c>
      <c r="R33" s="663">
        <f t="shared" si="20"/>
        <v>0</v>
      </c>
      <c r="S33" s="316">
        <f t="shared" si="11"/>
        <v>0</v>
      </c>
    </row>
    <row r="34" spans="1:19">
      <c r="A34" s="3454"/>
      <c r="B34" s="54"/>
      <c r="C34" s="21">
        <f t="shared" si="12"/>
        <v>1</v>
      </c>
      <c r="D34" s="667"/>
      <c r="E34" s="21">
        <f t="shared" si="13"/>
        <v>1</v>
      </c>
      <c r="F34" s="667"/>
      <c r="G34" s="21">
        <f t="shared" si="14"/>
        <v>1</v>
      </c>
      <c r="H34" s="667"/>
      <c r="I34" s="21">
        <f t="shared" si="15"/>
        <v>1</v>
      </c>
      <c r="J34" s="667"/>
      <c r="K34" s="21">
        <f t="shared" si="16"/>
        <v>0.05</v>
      </c>
      <c r="L34" s="667"/>
      <c r="M34" s="21">
        <f t="shared" si="17"/>
        <v>0</v>
      </c>
      <c r="N34" s="667"/>
      <c r="O34" s="21">
        <f t="shared" si="18"/>
        <v>-0.01</v>
      </c>
      <c r="P34" s="667"/>
      <c r="Q34" s="21">
        <f t="shared" si="19"/>
        <v>0</v>
      </c>
      <c r="R34" s="663">
        <f t="shared" si="20"/>
        <v>0</v>
      </c>
      <c r="S34" s="316">
        <f t="shared" si="11"/>
        <v>0</v>
      </c>
    </row>
    <row r="35" spans="1:19">
      <c r="A35" s="3454"/>
      <c r="B35" s="54"/>
      <c r="C35" s="21">
        <f t="shared" si="12"/>
        <v>1</v>
      </c>
      <c r="D35" s="667"/>
      <c r="E35" s="21">
        <f t="shared" si="13"/>
        <v>1</v>
      </c>
      <c r="F35" s="667"/>
      <c r="G35" s="21">
        <f t="shared" si="14"/>
        <v>1</v>
      </c>
      <c r="H35" s="667"/>
      <c r="I35" s="21">
        <f t="shared" si="15"/>
        <v>1</v>
      </c>
      <c r="J35" s="667"/>
      <c r="K35" s="21">
        <f t="shared" si="16"/>
        <v>0.05</v>
      </c>
      <c r="L35" s="667"/>
      <c r="M35" s="21">
        <f t="shared" si="17"/>
        <v>0</v>
      </c>
      <c r="N35" s="667"/>
      <c r="O35" s="21">
        <f t="shared" si="18"/>
        <v>-0.01</v>
      </c>
      <c r="P35" s="667"/>
      <c r="Q35" s="21">
        <f t="shared" si="19"/>
        <v>0</v>
      </c>
      <c r="R35" s="663">
        <f t="shared" si="20"/>
        <v>0</v>
      </c>
      <c r="S35" s="316">
        <f t="shared" si="11"/>
        <v>0</v>
      </c>
    </row>
    <row r="36" spans="1:19">
      <c r="A36" s="3454"/>
      <c r="B36" s="54"/>
      <c r="C36" s="21">
        <f t="shared" si="12"/>
        <v>1</v>
      </c>
      <c r="D36" s="667"/>
      <c r="E36" s="21">
        <f t="shared" si="13"/>
        <v>1</v>
      </c>
      <c r="F36" s="667"/>
      <c r="G36" s="21">
        <f t="shared" si="14"/>
        <v>1</v>
      </c>
      <c r="H36" s="667"/>
      <c r="I36" s="21">
        <f t="shared" si="15"/>
        <v>1</v>
      </c>
      <c r="J36" s="667"/>
      <c r="K36" s="21">
        <f t="shared" si="16"/>
        <v>0.05</v>
      </c>
      <c r="L36" s="667"/>
      <c r="M36" s="21">
        <f t="shared" si="17"/>
        <v>0</v>
      </c>
      <c r="N36" s="667"/>
      <c r="O36" s="21">
        <f t="shared" si="18"/>
        <v>-0.01</v>
      </c>
      <c r="P36" s="667"/>
      <c r="Q36" s="21">
        <f t="shared" si="19"/>
        <v>0</v>
      </c>
      <c r="R36" s="663">
        <f t="shared" si="20"/>
        <v>0</v>
      </c>
      <c r="S36" s="316">
        <f t="shared" si="11"/>
        <v>0</v>
      </c>
    </row>
    <row r="37" spans="1:19">
      <c r="A37" s="3454"/>
      <c r="B37" s="54"/>
      <c r="C37" s="21">
        <f t="shared" si="12"/>
        <v>1</v>
      </c>
      <c r="D37" s="667"/>
      <c r="E37" s="21">
        <f t="shared" si="13"/>
        <v>1</v>
      </c>
      <c r="F37" s="667"/>
      <c r="G37" s="21">
        <f t="shared" si="14"/>
        <v>1</v>
      </c>
      <c r="H37" s="667"/>
      <c r="I37" s="21">
        <f t="shared" si="15"/>
        <v>1</v>
      </c>
      <c r="J37" s="667"/>
      <c r="K37" s="21">
        <f t="shared" si="16"/>
        <v>0.05</v>
      </c>
      <c r="L37" s="667"/>
      <c r="M37" s="21">
        <f t="shared" si="17"/>
        <v>0</v>
      </c>
      <c r="N37" s="667"/>
      <c r="O37" s="21">
        <f t="shared" si="18"/>
        <v>-0.01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0.05</v>
      </c>
      <c r="L38" s="667"/>
      <c r="M38" s="21">
        <f t="shared" si="17"/>
        <v>0</v>
      </c>
      <c r="N38" s="667"/>
      <c r="O38" s="21">
        <f t="shared" si="18"/>
        <v>-0.01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0.05</v>
      </c>
      <c r="L39" s="667"/>
      <c r="M39" s="21">
        <f t="shared" si="17"/>
        <v>0</v>
      </c>
      <c r="N39" s="667"/>
      <c r="O39" s="21">
        <f t="shared" si="18"/>
        <v>-0.01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0.05</v>
      </c>
      <c r="L40" s="667"/>
      <c r="M40" s="21">
        <f t="shared" si="17"/>
        <v>0</v>
      </c>
      <c r="N40" s="667"/>
      <c r="O40" s="21">
        <f t="shared" si="18"/>
        <v>-0.01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0.05</v>
      </c>
      <c r="L41" s="667"/>
      <c r="M41" s="21">
        <f t="shared" si="17"/>
        <v>0</v>
      </c>
      <c r="N41" s="667"/>
      <c r="O41" s="21">
        <f t="shared" si="18"/>
        <v>-0.01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0.05</v>
      </c>
      <c r="L42" s="667"/>
      <c r="M42" s="21">
        <f t="shared" si="17"/>
        <v>0</v>
      </c>
      <c r="N42" s="667"/>
      <c r="O42" s="21">
        <f t="shared" si="18"/>
        <v>-0.01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0.05</v>
      </c>
      <c r="L43" s="667"/>
      <c r="M43" s="21">
        <f t="shared" si="17"/>
        <v>0</v>
      </c>
      <c r="N43" s="667"/>
      <c r="O43" s="21">
        <f t="shared" si="18"/>
        <v>-0.01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0.05</v>
      </c>
      <c r="L44" s="667"/>
      <c r="M44" s="21">
        <f t="shared" si="17"/>
        <v>0</v>
      </c>
      <c r="N44" s="667"/>
      <c r="O44" s="21">
        <f t="shared" si="18"/>
        <v>-0.01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0.05</v>
      </c>
      <c r="L45" s="667"/>
      <c r="M45" s="21">
        <f t="shared" si="17"/>
        <v>0</v>
      </c>
      <c r="N45" s="667"/>
      <c r="O45" s="21">
        <f t="shared" si="18"/>
        <v>-0.01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0.05</v>
      </c>
      <c r="L46" s="667"/>
      <c r="M46" s="21">
        <f t="shared" si="17"/>
        <v>0</v>
      </c>
      <c r="N46" s="667"/>
      <c r="O46" s="21">
        <f t="shared" si="18"/>
        <v>-0.01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0.05</v>
      </c>
      <c r="L47" s="667"/>
      <c r="M47" s="21">
        <f t="shared" si="17"/>
        <v>0</v>
      </c>
      <c r="N47" s="667"/>
      <c r="O47" s="21">
        <f t="shared" si="18"/>
        <v>-0.01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0.05</v>
      </c>
      <c r="L48" s="667"/>
      <c r="M48" s="21">
        <f t="shared" si="17"/>
        <v>0</v>
      </c>
      <c r="N48" s="667"/>
      <c r="O48" s="21">
        <f t="shared" si="18"/>
        <v>-0.01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0.05</v>
      </c>
      <c r="L49" s="667"/>
      <c r="M49" s="21">
        <f t="shared" si="17"/>
        <v>0</v>
      </c>
      <c r="N49" s="667"/>
      <c r="O49" s="21">
        <f t="shared" si="18"/>
        <v>-0.01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0.05</v>
      </c>
      <c r="L50" s="667"/>
      <c r="M50" s="21">
        <f t="shared" si="17"/>
        <v>0</v>
      </c>
      <c r="N50" s="667"/>
      <c r="O50" s="21">
        <f t="shared" si="18"/>
        <v>-0.01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0.05</v>
      </c>
      <c r="L51" s="667"/>
      <c r="M51" s="21">
        <f t="shared" si="17"/>
        <v>0</v>
      </c>
      <c r="N51" s="667"/>
      <c r="O51" s="21">
        <f t="shared" si="18"/>
        <v>-0.01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0.05</v>
      </c>
      <c r="L52" s="667"/>
      <c r="M52" s="21">
        <f t="shared" si="17"/>
        <v>0</v>
      </c>
      <c r="N52" s="667"/>
      <c r="O52" s="21">
        <f t="shared" si="18"/>
        <v>-0.01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0.05</v>
      </c>
      <c r="L53" s="667"/>
      <c r="M53" s="21">
        <f t="shared" si="17"/>
        <v>0</v>
      </c>
      <c r="N53" s="667"/>
      <c r="O53" s="21">
        <f t="shared" si="18"/>
        <v>-0.01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0.05</v>
      </c>
      <c r="L54" s="667"/>
      <c r="M54" s="21">
        <f t="shared" si="17"/>
        <v>0</v>
      </c>
      <c r="N54" s="667"/>
      <c r="O54" s="21">
        <f t="shared" si="18"/>
        <v>-0.01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0.05</v>
      </c>
      <c r="L55" s="667"/>
      <c r="M55" s="21">
        <f t="shared" si="17"/>
        <v>0</v>
      </c>
      <c r="N55" s="667"/>
      <c r="O55" s="21">
        <f t="shared" si="18"/>
        <v>-0.01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0.05</v>
      </c>
      <c r="L56" s="667"/>
      <c r="M56" s="21">
        <f t="shared" si="17"/>
        <v>0</v>
      </c>
      <c r="N56" s="667"/>
      <c r="O56" s="21">
        <f t="shared" si="18"/>
        <v>-0.01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0.05</v>
      </c>
      <c r="L57" s="667"/>
      <c r="M57" s="21">
        <f t="shared" si="17"/>
        <v>0</v>
      </c>
      <c r="N57" s="667"/>
      <c r="O57" s="21">
        <f t="shared" si="18"/>
        <v>-0.01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0.05</v>
      </c>
      <c r="L58" s="667"/>
      <c r="M58" s="21">
        <f t="shared" si="17"/>
        <v>0</v>
      </c>
      <c r="N58" s="667"/>
      <c r="O58" s="21">
        <f t="shared" si="18"/>
        <v>-0.01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0.05</v>
      </c>
      <c r="L59" s="667"/>
      <c r="M59" s="21">
        <f t="shared" si="17"/>
        <v>0</v>
      </c>
      <c r="N59" s="667"/>
      <c r="O59" s="21">
        <f t="shared" si="18"/>
        <v>-0.01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0.05</v>
      </c>
      <c r="L60" s="667"/>
      <c r="M60" s="21">
        <f t="shared" si="17"/>
        <v>0</v>
      </c>
      <c r="N60" s="667"/>
      <c r="O60" s="21">
        <f t="shared" si="18"/>
        <v>-0.01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0.05</v>
      </c>
      <c r="L61" s="667"/>
      <c r="M61" s="21">
        <f t="shared" si="17"/>
        <v>0</v>
      </c>
      <c r="N61" s="667"/>
      <c r="O61" s="21">
        <f t="shared" si="18"/>
        <v>-0.01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0.05</v>
      </c>
      <c r="L62" s="667"/>
      <c r="M62" s="21">
        <f t="shared" si="17"/>
        <v>0</v>
      </c>
      <c r="N62" s="667"/>
      <c r="O62" s="21">
        <f t="shared" si="18"/>
        <v>-0.01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0.05</v>
      </c>
      <c r="L63" s="667"/>
      <c r="M63" s="21">
        <f t="shared" si="17"/>
        <v>0</v>
      </c>
      <c r="N63" s="667"/>
      <c r="O63" s="21">
        <f t="shared" si="18"/>
        <v>-0.01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0.05</v>
      </c>
      <c r="L64" s="667"/>
      <c r="M64" s="21">
        <f t="shared" si="17"/>
        <v>0</v>
      </c>
      <c r="N64" s="667"/>
      <c r="O64" s="21">
        <f t="shared" si="18"/>
        <v>-0.01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0.05</v>
      </c>
      <c r="L65" s="667"/>
      <c r="M65" s="21">
        <f t="shared" si="17"/>
        <v>0</v>
      </c>
      <c r="N65" s="667"/>
      <c r="O65" s="21">
        <f t="shared" si="18"/>
        <v>-0.01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0.05</v>
      </c>
      <c r="L66" s="667"/>
      <c r="M66" s="21">
        <f t="shared" si="17"/>
        <v>0</v>
      </c>
      <c r="N66" s="667"/>
      <c r="O66" s="21">
        <f t="shared" si="18"/>
        <v>-0.01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0.05</v>
      </c>
      <c r="L67" s="667"/>
      <c r="M67" s="21">
        <f t="shared" si="17"/>
        <v>0</v>
      </c>
      <c r="N67" s="667"/>
      <c r="O67" s="21">
        <f t="shared" si="18"/>
        <v>-0.01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0.05</v>
      </c>
      <c r="L68" s="667"/>
      <c r="M68" s="21">
        <f t="shared" si="17"/>
        <v>0</v>
      </c>
      <c r="N68" s="667"/>
      <c r="O68" s="21">
        <f t="shared" si="18"/>
        <v>-0.01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0.05</v>
      </c>
      <c r="L69" s="667"/>
      <c r="M69" s="21">
        <f t="shared" si="17"/>
        <v>0</v>
      </c>
      <c r="N69" s="667"/>
      <c r="O69" s="21">
        <f t="shared" si="18"/>
        <v>-0.01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0.05</v>
      </c>
      <c r="L70" s="667"/>
      <c r="M70" s="21">
        <f t="shared" si="17"/>
        <v>0</v>
      </c>
      <c r="N70" s="667"/>
      <c r="O70" s="21">
        <f t="shared" si="18"/>
        <v>-0.01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0.05</v>
      </c>
      <c r="L71" s="667"/>
      <c r="M71" s="21">
        <f t="shared" si="17"/>
        <v>0</v>
      </c>
      <c r="N71" s="667"/>
      <c r="O71" s="21">
        <f t="shared" si="18"/>
        <v>-0.01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0.05</v>
      </c>
      <c r="L72" s="667"/>
      <c r="M72" s="21">
        <f t="shared" si="17"/>
        <v>0</v>
      </c>
      <c r="N72" s="667"/>
      <c r="O72" s="21">
        <f t="shared" si="18"/>
        <v>-0.01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0.05</v>
      </c>
      <c r="L73" s="667"/>
      <c r="M73" s="21">
        <f t="shared" si="17"/>
        <v>0</v>
      </c>
      <c r="N73" s="667"/>
      <c r="O73" s="21">
        <f t="shared" si="18"/>
        <v>-0.01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0.05</v>
      </c>
      <c r="L74" s="667"/>
      <c r="M74" s="21">
        <f t="shared" si="17"/>
        <v>0</v>
      </c>
      <c r="N74" s="667"/>
      <c r="O74" s="21">
        <f t="shared" si="18"/>
        <v>-0.01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0.05</v>
      </c>
      <c r="L75" s="667"/>
      <c r="M75" s="21">
        <f t="shared" si="17"/>
        <v>0</v>
      </c>
      <c r="N75" s="667"/>
      <c r="O75" s="21">
        <f t="shared" si="18"/>
        <v>-0.01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0.05</v>
      </c>
      <c r="L76" s="667"/>
      <c r="M76" s="21">
        <f t="shared" si="17"/>
        <v>0</v>
      </c>
      <c r="N76" s="667"/>
      <c r="O76" s="21">
        <f t="shared" si="18"/>
        <v>-0.01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0.05</v>
      </c>
      <c r="L77" s="667"/>
      <c r="M77" s="21">
        <f t="shared" si="17"/>
        <v>0</v>
      </c>
      <c r="N77" s="667"/>
      <c r="O77" s="21">
        <f t="shared" si="18"/>
        <v>-0.01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0.05</v>
      </c>
      <c r="L78" s="667"/>
      <c r="M78" s="21">
        <f t="shared" si="17"/>
        <v>0</v>
      </c>
      <c r="N78" s="667"/>
      <c r="O78" s="21">
        <f t="shared" si="18"/>
        <v>-0.01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0.05</v>
      </c>
      <c r="L79" s="667"/>
      <c r="M79" s="21">
        <f t="shared" si="17"/>
        <v>0</v>
      </c>
      <c r="N79" s="667"/>
      <c r="O79" s="21">
        <f t="shared" si="18"/>
        <v>-0.01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0.05</v>
      </c>
      <c r="L80" s="667"/>
      <c r="M80" s="21">
        <f t="shared" si="17"/>
        <v>0</v>
      </c>
      <c r="N80" s="667"/>
      <c r="O80" s="21">
        <f t="shared" si="18"/>
        <v>-0.01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0.05</v>
      </c>
      <c r="L81" s="667"/>
      <c r="M81" s="21">
        <f t="shared" si="17"/>
        <v>0</v>
      </c>
      <c r="N81" s="667"/>
      <c r="O81" s="21">
        <f t="shared" si="18"/>
        <v>-0.01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0.05</v>
      </c>
      <c r="L82" s="667"/>
      <c r="M82" s="21">
        <f t="shared" si="17"/>
        <v>0</v>
      </c>
      <c r="N82" s="667"/>
      <c r="O82" s="21">
        <f t="shared" si="18"/>
        <v>-0.01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0.05</v>
      </c>
      <c r="L83" s="667"/>
      <c r="M83" s="21">
        <f t="shared" si="17"/>
        <v>0</v>
      </c>
      <c r="N83" s="667"/>
      <c r="O83" s="21">
        <f t="shared" si="18"/>
        <v>-0.01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0.05</v>
      </c>
      <c r="L84" s="667"/>
      <c r="M84" s="21">
        <f t="shared" si="17"/>
        <v>0</v>
      </c>
      <c r="N84" s="667"/>
      <c r="O84" s="21">
        <f t="shared" si="18"/>
        <v>-0.01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0.05</v>
      </c>
      <c r="L85" s="667"/>
      <c r="M85" s="21">
        <f t="shared" si="17"/>
        <v>0</v>
      </c>
      <c r="N85" s="667"/>
      <c r="O85" s="21">
        <f t="shared" si="18"/>
        <v>-0.01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0.05</v>
      </c>
      <c r="L86" s="667"/>
      <c r="M86" s="21">
        <f t="shared" si="17"/>
        <v>0</v>
      </c>
      <c r="N86" s="667"/>
      <c r="O86" s="21">
        <f t="shared" si="18"/>
        <v>-0.01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0.05</v>
      </c>
      <c r="L87" s="667"/>
      <c r="M87" s="21">
        <f t="shared" si="17"/>
        <v>0</v>
      </c>
      <c r="N87" s="667"/>
      <c r="O87" s="21">
        <f t="shared" si="18"/>
        <v>-0.01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0.05</v>
      </c>
      <c r="L88" s="667"/>
      <c r="M88" s="21">
        <f t="shared" si="17"/>
        <v>0</v>
      </c>
      <c r="N88" s="667"/>
      <c r="O88" s="21">
        <f t="shared" si="18"/>
        <v>-0.01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0.05</v>
      </c>
      <c r="L89" s="667"/>
      <c r="M89" s="21">
        <f t="shared" si="17"/>
        <v>0</v>
      </c>
      <c r="N89" s="667"/>
      <c r="O89" s="21">
        <f t="shared" si="18"/>
        <v>-0.01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0.05</v>
      </c>
      <c r="L90" s="667"/>
      <c r="M90" s="21">
        <f t="shared" ref="M90:M153" si="28">(SUMIF($13:$13,L90,$14:$14)-SUMIF($13:$13,$L$24,$14:$14)+100)/100</f>
        <v>0</v>
      </c>
      <c r="N90" s="667"/>
      <c r="O90" s="21">
        <f t="shared" ref="O90:O153" si="29">(SUMIF($15:$15,N90,$16:$16)-SUMIF($15:$15,$N$24,$16:$16)+100)/100</f>
        <v>-0.01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0.05</v>
      </c>
      <c r="L91" s="667"/>
      <c r="M91" s="21">
        <f t="shared" si="28"/>
        <v>0</v>
      </c>
      <c r="N91" s="667"/>
      <c r="O91" s="21">
        <f t="shared" si="29"/>
        <v>-0.01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0.05</v>
      </c>
      <c r="L92" s="667"/>
      <c r="M92" s="21">
        <f t="shared" si="28"/>
        <v>0</v>
      </c>
      <c r="N92" s="667"/>
      <c r="O92" s="21">
        <f t="shared" si="29"/>
        <v>-0.01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0.05</v>
      </c>
      <c r="L93" s="667"/>
      <c r="M93" s="21">
        <f t="shared" si="28"/>
        <v>0</v>
      </c>
      <c r="N93" s="667"/>
      <c r="O93" s="21">
        <f t="shared" si="29"/>
        <v>-0.01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0.05</v>
      </c>
      <c r="L94" s="667"/>
      <c r="M94" s="21">
        <f t="shared" si="28"/>
        <v>0</v>
      </c>
      <c r="N94" s="667"/>
      <c r="O94" s="21">
        <f t="shared" si="29"/>
        <v>-0.01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0.05</v>
      </c>
      <c r="L95" s="667"/>
      <c r="M95" s="21">
        <f t="shared" si="28"/>
        <v>0</v>
      </c>
      <c r="N95" s="667"/>
      <c r="O95" s="21">
        <f t="shared" si="29"/>
        <v>-0.01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0.05</v>
      </c>
      <c r="L96" s="667"/>
      <c r="M96" s="21">
        <f t="shared" si="28"/>
        <v>0</v>
      </c>
      <c r="N96" s="667"/>
      <c r="O96" s="21">
        <f t="shared" si="29"/>
        <v>-0.01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0.05</v>
      </c>
      <c r="L97" s="667"/>
      <c r="M97" s="21">
        <f t="shared" si="28"/>
        <v>0</v>
      </c>
      <c r="N97" s="667"/>
      <c r="O97" s="21">
        <f t="shared" si="29"/>
        <v>-0.01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0.05</v>
      </c>
      <c r="L98" s="667"/>
      <c r="M98" s="21">
        <f t="shared" si="28"/>
        <v>0</v>
      </c>
      <c r="N98" s="667"/>
      <c r="O98" s="21">
        <f t="shared" si="29"/>
        <v>-0.01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0.05</v>
      </c>
      <c r="L99" s="667"/>
      <c r="M99" s="21">
        <f t="shared" si="28"/>
        <v>0</v>
      </c>
      <c r="N99" s="667"/>
      <c r="O99" s="21">
        <f t="shared" si="29"/>
        <v>-0.01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0.05</v>
      </c>
      <c r="L100" s="667"/>
      <c r="M100" s="21">
        <f t="shared" si="28"/>
        <v>0</v>
      </c>
      <c r="N100" s="667"/>
      <c r="O100" s="21">
        <f t="shared" si="29"/>
        <v>-0.01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0.05</v>
      </c>
      <c r="L101" s="667"/>
      <c r="M101" s="21">
        <f t="shared" si="28"/>
        <v>0</v>
      </c>
      <c r="N101" s="667"/>
      <c r="O101" s="21">
        <f t="shared" si="29"/>
        <v>-0.01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0.05</v>
      </c>
      <c r="L102" s="667"/>
      <c r="M102" s="21">
        <f t="shared" si="28"/>
        <v>0</v>
      </c>
      <c r="N102" s="667"/>
      <c r="O102" s="21">
        <f t="shared" si="29"/>
        <v>-0.01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0.05</v>
      </c>
      <c r="L103" s="667"/>
      <c r="M103" s="21">
        <f t="shared" si="28"/>
        <v>0</v>
      </c>
      <c r="N103" s="667"/>
      <c r="O103" s="21">
        <f t="shared" si="29"/>
        <v>-0.01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0.05</v>
      </c>
      <c r="L104" s="667"/>
      <c r="M104" s="21">
        <f t="shared" si="28"/>
        <v>0</v>
      </c>
      <c r="N104" s="667"/>
      <c r="O104" s="21">
        <f t="shared" si="29"/>
        <v>-0.01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0.05</v>
      </c>
      <c r="L105" s="667"/>
      <c r="M105" s="21">
        <f t="shared" si="28"/>
        <v>0</v>
      </c>
      <c r="N105" s="667"/>
      <c r="O105" s="21">
        <f t="shared" si="29"/>
        <v>-0.01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0.05</v>
      </c>
      <c r="L106" s="667"/>
      <c r="M106" s="21">
        <f t="shared" si="28"/>
        <v>0</v>
      </c>
      <c r="N106" s="667"/>
      <c r="O106" s="21">
        <f t="shared" si="29"/>
        <v>-0.01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0.05</v>
      </c>
      <c r="L107" s="667"/>
      <c r="M107" s="21">
        <f t="shared" si="28"/>
        <v>0</v>
      </c>
      <c r="N107" s="667"/>
      <c r="O107" s="21">
        <f t="shared" si="29"/>
        <v>-0.01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0.05</v>
      </c>
      <c r="L108" s="667"/>
      <c r="M108" s="21">
        <f t="shared" si="28"/>
        <v>0</v>
      </c>
      <c r="N108" s="667"/>
      <c r="O108" s="21">
        <f t="shared" si="29"/>
        <v>-0.01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0.05</v>
      </c>
      <c r="L109" s="667"/>
      <c r="M109" s="21">
        <f t="shared" si="28"/>
        <v>0</v>
      </c>
      <c r="N109" s="667"/>
      <c r="O109" s="21">
        <f t="shared" si="29"/>
        <v>-0.01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0.05</v>
      </c>
      <c r="L110" s="667"/>
      <c r="M110" s="21">
        <f t="shared" si="28"/>
        <v>0</v>
      </c>
      <c r="N110" s="667"/>
      <c r="O110" s="21">
        <f t="shared" si="29"/>
        <v>-0.01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0.05</v>
      </c>
      <c r="L111" s="667"/>
      <c r="M111" s="21">
        <f t="shared" si="28"/>
        <v>0</v>
      </c>
      <c r="N111" s="667"/>
      <c r="O111" s="21">
        <f t="shared" si="29"/>
        <v>-0.01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0.05</v>
      </c>
      <c r="L112" s="667"/>
      <c r="M112" s="21">
        <f t="shared" si="28"/>
        <v>0</v>
      </c>
      <c r="N112" s="667"/>
      <c r="O112" s="21">
        <f t="shared" si="29"/>
        <v>-0.01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0.05</v>
      </c>
      <c r="L113" s="667"/>
      <c r="M113" s="21">
        <f t="shared" si="28"/>
        <v>0</v>
      </c>
      <c r="N113" s="667"/>
      <c r="O113" s="21">
        <f t="shared" si="29"/>
        <v>-0.01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0.05</v>
      </c>
      <c r="L114" s="667"/>
      <c r="M114" s="21">
        <f t="shared" si="28"/>
        <v>0</v>
      </c>
      <c r="N114" s="667"/>
      <c r="O114" s="21">
        <f t="shared" si="29"/>
        <v>-0.01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0.05</v>
      </c>
      <c r="L115" s="667"/>
      <c r="M115" s="21">
        <f t="shared" si="28"/>
        <v>0</v>
      </c>
      <c r="N115" s="667"/>
      <c r="O115" s="21">
        <f t="shared" si="29"/>
        <v>-0.01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0.05</v>
      </c>
      <c r="L116" s="667"/>
      <c r="M116" s="21">
        <f t="shared" si="28"/>
        <v>0</v>
      </c>
      <c r="N116" s="667"/>
      <c r="O116" s="21">
        <f t="shared" si="29"/>
        <v>-0.01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0.05</v>
      </c>
      <c r="L117" s="667"/>
      <c r="M117" s="21">
        <f t="shared" si="28"/>
        <v>0</v>
      </c>
      <c r="N117" s="667"/>
      <c r="O117" s="21">
        <f t="shared" si="29"/>
        <v>-0.01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0.05</v>
      </c>
      <c r="L118" s="667"/>
      <c r="M118" s="21">
        <f t="shared" si="28"/>
        <v>0</v>
      </c>
      <c r="N118" s="667"/>
      <c r="O118" s="21">
        <f t="shared" si="29"/>
        <v>-0.01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0.05</v>
      </c>
      <c r="L119" s="667"/>
      <c r="M119" s="21">
        <f t="shared" si="28"/>
        <v>0</v>
      </c>
      <c r="N119" s="667"/>
      <c r="O119" s="21">
        <f t="shared" si="29"/>
        <v>-0.01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0.05</v>
      </c>
      <c r="L120" s="667"/>
      <c r="M120" s="21">
        <f t="shared" si="28"/>
        <v>0</v>
      </c>
      <c r="N120" s="667"/>
      <c r="O120" s="21">
        <f t="shared" si="29"/>
        <v>-0.01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0.05</v>
      </c>
      <c r="L121" s="667"/>
      <c r="M121" s="21">
        <f t="shared" si="28"/>
        <v>0</v>
      </c>
      <c r="N121" s="667"/>
      <c r="O121" s="21">
        <f t="shared" si="29"/>
        <v>-0.01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0.05</v>
      </c>
      <c r="L122" s="667"/>
      <c r="M122" s="21">
        <f t="shared" si="28"/>
        <v>0</v>
      </c>
      <c r="N122" s="667"/>
      <c r="O122" s="21">
        <f t="shared" si="29"/>
        <v>-0.01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0.05</v>
      </c>
      <c r="L123" s="667"/>
      <c r="M123" s="21">
        <f t="shared" si="28"/>
        <v>0</v>
      </c>
      <c r="N123" s="667"/>
      <c r="O123" s="21">
        <f t="shared" si="29"/>
        <v>-0.01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0.05</v>
      </c>
      <c r="L124" s="667"/>
      <c r="M124" s="21">
        <f t="shared" si="28"/>
        <v>0</v>
      </c>
      <c r="N124" s="667"/>
      <c r="O124" s="21">
        <f t="shared" si="29"/>
        <v>-0.01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0.05</v>
      </c>
      <c r="L125" s="667"/>
      <c r="M125" s="21">
        <f t="shared" si="28"/>
        <v>0</v>
      </c>
      <c r="N125" s="667"/>
      <c r="O125" s="21">
        <f t="shared" si="29"/>
        <v>-0.01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0.05</v>
      </c>
      <c r="L126" s="667"/>
      <c r="M126" s="21">
        <f t="shared" si="28"/>
        <v>0</v>
      </c>
      <c r="N126" s="667"/>
      <c r="O126" s="21">
        <f t="shared" si="29"/>
        <v>-0.01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0.05</v>
      </c>
      <c r="L127" s="667"/>
      <c r="M127" s="21">
        <f t="shared" si="28"/>
        <v>0</v>
      </c>
      <c r="N127" s="667"/>
      <c r="O127" s="21">
        <f t="shared" si="29"/>
        <v>-0.01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0.05</v>
      </c>
      <c r="L128" s="667"/>
      <c r="M128" s="21">
        <f t="shared" si="28"/>
        <v>0</v>
      </c>
      <c r="N128" s="667"/>
      <c r="O128" s="21">
        <f t="shared" si="29"/>
        <v>-0.01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0.05</v>
      </c>
      <c r="L129" s="667"/>
      <c r="M129" s="21">
        <f t="shared" si="28"/>
        <v>0</v>
      </c>
      <c r="N129" s="667"/>
      <c r="O129" s="21">
        <f t="shared" si="29"/>
        <v>-0.01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0.05</v>
      </c>
      <c r="L130" s="667"/>
      <c r="M130" s="21">
        <f t="shared" si="28"/>
        <v>0</v>
      </c>
      <c r="N130" s="667"/>
      <c r="O130" s="21">
        <f t="shared" si="29"/>
        <v>-0.01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0.05</v>
      </c>
      <c r="L131" s="667"/>
      <c r="M131" s="21">
        <f t="shared" si="28"/>
        <v>0</v>
      </c>
      <c r="N131" s="667"/>
      <c r="O131" s="21">
        <f t="shared" si="29"/>
        <v>-0.01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0.05</v>
      </c>
      <c r="L132" s="667"/>
      <c r="M132" s="21">
        <f t="shared" si="28"/>
        <v>0</v>
      </c>
      <c r="N132" s="667"/>
      <c r="O132" s="21">
        <f t="shared" si="29"/>
        <v>-0.01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0.05</v>
      </c>
      <c r="L133" s="667"/>
      <c r="M133" s="21">
        <f t="shared" si="28"/>
        <v>0</v>
      </c>
      <c r="N133" s="667"/>
      <c r="O133" s="21">
        <f t="shared" si="29"/>
        <v>-0.01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0.05</v>
      </c>
      <c r="L134" s="667"/>
      <c r="M134" s="21">
        <f t="shared" si="28"/>
        <v>0</v>
      </c>
      <c r="N134" s="667"/>
      <c r="O134" s="21">
        <f t="shared" si="29"/>
        <v>-0.01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0.05</v>
      </c>
      <c r="L135" s="667"/>
      <c r="M135" s="21">
        <f t="shared" si="28"/>
        <v>0</v>
      </c>
      <c r="N135" s="667"/>
      <c r="O135" s="21">
        <f t="shared" si="29"/>
        <v>-0.01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0.05</v>
      </c>
      <c r="L136" s="667"/>
      <c r="M136" s="21">
        <f t="shared" si="28"/>
        <v>0</v>
      </c>
      <c r="N136" s="667"/>
      <c r="O136" s="21">
        <f t="shared" si="29"/>
        <v>-0.01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0.05</v>
      </c>
      <c r="L137" s="667"/>
      <c r="M137" s="21">
        <f t="shared" si="28"/>
        <v>0</v>
      </c>
      <c r="N137" s="667"/>
      <c r="O137" s="21">
        <f t="shared" si="29"/>
        <v>-0.01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0.05</v>
      </c>
      <c r="L138" s="667"/>
      <c r="M138" s="21">
        <f t="shared" si="28"/>
        <v>0</v>
      </c>
      <c r="N138" s="667"/>
      <c r="O138" s="21">
        <f t="shared" si="29"/>
        <v>-0.01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0.05</v>
      </c>
      <c r="L139" s="667"/>
      <c r="M139" s="21">
        <f t="shared" si="28"/>
        <v>0</v>
      </c>
      <c r="N139" s="667"/>
      <c r="O139" s="21">
        <f t="shared" si="29"/>
        <v>-0.01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0.05</v>
      </c>
      <c r="L140" s="667"/>
      <c r="M140" s="21">
        <f t="shared" si="28"/>
        <v>0</v>
      </c>
      <c r="N140" s="667"/>
      <c r="O140" s="21">
        <f t="shared" si="29"/>
        <v>-0.01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0.05</v>
      </c>
      <c r="L141" s="667"/>
      <c r="M141" s="21">
        <f t="shared" si="28"/>
        <v>0</v>
      </c>
      <c r="N141" s="667"/>
      <c r="O141" s="21">
        <f t="shared" si="29"/>
        <v>-0.01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0.05</v>
      </c>
      <c r="L142" s="667"/>
      <c r="M142" s="21">
        <f t="shared" si="28"/>
        <v>0</v>
      </c>
      <c r="N142" s="667"/>
      <c r="O142" s="21">
        <f t="shared" si="29"/>
        <v>-0.01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0.05</v>
      </c>
      <c r="L143" s="667"/>
      <c r="M143" s="21">
        <f t="shared" si="28"/>
        <v>0</v>
      </c>
      <c r="N143" s="667"/>
      <c r="O143" s="21">
        <f t="shared" si="29"/>
        <v>-0.01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0.05</v>
      </c>
      <c r="L144" s="667"/>
      <c r="M144" s="21">
        <f t="shared" si="28"/>
        <v>0</v>
      </c>
      <c r="N144" s="667"/>
      <c r="O144" s="21">
        <f t="shared" si="29"/>
        <v>-0.01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0.05</v>
      </c>
      <c r="L145" s="667"/>
      <c r="M145" s="21">
        <f t="shared" si="28"/>
        <v>0</v>
      </c>
      <c r="N145" s="667"/>
      <c r="O145" s="21">
        <f t="shared" si="29"/>
        <v>-0.01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0.05</v>
      </c>
      <c r="L146" s="667"/>
      <c r="M146" s="21">
        <f t="shared" si="28"/>
        <v>0</v>
      </c>
      <c r="N146" s="667"/>
      <c r="O146" s="21">
        <f t="shared" si="29"/>
        <v>-0.01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0.05</v>
      </c>
      <c r="L147" s="667"/>
      <c r="M147" s="21">
        <f t="shared" si="28"/>
        <v>0</v>
      </c>
      <c r="N147" s="667"/>
      <c r="O147" s="21">
        <f t="shared" si="29"/>
        <v>-0.01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0.05</v>
      </c>
      <c r="L148" s="667"/>
      <c r="M148" s="21">
        <f t="shared" si="28"/>
        <v>0</v>
      </c>
      <c r="N148" s="667"/>
      <c r="O148" s="21">
        <f t="shared" si="29"/>
        <v>-0.01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0.05</v>
      </c>
      <c r="L149" s="667"/>
      <c r="M149" s="21">
        <f t="shared" si="28"/>
        <v>0</v>
      </c>
      <c r="N149" s="667"/>
      <c r="O149" s="21">
        <f t="shared" si="29"/>
        <v>-0.01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0.05</v>
      </c>
      <c r="L150" s="667"/>
      <c r="M150" s="21">
        <f t="shared" si="28"/>
        <v>0</v>
      </c>
      <c r="N150" s="667"/>
      <c r="O150" s="21">
        <f t="shared" si="29"/>
        <v>-0.01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0.05</v>
      </c>
      <c r="L151" s="667"/>
      <c r="M151" s="21">
        <f t="shared" si="28"/>
        <v>0</v>
      </c>
      <c r="N151" s="667"/>
      <c r="O151" s="21">
        <f t="shared" si="29"/>
        <v>-0.01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0.05</v>
      </c>
      <c r="L152" s="667"/>
      <c r="M152" s="21">
        <f t="shared" si="28"/>
        <v>0</v>
      </c>
      <c r="N152" s="667"/>
      <c r="O152" s="21">
        <f t="shared" si="29"/>
        <v>-0.01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0.05</v>
      </c>
      <c r="L153" s="667"/>
      <c r="M153" s="21">
        <f t="shared" si="28"/>
        <v>0</v>
      </c>
      <c r="N153" s="667"/>
      <c r="O153" s="21">
        <f t="shared" si="29"/>
        <v>-0.01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0.05</v>
      </c>
      <c r="L154" s="667"/>
      <c r="M154" s="21">
        <f t="shared" ref="M154:M217" si="38">(SUMIF($13:$13,L154,$14:$14)-SUMIF($13:$13,$L$24,$14:$14)+100)/100</f>
        <v>0</v>
      </c>
      <c r="N154" s="667"/>
      <c r="O154" s="21">
        <f t="shared" ref="O154:O217" si="39">(SUMIF($15:$15,N154,$16:$16)-SUMIF($15:$15,$N$24,$16:$16)+100)/100</f>
        <v>-0.01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0.05</v>
      </c>
      <c r="L155" s="667"/>
      <c r="M155" s="21">
        <f t="shared" si="38"/>
        <v>0</v>
      </c>
      <c r="N155" s="667"/>
      <c r="O155" s="21">
        <f t="shared" si="39"/>
        <v>-0.01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0.05</v>
      </c>
      <c r="L156" s="667"/>
      <c r="M156" s="21">
        <f t="shared" si="38"/>
        <v>0</v>
      </c>
      <c r="N156" s="667"/>
      <c r="O156" s="21">
        <f t="shared" si="39"/>
        <v>-0.01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0.05</v>
      </c>
      <c r="L157" s="667"/>
      <c r="M157" s="21">
        <f t="shared" si="38"/>
        <v>0</v>
      </c>
      <c r="N157" s="667"/>
      <c r="O157" s="21">
        <f t="shared" si="39"/>
        <v>-0.01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0.05</v>
      </c>
      <c r="L158" s="667"/>
      <c r="M158" s="21">
        <f t="shared" si="38"/>
        <v>0</v>
      </c>
      <c r="N158" s="667"/>
      <c r="O158" s="21">
        <f t="shared" si="39"/>
        <v>-0.01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0.05</v>
      </c>
      <c r="L159" s="667"/>
      <c r="M159" s="21">
        <f t="shared" si="38"/>
        <v>0</v>
      </c>
      <c r="N159" s="667"/>
      <c r="O159" s="21">
        <f t="shared" si="39"/>
        <v>-0.01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0.05</v>
      </c>
      <c r="L160" s="667"/>
      <c r="M160" s="21">
        <f t="shared" si="38"/>
        <v>0</v>
      </c>
      <c r="N160" s="667"/>
      <c r="O160" s="21">
        <f t="shared" si="39"/>
        <v>-0.01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0.05</v>
      </c>
      <c r="L161" s="667"/>
      <c r="M161" s="21">
        <f t="shared" si="38"/>
        <v>0</v>
      </c>
      <c r="N161" s="667"/>
      <c r="O161" s="21">
        <f t="shared" si="39"/>
        <v>-0.01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0.05</v>
      </c>
      <c r="L162" s="667"/>
      <c r="M162" s="21">
        <f t="shared" si="38"/>
        <v>0</v>
      </c>
      <c r="N162" s="667"/>
      <c r="O162" s="21">
        <f t="shared" si="39"/>
        <v>-0.01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0.05</v>
      </c>
      <c r="L163" s="667"/>
      <c r="M163" s="21">
        <f t="shared" si="38"/>
        <v>0</v>
      </c>
      <c r="N163" s="667"/>
      <c r="O163" s="21">
        <f t="shared" si="39"/>
        <v>-0.01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0.05</v>
      </c>
      <c r="L164" s="667"/>
      <c r="M164" s="21">
        <f t="shared" si="38"/>
        <v>0</v>
      </c>
      <c r="N164" s="667"/>
      <c r="O164" s="21">
        <f t="shared" si="39"/>
        <v>-0.01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0.05</v>
      </c>
      <c r="L165" s="667"/>
      <c r="M165" s="21">
        <f t="shared" si="38"/>
        <v>0</v>
      </c>
      <c r="N165" s="667"/>
      <c r="O165" s="21">
        <f t="shared" si="39"/>
        <v>-0.01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0.05</v>
      </c>
      <c r="L166" s="667"/>
      <c r="M166" s="21">
        <f t="shared" si="38"/>
        <v>0</v>
      </c>
      <c r="N166" s="667"/>
      <c r="O166" s="21">
        <f t="shared" si="39"/>
        <v>-0.01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0.05</v>
      </c>
      <c r="L167" s="667"/>
      <c r="M167" s="21">
        <f t="shared" si="38"/>
        <v>0</v>
      </c>
      <c r="N167" s="667"/>
      <c r="O167" s="21">
        <f t="shared" si="39"/>
        <v>-0.01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0.05</v>
      </c>
      <c r="L168" s="667"/>
      <c r="M168" s="21">
        <f t="shared" si="38"/>
        <v>0</v>
      </c>
      <c r="N168" s="667"/>
      <c r="O168" s="21">
        <f t="shared" si="39"/>
        <v>-0.01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0.05</v>
      </c>
      <c r="L169" s="667"/>
      <c r="M169" s="21">
        <f t="shared" si="38"/>
        <v>0</v>
      </c>
      <c r="N169" s="667"/>
      <c r="O169" s="21">
        <f t="shared" si="39"/>
        <v>-0.01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0.05</v>
      </c>
      <c r="L170" s="667"/>
      <c r="M170" s="21">
        <f t="shared" si="38"/>
        <v>0</v>
      </c>
      <c r="N170" s="667"/>
      <c r="O170" s="21">
        <f t="shared" si="39"/>
        <v>-0.01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0.05</v>
      </c>
      <c r="L171" s="667"/>
      <c r="M171" s="21">
        <f t="shared" si="38"/>
        <v>0</v>
      </c>
      <c r="N171" s="667"/>
      <c r="O171" s="21">
        <f t="shared" si="39"/>
        <v>-0.01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0.05</v>
      </c>
      <c r="L172" s="667"/>
      <c r="M172" s="21">
        <f t="shared" si="38"/>
        <v>0</v>
      </c>
      <c r="N172" s="667"/>
      <c r="O172" s="21">
        <f t="shared" si="39"/>
        <v>-0.01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0.05</v>
      </c>
      <c r="L173" s="667"/>
      <c r="M173" s="21">
        <f t="shared" si="38"/>
        <v>0</v>
      </c>
      <c r="N173" s="667"/>
      <c r="O173" s="21">
        <f t="shared" si="39"/>
        <v>-0.01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0.05</v>
      </c>
      <c r="L174" s="667"/>
      <c r="M174" s="21">
        <f t="shared" si="38"/>
        <v>0</v>
      </c>
      <c r="N174" s="667"/>
      <c r="O174" s="21">
        <f t="shared" si="39"/>
        <v>-0.01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0.05</v>
      </c>
      <c r="L175" s="667"/>
      <c r="M175" s="21">
        <f t="shared" si="38"/>
        <v>0</v>
      </c>
      <c r="N175" s="667"/>
      <c r="O175" s="21">
        <f t="shared" si="39"/>
        <v>-0.01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0.05</v>
      </c>
      <c r="L176" s="667"/>
      <c r="M176" s="21">
        <f t="shared" si="38"/>
        <v>0</v>
      </c>
      <c r="N176" s="667"/>
      <c r="O176" s="21">
        <f t="shared" si="39"/>
        <v>-0.01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0.05</v>
      </c>
      <c r="L177" s="667"/>
      <c r="M177" s="21">
        <f t="shared" si="38"/>
        <v>0</v>
      </c>
      <c r="N177" s="667"/>
      <c r="O177" s="21">
        <f t="shared" si="39"/>
        <v>-0.01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0.05</v>
      </c>
      <c r="L178" s="667"/>
      <c r="M178" s="21">
        <f t="shared" si="38"/>
        <v>0</v>
      </c>
      <c r="N178" s="667"/>
      <c r="O178" s="21">
        <f t="shared" si="39"/>
        <v>-0.01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0.05</v>
      </c>
      <c r="L179" s="667"/>
      <c r="M179" s="21">
        <f t="shared" si="38"/>
        <v>0</v>
      </c>
      <c r="N179" s="667"/>
      <c r="O179" s="21">
        <f t="shared" si="39"/>
        <v>-0.01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0.05</v>
      </c>
      <c r="L180" s="667"/>
      <c r="M180" s="21">
        <f t="shared" si="38"/>
        <v>0</v>
      </c>
      <c r="N180" s="667"/>
      <c r="O180" s="21">
        <f t="shared" si="39"/>
        <v>-0.01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0.05</v>
      </c>
      <c r="L181" s="667"/>
      <c r="M181" s="21">
        <f t="shared" si="38"/>
        <v>0</v>
      </c>
      <c r="N181" s="667"/>
      <c r="O181" s="21">
        <f t="shared" si="39"/>
        <v>-0.01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0.05</v>
      </c>
      <c r="L182" s="667"/>
      <c r="M182" s="21">
        <f t="shared" si="38"/>
        <v>0</v>
      </c>
      <c r="N182" s="667"/>
      <c r="O182" s="21">
        <f t="shared" si="39"/>
        <v>-0.01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0.05</v>
      </c>
      <c r="L183" s="667"/>
      <c r="M183" s="21">
        <f t="shared" si="38"/>
        <v>0</v>
      </c>
      <c r="N183" s="667"/>
      <c r="O183" s="21">
        <f t="shared" si="39"/>
        <v>-0.01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0.05</v>
      </c>
      <c r="L184" s="667"/>
      <c r="M184" s="21">
        <f t="shared" si="38"/>
        <v>0</v>
      </c>
      <c r="N184" s="667"/>
      <c r="O184" s="21">
        <f t="shared" si="39"/>
        <v>-0.01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0.05</v>
      </c>
      <c r="L185" s="667"/>
      <c r="M185" s="21">
        <f t="shared" si="38"/>
        <v>0</v>
      </c>
      <c r="N185" s="667"/>
      <c r="O185" s="21">
        <f t="shared" si="39"/>
        <v>-0.01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0.05</v>
      </c>
      <c r="L186" s="667"/>
      <c r="M186" s="21">
        <f t="shared" si="38"/>
        <v>0</v>
      </c>
      <c r="N186" s="667"/>
      <c r="O186" s="21">
        <f t="shared" si="39"/>
        <v>-0.01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0.05</v>
      </c>
      <c r="L187" s="667"/>
      <c r="M187" s="21">
        <f t="shared" si="38"/>
        <v>0</v>
      </c>
      <c r="N187" s="667"/>
      <c r="O187" s="21">
        <f t="shared" si="39"/>
        <v>-0.01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0.05</v>
      </c>
      <c r="L188" s="667"/>
      <c r="M188" s="21">
        <f t="shared" si="38"/>
        <v>0</v>
      </c>
      <c r="N188" s="667"/>
      <c r="O188" s="21">
        <f t="shared" si="39"/>
        <v>-0.01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0.05</v>
      </c>
      <c r="L189" s="667"/>
      <c r="M189" s="21">
        <f t="shared" si="38"/>
        <v>0</v>
      </c>
      <c r="N189" s="667"/>
      <c r="O189" s="21">
        <f t="shared" si="39"/>
        <v>-0.01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0.05</v>
      </c>
      <c r="L190" s="667"/>
      <c r="M190" s="21">
        <f t="shared" si="38"/>
        <v>0</v>
      </c>
      <c r="N190" s="667"/>
      <c r="O190" s="21">
        <f t="shared" si="39"/>
        <v>-0.01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0.05</v>
      </c>
      <c r="L191" s="667"/>
      <c r="M191" s="21">
        <f t="shared" si="38"/>
        <v>0</v>
      </c>
      <c r="N191" s="667"/>
      <c r="O191" s="21">
        <f t="shared" si="39"/>
        <v>-0.01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0.05</v>
      </c>
      <c r="L192" s="667"/>
      <c r="M192" s="21">
        <f t="shared" si="38"/>
        <v>0</v>
      </c>
      <c r="N192" s="667"/>
      <c r="O192" s="21">
        <f t="shared" si="39"/>
        <v>-0.01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0.05</v>
      </c>
      <c r="L193" s="667"/>
      <c r="M193" s="21">
        <f t="shared" si="38"/>
        <v>0</v>
      </c>
      <c r="N193" s="667"/>
      <c r="O193" s="21">
        <f t="shared" si="39"/>
        <v>-0.01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0.05</v>
      </c>
      <c r="L194" s="667"/>
      <c r="M194" s="21">
        <f t="shared" si="38"/>
        <v>0</v>
      </c>
      <c r="N194" s="667"/>
      <c r="O194" s="21">
        <f t="shared" si="39"/>
        <v>-0.01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0.05</v>
      </c>
      <c r="L195" s="667"/>
      <c r="M195" s="21">
        <f t="shared" si="38"/>
        <v>0</v>
      </c>
      <c r="N195" s="667"/>
      <c r="O195" s="21">
        <f t="shared" si="39"/>
        <v>-0.01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0.05</v>
      </c>
      <c r="L196" s="667"/>
      <c r="M196" s="21">
        <f t="shared" si="38"/>
        <v>0</v>
      </c>
      <c r="N196" s="667"/>
      <c r="O196" s="21">
        <f t="shared" si="39"/>
        <v>-0.01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0.05</v>
      </c>
      <c r="L197" s="667"/>
      <c r="M197" s="21">
        <f t="shared" si="38"/>
        <v>0</v>
      </c>
      <c r="N197" s="667"/>
      <c r="O197" s="21">
        <f t="shared" si="39"/>
        <v>-0.01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0.05</v>
      </c>
      <c r="L198" s="667"/>
      <c r="M198" s="21">
        <f t="shared" si="38"/>
        <v>0</v>
      </c>
      <c r="N198" s="667"/>
      <c r="O198" s="21">
        <f t="shared" si="39"/>
        <v>-0.01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0.05</v>
      </c>
      <c r="L199" s="667"/>
      <c r="M199" s="21">
        <f t="shared" si="38"/>
        <v>0</v>
      </c>
      <c r="N199" s="667"/>
      <c r="O199" s="21">
        <f t="shared" si="39"/>
        <v>-0.01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0.05</v>
      </c>
      <c r="L200" s="667"/>
      <c r="M200" s="21">
        <f t="shared" si="38"/>
        <v>0</v>
      </c>
      <c r="N200" s="667"/>
      <c r="O200" s="21">
        <f t="shared" si="39"/>
        <v>-0.01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0.05</v>
      </c>
      <c r="L201" s="667"/>
      <c r="M201" s="21">
        <f t="shared" si="38"/>
        <v>0</v>
      </c>
      <c r="N201" s="667"/>
      <c r="O201" s="21">
        <f t="shared" si="39"/>
        <v>-0.01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0.05</v>
      </c>
      <c r="L202" s="667"/>
      <c r="M202" s="21">
        <f t="shared" si="38"/>
        <v>0</v>
      </c>
      <c r="N202" s="667"/>
      <c r="O202" s="21">
        <f t="shared" si="39"/>
        <v>-0.01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0.05</v>
      </c>
      <c r="L203" s="667"/>
      <c r="M203" s="21">
        <f t="shared" si="38"/>
        <v>0</v>
      </c>
      <c r="N203" s="667"/>
      <c r="O203" s="21">
        <f t="shared" si="39"/>
        <v>-0.01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0.05</v>
      </c>
      <c r="L204" s="667"/>
      <c r="M204" s="21">
        <f t="shared" si="38"/>
        <v>0</v>
      </c>
      <c r="N204" s="667"/>
      <c r="O204" s="21">
        <f t="shared" si="39"/>
        <v>-0.01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0.05</v>
      </c>
      <c r="L205" s="667"/>
      <c r="M205" s="21">
        <f t="shared" si="38"/>
        <v>0</v>
      </c>
      <c r="N205" s="667"/>
      <c r="O205" s="21">
        <f t="shared" si="39"/>
        <v>-0.01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0.05</v>
      </c>
      <c r="L206" s="667"/>
      <c r="M206" s="21">
        <f t="shared" si="38"/>
        <v>0</v>
      </c>
      <c r="N206" s="667"/>
      <c r="O206" s="21">
        <f t="shared" si="39"/>
        <v>-0.01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0.05</v>
      </c>
      <c r="L207" s="667"/>
      <c r="M207" s="21">
        <f t="shared" si="38"/>
        <v>0</v>
      </c>
      <c r="N207" s="667"/>
      <c r="O207" s="21">
        <f t="shared" si="39"/>
        <v>-0.01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0.05</v>
      </c>
      <c r="L208" s="667"/>
      <c r="M208" s="21">
        <f t="shared" si="38"/>
        <v>0</v>
      </c>
      <c r="N208" s="667"/>
      <c r="O208" s="21">
        <f t="shared" si="39"/>
        <v>-0.01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0.05</v>
      </c>
      <c r="L209" s="667"/>
      <c r="M209" s="21">
        <f t="shared" si="38"/>
        <v>0</v>
      </c>
      <c r="N209" s="667"/>
      <c r="O209" s="21">
        <f t="shared" si="39"/>
        <v>-0.01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0.05</v>
      </c>
      <c r="L210" s="667"/>
      <c r="M210" s="21">
        <f t="shared" si="38"/>
        <v>0</v>
      </c>
      <c r="N210" s="667"/>
      <c r="O210" s="21">
        <f t="shared" si="39"/>
        <v>-0.01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0.05</v>
      </c>
      <c r="L211" s="667"/>
      <c r="M211" s="21">
        <f t="shared" si="38"/>
        <v>0</v>
      </c>
      <c r="N211" s="667"/>
      <c r="O211" s="21">
        <f t="shared" si="39"/>
        <v>-0.01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0.05</v>
      </c>
      <c r="L212" s="667"/>
      <c r="M212" s="21">
        <f t="shared" si="38"/>
        <v>0</v>
      </c>
      <c r="N212" s="667"/>
      <c r="O212" s="21">
        <f t="shared" si="39"/>
        <v>-0.01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0.05</v>
      </c>
      <c r="L213" s="667"/>
      <c r="M213" s="21">
        <f t="shared" si="38"/>
        <v>0</v>
      </c>
      <c r="N213" s="667"/>
      <c r="O213" s="21">
        <f t="shared" si="39"/>
        <v>-0.01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0.05</v>
      </c>
      <c r="L214" s="667"/>
      <c r="M214" s="21">
        <f t="shared" si="38"/>
        <v>0</v>
      </c>
      <c r="N214" s="667"/>
      <c r="O214" s="21">
        <f t="shared" si="39"/>
        <v>-0.01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0.05</v>
      </c>
      <c r="L215" s="667"/>
      <c r="M215" s="21">
        <f t="shared" si="38"/>
        <v>0</v>
      </c>
      <c r="N215" s="667"/>
      <c r="O215" s="21">
        <f t="shared" si="39"/>
        <v>-0.01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0.05</v>
      </c>
      <c r="L216" s="667"/>
      <c r="M216" s="21">
        <f t="shared" si="38"/>
        <v>0</v>
      </c>
      <c r="N216" s="667"/>
      <c r="O216" s="21">
        <f t="shared" si="39"/>
        <v>-0.01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0.05</v>
      </c>
      <c r="L217" s="667"/>
      <c r="M217" s="21">
        <f t="shared" si="38"/>
        <v>0</v>
      </c>
      <c r="N217" s="667"/>
      <c r="O217" s="21">
        <f t="shared" si="39"/>
        <v>-0.01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0.05</v>
      </c>
      <c r="L218" s="667"/>
      <c r="M218" s="21">
        <f t="shared" ref="M218:M281" si="48">(SUMIF($13:$13,L218,$14:$14)-SUMIF($13:$13,$L$24,$14:$14)+100)/100</f>
        <v>0</v>
      </c>
      <c r="N218" s="667"/>
      <c r="O218" s="21">
        <f t="shared" ref="O218:O281" si="49">(SUMIF($15:$15,N218,$16:$16)-SUMIF($15:$15,$N$24,$16:$16)+100)/100</f>
        <v>-0.01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0.05</v>
      </c>
      <c r="L219" s="667"/>
      <c r="M219" s="21">
        <f t="shared" si="48"/>
        <v>0</v>
      </c>
      <c r="N219" s="667"/>
      <c r="O219" s="21">
        <f t="shared" si="49"/>
        <v>-0.01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0.05</v>
      </c>
      <c r="L220" s="667"/>
      <c r="M220" s="21">
        <f t="shared" si="48"/>
        <v>0</v>
      </c>
      <c r="N220" s="667"/>
      <c r="O220" s="21">
        <f t="shared" si="49"/>
        <v>-0.01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0.05</v>
      </c>
      <c r="L221" s="667"/>
      <c r="M221" s="21">
        <f t="shared" si="48"/>
        <v>0</v>
      </c>
      <c r="N221" s="667"/>
      <c r="O221" s="21">
        <f t="shared" si="49"/>
        <v>-0.01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0.05</v>
      </c>
      <c r="L222" s="667"/>
      <c r="M222" s="21">
        <f t="shared" si="48"/>
        <v>0</v>
      </c>
      <c r="N222" s="667"/>
      <c r="O222" s="21">
        <f t="shared" si="49"/>
        <v>-0.01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0.05</v>
      </c>
      <c r="L223" s="667"/>
      <c r="M223" s="21">
        <f t="shared" si="48"/>
        <v>0</v>
      </c>
      <c r="N223" s="667"/>
      <c r="O223" s="21">
        <f t="shared" si="49"/>
        <v>-0.01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0.05</v>
      </c>
      <c r="L224" s="667"/>
      <c r="M224" s="21">
        <f t="shared" si="48"/>
        <v>0</v>
      </c>
      <c r="N224" s="667"/>
      <c r="O224" s="21">
        <f t="shared" si="49"/>
        <v>-0.01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0.05</v>
      </c>
      <c r="L225" s="667"/>
      <c r="M225" s="21">
        <f t="shared" si="48"/>
        <v>0</v>
      </c>
      <c r="N225" s="667"/>
      <c r="O225" s="21">
        <f t="shared" si="49"/>
        <v>-0.01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0.05</v>
      </c>
      <c r="L226" s="667"/>
      <c r="M226" s="21">
        <f t="shared" si="48"/>
        <v>0</v>
      </c>
      <c r="N226" s="667"/>
      <c r="O226" s="21">
        <f t="shared" si="49"/>
        <v>-0.01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0.05</v>
      </c>
      <c r="L227" s="667"/>
      <c r="M227" s="21">
        <f t="shared" si="48"/>
        <v>0</v>
      </c>
      <c r="N227" s="667"/>
      <c r="O227" s="21">
        <f t="shared" si="49"/>
        <v>-0.01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0.05</v>
      </c>
      <c r="L228" s="667"/>
      <c r="M228" s="21">
        <f t="shared" si="48"/>
        <v>0</v>
      </c>
      <c r="N228" s="667"/>
      <c r="O228" s="21">
        <f t="shared" si="49"/>
        <v>-0.01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0.05</v>
      </c>
      <c r="L229" s="667"/>
      <c r="M229" s="21">
        <f t="shared" si="48"/>
        <v>0</v>
      </c>
      <c r="N229" s="667"/>
      <c r="O229" s="21">
        <f t="shared" si="49"/>
        <v>-0.01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0.05</v>
      </c>
      <c r="L230" s="667"/>
      <c r="M230" s="21">
        <f t="shared" si="48"/>
        <v>0</v>
      </c>
      <c r="N230" s="667"/>
      <c r="O230" s="21">
        <f t="shared" si="49"/>
        <v>-0.01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0.05</v>
      </c>
      <c r="L231" s="667"/>
      <c r="M231" s="21">
        <f t="shared" si="48"/>
        <v>0</v>
      </c>
      <c r="N231" s="667"/>
      <c r="O231" s="21">
        <f t="shared" si="49"/>
        <v>-0.01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0.05</v>
      </c>
      <c r="L232" s="667"/>
      <c r="M232" s="21">
        <f t="shared" si="48"/>
        <v>0</v>
      </c>
      <c r="N232" s="667"/>
      <c r="O232" s="21">
        <f t="shared" si="49"/>
        <v>-0.01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0.05</v>
      </c>
      <c r="L233" s="667"/>
      <c r="M233" s="21">
        <f t="shared" si="48"/>
        <v>0</v>
      </c>
      <c r="N233" s="667"/>
      <c r="O233" s="21">
        <f t="shared" si="49"/>
        <v>-0.01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0.05</v>
      </c>
      <c r="L234" s="667"/>
      <c r="M234" s="21">
        <f t="shared" si="48"/>
        <v>0</v>
      </c>
      <c r="N234" s="667"/>
      <c r="O234" s="21">
        <f t="shared" si="49"/>
        <v>-0.01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0.05</v>
      </c>
      <c r="L235" s="667"/>
      <c r="M235" s="21">
        <f t="shared" si="48"/>
        <v>0</v>
      </c>
      <c r="N235" s="667"/>
      <c r="O235" s="21">
        <f t="shared" si="49"/>
        <v>-0.01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0.05</v>
      </c>
      <c r="L236" s="667"/>
      <c r="M236" s="21">
        <f t="shared" si="48"/>
        <v>0</v>
      </c>
      <c r="N236" s="667"/>
      <c r="O236" s="21">
        <f t="shared" si="49"/>
        <v>-0.01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0.05</v>
      </c>
      <c r="L237" s="667"/>
      <c r="M237" s="21">
        <f t="shared" si="48"/>
        <v>0</v>
      </c>
      <c r="N237" s="667"/>
      <c r="O237" s="21">
        <f t="shared" si="49"/>
        <v>-0.01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0.05</v>
      </c>
      <c r="L238" s="667"/>
      <c r="M238" s="21">
        <f t="shared" si="48"/>
        <v>0</v>
      </c>
      <c r="N238" s="667"/>
      <c r="O238" s="21">
        <f t="shared" si="49"/>
        <v>-0.01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0.05</v>
      </c>
      <c r="L239" s="667"/>
      <c r="M239" s="21">
        <f t="shared" si="48"/>
        <v>0</v>
      </c>
      <c r="N239" s="667"/>
      <c r="O239" s="21">
        <f t="shared" si="49"/>
        <v>-0.01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0.05</v>
      </c>
      <c r="L240" s="667"/>
      <c r="M240" s="21">
        <f t="shared" si="48"/>
        <v>0</v>
      </c>
      <c r="N240" s="667"/>
      <c r="O240" s="21">
        <f t="shared" si="49"/>
        <v>-0.01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0.05</v>
      </c>
      <c r="L241" s="667"/>
      <c r="M241" s="21">
        <f t="shared" si="48"/>
        <v>0</v>
      </c>
      <c r="N241" s="667"/>
      <c r="O241" s="21">
        <f t="shared" si="49"/>
        <v>-0.01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0.05</v>
      </c>
      <c r="L242" s="667"/>
      <c r="M242" s="21">
        <f t="shared" si="48"/>
        <v>0</v>
      </c>
      <c r="N242" s="667"/>
      <c r="O242" s="21">
        <f t="shared" si="49"/>
        <v>-0.01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0.05</v>
      </c>
      <c r="L243" s="667"/>
      <c r="M243" s="21">
        <f t="shared" si="48"/>
        <v>0</v>
      </c>
      <c r="N243" s="667"/>
      <c r="O243" s="21">
        <f t="shared" si="49"/>
        <v>-0.01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0.05</v>
      </c>
      <c r="L244" s="667"/>
      <c r="M244" s="21">
        <f t="shared" si="48"/>
        <v>0</v>
      </c>
      <c r="N244" s="667"/>
      <c r="O244" s="21">
        <f t="shared" si="49"/>
        <v>-0.01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0.05</v>
      </c>
      <c r="L245" s="667"/>
      <c r="M245" s="21">
        <f t="shared" si="48"/>
        <v>0</v>
      </c>
      <c r="N245" s="667"/>
      <c r="O245" s="21">
        <f t="shared" si="49"/>
        <v>-0.01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0.05</v>
      </c>
      <c r="L246" s="667"/>
      <c r="M246" s="21">
        <f t="shared" si="48"/>
        <v>0</v>
      </c>
      <c r="N246" s="667"/>
      <c r="O246" s="21">
        <f t="shared" si="49"/>
        <v>-0.01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0.05</v>
      </c>
      <c r="L247" s="667"/>
      <c r="M247" s="21">
        <f t="shared" si="48"/>
        <v>0</v>
      </c>
      <c r="N247" s="667"/>
      <c r="O247" s="21">
        <f t="shared" si="49"/>
        <v>-0.01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0.05</v>
      </c>
      <c r="L248" s="667"/>
      <c r="M248" s="21">
        <f t="shared" si="48"/>
        <v>0</v>
      </c>
      <c r="N248" s="667"/>
      <c r="O248" s="21">
        <f t="shared" si="49"/>
        <v>-0.01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0.05</v>
      </c>
      <c r="L249" s="667"/>
      <c r="M249" s="21">
        <f t="shared" si="48"/>
        <v>0</v>
      </c>
      <c r="N249" s="667"/>
      <c r="O249" s="21">
        <f t="shared" si="49"/>
        <v>-0.01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0.05</v>
      </c>
      <c r="L250" s="667"/>
      <c r="M250" s="21">
        <f t="shared" si="48"/>
        <v>0</v>
      </c>
      <c r="N250" s="667"/>
      <c r="O250" s="21">
        <f t="shared" si="49"/>
        <v>-0.01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0.05</v>
      </c>
      <c r="L251" s="667"/>
      <c r="M251" s="21">
        <f t="shared" si="48"/>
        <v>0</v>
      </c>
      <c r="N251" s="667"/>
      <c r="O251" s="21">
        <f t="shared" si="49"/>
        <v>-0.01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0.05</v>
      </c>
      <c r="L252" s="667"/>
      <c r="M252" s="21">
        <f t="shared" si="48"/>
        <v>0</v>
      </c>
      <c r="N252" s="667"/>
      <c r="O252" s="21">
        <f t="shared" si="49"/>
        <v>-0.01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0.05</v>
      </c>
      <c r="L253" s="667"/>
      <c r="M253" s="21">
        <f t="shared" si="48"/>
        <v>0</v>
      </c>
      <c r="N253" s="667"/>
      <c r="O253" s="21">
        <f t="shared" si="49"/>
        <v>-0.01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0.05</v>
      </c>
      <c r="L254" s="667"/>
      <c r="M254" s="21">
        <f t="shared" si="48"/>
        <v>0</v>
      </c>
      <c r="N254" s="667"/>
      <c r="O254" s="21">
        <f t="shared" si="49"/>
        <v>-0.01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0.05</v>
      </c>
      <c r="L255" s="667"/>
      <c r="M255" s="21">
        <f t="shared" si="48"/>
        <v>0</v>
      </c>
      <c r="N255" s="667"/>
      <c r="O255" s="21">
        <f t="shared" si="49"/>
        <v>-0.01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0.05</v>
      </c>
      <c r="L256" s="667"/>
      <c r="M256" s="21">
        <f t="shared" si="48"/>
        <v>0</v>
      </c>
      <c r="N256" s="667"/>
      <c r="O256" s="21">
        <f t="shared" si="49"/>
        <v>-0.01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0.05</v>
      </c>
      <c r="L257" s="667"/>
      <c r="M257" s="21">
        <f t="shared" si="48"/>
        <v>0</v>
      </c>
      <c r="N257" s="667"/>
      <c r="O257" s="21">
        <f t="shared" si="49"/>
        <v>-0.01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0.05</v>
      </c>
      <c r="L258" s="667"/>
      <c r="M258" s="21">
        <f t="shared" si="48"/>
        <v>0</v>
      </c>
      <c r="N258" s="667"/>
      <c r="O258" s="21">
        <f t="shared" si="49"/>
        <v>-0.01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0.05</v>
      </c>
      <c r="L259" s="667"/>
      <c r="M259" s="21">
        <f t="shared" si="48"/>
        <v>0</v>
      </c>
      <c r="N259" s="667"/>
      <c r="O259" s="21">
        <f t="shared" si="49"/>
        <v>-0.01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0.05</v>
      </c>
      <c r="L260" s="667"/>
      <c r="M260" s="21">
        <f t="shared" si="48"/>
        <v>0</v>
      </c>
      <c r="N260" s="667"/>
      <c r="O260" s="21">
        <f t="shared" si="49"/>
        <v>-0.01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0.05</v>
      </c>
      <c r="L261" s="667"/>
      <c r="M261" s="21">
        <f t="shared" si="48"/>
        <v>0</v>
      </c>
      <c r="N261" s="667"/>
      <c r="O261" s="21">
        <f t="shared" si="49"/>
        <v>-0.01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0.05</v>
      </c>
      <c r="L262" s="667"/>
      <c r="M262" s="21">
        <f t="shared" si="48"/>
        <v>0</v>
      </c>
      <c r="N262" s="667"/>
      <c r="O262" s="21">
        <f t="shared" si="49"/>
        <v>-0.01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0.05</v>
      </c>
      <c r="L263" s="667"/>
      <c r="M263" s="21">
        <f t="shared" si="48"/>
        <v>0</v>
      </c>
      <c r="N263" s="667"/>
      <c r="O263" s="21">
        <f t="shared" si="49"/>
        <v>-0.01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0.05</v>
      </c>
      <c r="L264" s="667"/>
      <c r="M264" s="21">
        <f t="shared" si="48"/>
        <v>0</v>
      </c>
      <c r="N264" s="667"/>
      <c r="O264" s="21">
        <f t="shared" si="49"/>
        <v>-0.01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0.05</v>
      </c>
      <c r="L265" s="667"/>
      <c r="M265" s="21">
        <f t="shared" si="48"/>
        <v>0</v>
      </c>
      <c r="N265" s="667"/>
      <c r="O265" s="21">
        <f t="shared" si="49"/>
        <v>-0.01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0.05</v>
      </c>
      <c r="L266" s="667"/>
      <c r="M266" s="21">
        <f t="shared" si="48"/>
        <v>0</v>
      </c>
      <c r="N266" s="667"/>
      <c r="O266" s="21">
        <f t="shared" si="49"/>
        <v>-0.01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0.05</v>
      </c>
      <c r="L267" s="667"/>
      <c r="M267" s="21">
        <f t="shared" si="48"/>
        <v>0</v>
      </c>
      <c r="N267" s="667"/>
      <c r="O267" s="21">
        <f t="shared" si="49"/>
        <v>-0.01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0.05</v>
      </c>
      <c r="L268" s="667"/>
      <c r="M268" s="21">
        <f t="shared" si="48"/>
        <v>0</v>
      </c>
      <c r="N268" s="667"/>
      <c r="O268" s="21">
        <f t="shared" si="49"/>
        <v>-0.01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0.05</v>
      </c>
      <c r="L269" s="667"/>
      <c r="M269" s="21">
        <f t="shared" si="48"/>
        <v>0</v>
      </c>
      <c r="N269" s="667"/>
      <c r="O269" s="21">
        <f t="shared" si="49"/>
        <v>-0.01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0.05</v>
      </c>
      <c r="L270" s="667"/>
      <c r="M270" s="21">
        <f t="shared" si="48"/>
        <v>0</v>
      </c>
      <c r="N270" s="667"/>
      <c r="O270" s="21">
        <f t="shared" si="49"/>
        <v>-0.01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0.05</v>
      </c>
      <c r="L271" s="667"/>
      <c r="M271" s="21">
        <f t="shared" si="48"/>
        <v>0</v>
      </c>
      <c r="N271" s="667"/>
      <c r="O271" s="21">
        <f t="shared" si="49"/>
        <v>-0.01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0.05</v>
      </c>
      <c r="L272" s="667"/>
      <c r="M272" s="21">
        <f t="shared" si="48"/>
        <v>0</v>
      </c>
      <c r="N272" s="667"/>
      <c r="O272" s="21">
        <f t="shared" si="49"/>
        <v>-0.01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0.05</v>
      </c>
      <c r="L273" s="667"/>
      <c r="M273" s="21">
        <f t="shared" si="48"/>
        <v>0</v>
      </c>
      <c r="N273" s="667"/>
      <c r="O273" s="21">
        <f t="shared" si="49"/>
        <v>-0.01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0.05</v>
      </c>
      <c r="L274" s="667"/>
      <c r="M274" s="21">
        <f t="shared" si="48"/>
        <v>0</v>
      </c>
      <c r="N274" s="667"/>
      <c r="O274" s="21">
        <f t="shared" si="49"/>
        <v>-0.01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0.05</v>
      </c>
      <c r="L275" s="667"/>
      <c r="M275" s="21">
        <f t="shared" si="48"/>
        <v>0</v>
      </c>
      <c r="N275" s="667"/>
      <c r="O275" s="21">
        <f t="shared" si="49"/>
        <v>-0.01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0.05</v>
      </c>
      <c r="L276" s="667"/>
      <c r="M276" s="21">
        <f t="shared" si="48"/>
        <v>0</v>
      </c>
      <c r="N276" s="667"/>
      <c r="O276" s="21">
        <f t="shared" si="49"/>
        <v>-0.01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0.05</v>
      </c>
      <c r="L277" s="667"/>
      <c r="M277" s="21">
        <f t="shared" si="48"/>
        <v>0</v>
      </c>
      <c r="N277" s="667"/>
      <c r="O277" s="21">
        <f t="shared" si="49"/>
        <v>-0.01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0.05</v>
      </c>
      <c r="L278" s="667"/>
      <c r="M278" s="21">
        <f t="shared" si="48"/>
        <v>0</v>
      </c>
      <c r="N278" s="667"/>
      <c r="O278" s="21">
        <f t="shared" si="49"/>
        <v>-0.01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0.05</v>
      </c>
      <c r="L279" s="667"/>
      <c r="M279" s="21">
        <f t="shared" si="48"/>
        <v>0</v>
      </c>
      <c r="N279" s="667"/>
      <c r="O279" s="21">
        <f t="shared" si="49"/>
        <v>-0.01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0.05</v>
      </c>
      <c r="L280" s="667"/>
      <c r="M280" s="21">
        <f t="shared" si="48"/>
        <v>0</v>
      </c>
      <c r="N280" s="667"/>
      <c r="O280" s="21">
        <f t="shared" si="49"/>
        <v>-0.01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0.05</v>
      </c>
      <c r="L281" s="667"/>
      <c r="M281" s="21">
        <f t="shared" si="48"/>
        <v>0</v>
      </c>
      <c r="N281" s="667"/>
      <c r="O281" s="21">
        <f t="shared" si="49"/>
        <v>-0.01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0.05</v>
      </c>
      <c r="L282" s="667"/>
      <c r="M282" s="21">
        <f t="shared" ref="M282:M345" si="58">(SUMIF($13:$13,L282,$14:$14)-SUMIF($13:$13,$L$24,$14:$14)+100)/100</f>
        <v>0</v>
      </c>
      <c r="N282" s="667"/>
      <c r="O282" s="21">
        <f t="shared" ref="O282:O345" si="59">(SUMIF($15:$15,N282,$16:$16)-SUMIF($15:$15,$N$24,$16:$16)+100)/100</f>
        <v>-0.01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0.05</v>
      </c>
      <c r="L283" s="667"/>
      <c r="M283" s="21">
        <f t="shared" si="58"/>
        <v>0</v>
      </c>
      <c r="N283" s="667"/>
      <c r="O283" s="21">
        <f t="shared" si="59"/>
        <v>-0.01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0.05</v>
      </c>
      <c r="L284" s="667"/>
      <c r="M284" s="21">
        <f t="shared" si="58"/>
        <v>0</v>
      </c>
      <c r="N284" s="667"/>
      <c r="O284" s="21">
        <f t="shared" si="59"/>
        <v>-0.01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0.05</v>
      </c>
      <c r="L285" s="667"/>
      <c r="M285" s="21">
        <f t="shared" si="58"/>
        <v>0</v>
      </c>
      <c r="N285" s="667"/>
      <c r="O285" s="21">
        <f t="shared" si="59"/>
        <v>-0.01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0.05</v>
      </c>
      <c r="L286" s="667"/>
      <c r="M286" s="21">
        <f t="shared" si="58"/>
        <v>0</v>
      </c>
      <c r="N286" s="667"/>
      <c r="O286" s="21">
        <f t="shared" si="59"/>
        <v>-0.01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0.05</v>
      </c>
      <c r="L287" s="667"/>
      <c r="M287" s="21">
        <f t="shared" si="58"/>
        <v>0</v>
      </c>
      <c r="N287" s="667"/>
      <c r="O287" s="21">
        <f t="shared" si="59"/>
        <v>-0.01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0.05</v>
      </c>
      <c r="L288" s="667"/>
      <c r="M288" s="21">
        <f t="shared" si="58"/>
        <v>0</v>
      </c>
      <c r="N288" s="667"/>
      <c r="O288" s="21">
        <f t="shared" si="59"/>
        <v>-0.01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0.05</v>
      </c>
      <c r="L289" s="667"/>
      <c r="M289" s="21">
        <f t="shared" si="58"/>
        <v>0</v>
      </c>
      <c r="N289" s="667"/>
      <c r="O289" s="21">
        <f t="shared" si="59"/>
        <v>-0.01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0.05</v>
      </c>
      <c r="L290" s="667"/>
      <c r="M290" s="21">
        <f t="shared" si="58"/>
        <v>0</v>
      </c>
      <c r="N290" s="667"/>
      <c r="O290" s="21">
        <f t="shared" si="59"/>
        <v>-0.01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0.05</v>
      </c>
      <c r="L291" s="667"/>
      <c r="M291" s="21">
        <f t="shared" si="58"/>
        <v>0</v>
      </c>
      <c r="N291" s="667"/>
      <c r="O291" s="21">
        <f t="shared" si="59"/>
        <v>-0.01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0.05</v>
      </c>
      <c r="L292" s="667"/>
      <c r="M292" s="21">
        <f t="shared" si="58"/>
        <v>0</v>
      </c>
      <c r="N292" s="667"/>
      <c r="O292" s="21">
        <f t="shared" si="59"/>
        <v>-0.01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0.05</v>
      </c>
      <c r="L293" s="667"/>
      <c r="M293" s="21">
        <f t="shared" si="58"/>
        <v>0</v>
      </c>
      <c r="N293" s="667"/>
      <c r="O293" s="21">
        <f t="shared" si="59"/>
        <v>-0.01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0.05</v>
      </c>
      <c r="L294" s="667"/>
      <c r="M294" s="21">
        <f t="shared" si="58"/>
        <v>0</v>
      </c>
      <c r="N294" s="667"/>
      <c r="O294" s="21">
        <f t="shared" si="59"/>
        <v>-0.01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0.05</v>
      </c>
      <c r="L295" s="667"/>
      <c r="M295" s="21">
        <f t="shared" si="58"/>
        <v>0</v>
      </c>
      <c r="N295" s="667"/>
      <c r="O295" s="21">
        <f t="shared" si="59"/>
        <v>-0.01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0.05</v>
      </c>
      <c r="L296" s="667"/>
      <c r="M296" s="21">
        <f t="shared" si="58"/>
        <v>0</v>
      </c>
      <c r="N296" s="667"/>
      <c r="O296" s="21">
        <f t="shared" si="59"/>
        <v>-0.01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0.05</v>
      </c>
      <c r="L297" s="667"/>
      <c r="M297" s="21">
        <f t="shared" si="58"/>
        <v>0</v>
      </c>
      <c r="N297" s="667"/>
      <c r="O297" s="21">
        <f t="shared" si="59"/>
        <v>-0.01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0.05</v>
      </c>
      <c r="L298" s="667"/>
      <c r="M298" s="21">
        <f t="shared" si="58"/>
        <v>0</v>
      </c>
      <c r="N298" s="667"/>
      <c r="O298" s="21">
        <f t="shared" si="59"/>
        <v>-0.01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0.05</v>
      </c>
      <c r="L299" s="667"/>
      <c r="M299" s="21">
        <f t="shared" si="58"/>
        <v>0</v>
      </c>
      <c r="N299" s="667"/>
      <c r="O299" s="21">
        <f t="shared" si="59"/>
        <v>-0.01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0.05</v>
      </c>
      <c r="L300" s="667"/>
      <c r="M300" s="21">
        <f t="shared" si="58"/>
        <v>0</v>
      </c>
      <c r="N300" s="667"/>
      <c r="O300" s="21">
        <f t="shared" si="59"/>
        <v>-0.01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0.05</v>
      </c>
      <c r="L301" s="667"/>
      <c r="M301" s="21">
        <f t="shared" si="58"/>
        <v>0</v>
      </c>
      <c r="N301" s="667"/>
      <c r="O301" s="21">
        <f t="shared" si="59"/>
        <v>-0.01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0.05</v>
      </c>
      <c r="L302" s="667"/>
      <c r="M302" s="21">
        <f t="shared" si="58"/>
        <v>0</v>
      </c>
      <c r="N302" s="667"/>
      <c r="O302" s="21">
        <f t="shared" si="59"/>
        <v>-0.01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0.05</v>
      </c>
      <c r="L303" s="667"/>
      <c r="M303" s="21">
        <f t="shared" si="58"/>
        <v>0</v>
      </c>
      <c r="N303" s="667"/>
      <c r="O303" s="21">
        <f t="shared" si="59"/>
        <v>-0.01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0.05</v>
      </c>
      <c r="L304" s="667"/>
      <c r="M304" s="21">
        <f t="shared" si="58"/>
        <v>0</v>
      </c>
      <c r="N304" s="667"/>
      <c r="O304" s="21">
        <f t="shared" si="59"/>
        <v>-0.01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0.05</v>
      </c>
      <c r="L305" s="667"/>
      <c r="M305" s="21">
        <f t="shared" si="58"/>
        <v>0</v>
      </c>
      <c r="N305" s="667"/>
      <c r="O305" s="21">
        <f t="shared" si="59"/>
        <v>-0.01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0.05</v>
      </c>
      <c r="L306" s="667"/>
      <c r="M306" s="21">
        <f t="shared" si="58"/>
        <v>0</v>
      </c>
      <c r="N306" s="667"/>
      <c r="O306" s="21">
        <f t="shared" si="59"/>
        <v>-0.01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0.05</v>
      </c>
      <c r="L307" s="667"/>
      <c r="M307" s="21">
        <f t="shared" si="58"/>
        <v>0</v>
      </c>
      <c r="N307" s="667"/>
      <c r="O307" s="21">
        <f t="shared" si="59"/>
        <v>-0.01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0.05</v>
      </c>
      <c r="L308" s="667"/>
      <c r="M308" s="21">
        <f t="shared" si="58"/>
        <v>0</v>
      </c>
      <c r="N308" s="667"/>
      <c r="O308" s="21">
        <f t="shared" si="59"/>
        <v>-0.01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0.05</v>
      </c>
      <c r="L309" s="667"/>
      <c r="M309" s="21">
        <f t="shared" si="58"/>
        <v>0</v>
      </c>
      <c r="N309" s="667"/>
      <c r="O309" s="21">
        <f t="shared" si="59"/>
        <v>-0.01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0.05</v>
      </c>
      <c r="L310" s="667"/>
      <c r="M310" s="21">
        <f t="shared" si="58"/>
        <v>0</v>
      </c>
      <c r="N310" s="667"/>
      <c r="O310" s="21">
        <f t="shared" si="59"/>
        <v>-0.01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0.05</v>
      </c>
      <c r="L311" s="667"/>
      <c r="M311" s="21">
        <f t="shared" si="58"/>
        <v>0</v>
      </c>
      <c r="N311" s="667"/>
      <c r="O311" s="21">
        <f t="shared" si="59"/>
        <v>-0.01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0.05</v>
      </c>
      <c r="L312" s="667"/>
      <c r="M312" s="21">
        <f t="shared" si="58"/>
        <v>0</v>
      </c>
      <c r="N312" s="667"/>
      <c r="O312" s="21">
        <f t="shared" si="59"/>
        <v>-0.01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0.05</v>
      </c>
      <c r="L313" s="667"/>
      <c r="M313" s="21">
        <f t="shared" si="58"/>
        <v>0</v>
      </c>
      <c r="N313" s="667"/>
      <c r="O313" s="21">
        <f t="shared" si="59"/>
        <v>-0.01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0.05</v>
      </c>
      <c r="L314" s="667"/>
      <c r="M314" s="21">
        <f t="shared" si="58"/>
        <v>0</v>
      </c>
      <c r="N314" s="667"/>
      <c r="O314" s="21">
        <f t="shared" si="59"/>
        <v>-0.01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0.05</v>
      </c>
      <c r="L315" s="667"/>
      <c r="M315" s="21">
        <f t="shared" si="58"/>
        <v>0</v>
      </c>
      <c r="N315" s="667"/>
      <c r="O315" s="21">
        <f t="shared" si="59"/>
        <v>-0.01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0.05</v>
      </c>
      <c r="L316" s="667"/>
      <c r="M316" s="21">
        <f t="shared" si="58"/>
        <v>0</v>
      </c>
      <c r="N316" s="667"/>
      <c r="O316" s="21">
        <f t="shared" si="59"/>
        <v>-0.01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0.05</v>
      </c>
      <c r="L317" s="667"/>
      <c r="M317" s="21">
        <f t="shared" si="58"/>
        <v>0</v>
      </c>
      <c r="N317" s="667"/>
      <c r="O317" s="21">
        <f t="shared" si="59"/>
        <v>-0.01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0.05</v>
      </c>
      <c r="L318" s="667"/>
      <c r="M318" s="21">
        <f t="shared" si="58"/>
        <v>0</v>
      </c>
      <c r="N318" s="667"/>
      <c r="O318" s="21">
        <f t="shared" si="59"/>
        <v>-0.01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0.05</v>
      </c>
      <c r="L319" s="667"/>
      <c r="M319" s="21">
        <f t="shared" si="58"/>
        <v>0</v>
      </c>
      <c r="N319" s="667"/>
      <c r="O319" s="21">
        <f t="shared" si="59"/>
        <v>-0.01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0.05</v>
      </c>
      <c r="L320" s="667"/>
      <c r="M320" s="21">
        <f t="shared" si="58"/>
        <v>0</v>
      </c>
      <c r="N320" s="667"/>
      <c r="O320" s="21">
        <f t="shared" si="59"/>
        <v>-0.01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0.05</v>
      </c>
      <c r="L321" s="667"/>
      <c r="M321" s="21">
        <f t="shared" si="58"/>
        <v>0</v>
      </c>
      <c r="N321" s="667"/>
      <c r="O321" s="21">
        <f t="shared" si="59"/>
        <v>-0.01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0.05</v>
      </c>
      <c r="L322" s="667"/>
      <c r="M322" s="21">
        <f t="shared" si="58"/>
        <v>0</v>
      </c>
      <c r="N322" s="667"/>
      <c r="O322" s="21">
        <f t="shared" si="59"/>
        <v>-0.01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0.05</v>
      </c>
      <c r="L323" s="667"/>
      <c r="M323" s="21">
        <f t="shared" si="58"/>
        <v>0</v>
      </c>
      <c r="N323" s="667"/>
      <c r="O323" s="21">
        <f t="shared" si="59"/>
        <v>-0.01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0.05</v>
      </c>
      <c r="L324" s="667"/>
      <c r="M324" s="21">
        <f t="shared" si="58"/>
        <v>0</v>
      </c>
      <c r="N324" s="667"/>
      <c r="O324" s="21">
        <f t="shared" si="59"/>
        <v>-0.01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0.05</v>
      </c>
      <c r="L325" s="667"/>
      <c r="M325" s="21">
        <f t="shared" si="58"/>
        <v>0</v>
      </c>
      <c r="N325" s="667"/>
      <c r="O325" s="21">
        <f t="shared" si="59"/>
        <v>-0.01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0.05</v>
      </c>
      <c r="L326" s="667"/>
      <c r="M326" s="21">
        <f t="shared" si="58"/>
        <v>0</v>
      </c>
      <c r="N326" s="667"/>
      <c r="O326" s="21">
        <f t="shared" si="59"/>
        <v>-0.01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0.05</v>
      </c>
      <c r="L327" s="667"/>
      <c r="M327" s="21">
        <f t="shared" si="58"/>
        <v>0</v>
      </c>
      <c r="N327" s="667"/>
      <c r="O327" s="21">
        <f t="shared" si="59"/>
        <v>-0.01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0.05</v>
      </c>
      <c r="L328" s="667"/>
      <c r="M328" s="21">
        <f t="shared" si="58"/>
        <v>0</v>
      </c>
      <c r="N328" s="667"/>
      <c r="O328" s="21">
        <f t="shared" si="59"/>
        <v>-0.01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0.05</v>
      </c>
      <c r="L329" s="667"/>
      <c r="M329" s="21">
        <f t="shared" si="58"/>
        <v>0</v>
      </c>
      <c r="N329" s="667"/>
      <c r="O329" s="21">
        <f t="shared" si="59"/>
        <v>-0.01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0.05</v>
      </c>
      <c r="L330" s="667"/>
      <c r="M330" s="21">
        <f t="shared" si="58"/>
        <v>0</v>
      </c>
      <c r="N330" s="667"/>
      <c r="O330" s="21">
        <f t="shared" si="59"/>
        <v>-0.01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0.05</v>
      </c>
      <c r="L331" s="667"/>
      <c r="M331" s="21">
        <f t="shared" si="58"/>
        <v>0</v>
      </c>
      <c r="N331" s="667"/>
      <c r="O331" s="21">
        <f t="shared" si="59"/>
        <v>-0.01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0.05</v>
      </c>
      <c r="L332" s="667"/>
      <c r="M332" s="21">
        <f t="shared" si="58"/>
        <v>0</v>
      </c>
      <c r="N332" s="667"/>
      <c r="O332" s="21">
        <f t="shared" si="59"/>
        <v>-0.01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0.05</v>
      </c>
      <c r="L333" s="667"/>
      <c r="M333" s="21">
        <f t="shared" si="58"/>
        <v>0</v>
      </c>
      <c r="N333" s="667"/>
      <c r="O333" s="21">
        <f t="shared" si="59"/>
        <v>-0.01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0.05</v>
      </c>
      <c r="L334" s="667"/>
      <c r="M334" s="21">
        <f t="shared" si="58"/>
        <v>0</v>
      </c>
      <c r="N334" s="667"/>
      <c r="O334" s="21">
        <f t="shared" si="59"/>
        <v>-0.01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0.05</v>
      </c>
      <c r="L335" s="667"/>
      <c r="M335" s="21">
        <f t="shared" si="58"/>
        <v>0</v>
      </c>
      <c r="N335" s="667"/>
      <c r="O335" s="21">
        <f t="shared" si="59"/>
        <v>-0.01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0.05</v>
      </c>
      <c r="L336" s="667"/>
      <c r="M336" s="21">
        <f t="shared" si="58"/>
        <v>0</v>
      </c>
      <c r="N336" s="667"/>
      <c r="O336" s="21">
        <f t="shared" si="59"/>
        <v>-0.01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0.05</v>
      </c>
      <c r="L337" s="667"/>
      <c r="M337" s="21">
        <f t="shared" si="58"/>
        <v>0</v>
      </c>
      <c r="N337" s="667"/>
      <c r="O337" s="21">
        <f t="shared" si="59"/>
        <v>-0.01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0.05</v>
      </c>
      <c r="L338" s="667"/>
      <c r="M338" s="21">
        <f t="shared" si="58"/>
        <v>0</v>
      </c>
      <c r="N338" s="667"/>
      <c r="O338" s="21">
        <f t="shared" si="59"/>
        <v>-0.01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0.05</v>
      </c>
      <c r="L339" s="667"/>
      <c r="M339" s="21">
        <f t="shared" si="58"/>
        <v>0</v>
      </c>
      <c r="N339" s="667"/>
      <c r="O339" s="21">
        <f t="shared" si="59"/>
        <v>-0.01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0.05</v>
      </c>
      <c r="L340" s="667"/>
      <c r="M340" s="21">
        <f t="shared" si="58"/>
        <v>0</v>
      </c>
      <c r="N340" s="667"/>
      <c r="O340" s="21">
        <f t="shared" si="59"/>
        <v>-0.01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0.05</v>
      </c>
      <c r="L341" s="667"/>
      <c r="M341" s="21">
        <f t="shared" si="58"/>
        <v>0</v>
      </c>
      <c r="N341" s="667"/>
      <c r="O341" s="21">
        <f t="shared" si="59"/>
        <v>-0.01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0.05</v>
      </c>
      <c r="L342" s="667"/>
      <c r="M342" s="21">
        <f t="shared" si="58"/>
        <v>0</v>
      </c>
      <c r="N342" s="667"/>
      <c r="O342" s="21">
        <f t="shared" si="59"/>
        <v>-0.01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0.05</v>
      </c>
      <c r="L343" s="667"/>
      <c r="M343" s="21">
        <f t="shared" si="58"/>
        <v>0</v>
      </c>
      <c r="N343" s="667"/>
      <c r="O343" s="21">
        <f t="shared" si="59"/>
        <v>-0.01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0.05</v>
      </c>
      <c r="L344" s="667"/>
      <c r="M344" s="21">
        <f t="shared" si="58"/>
        <v>0</v>
      </c>
      <c r="N344" s="667"/>
      <c r="O344" s="21">
        <f t="shared" si="59"/>
        <v>-0.01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0.05</v>
      </c>
      <c r="L345" s="667"/>
      <c r="M345" s="21">
        <f t="shared" si="58"/>
        <v>0</v>
      </c>
      <c r="N345" s="667"/>
      <c r="O345" s="21">
        <f t="shared" si="59"/>
        <v>-0.01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0.05</v>
      </c>
      <c r="L346" s="667"/>
      <c r="M346" s="21">
        <f t="shared" ref="M346:M409" si="69">(SUMIF($13:$13,L346,$14:$14)-SUMIF($13:$13,$L$24,$14:$14)+100)/100</f>
        <v>0</v>
      </c>
      <c r="N346" s="667"/>
      <c r="O346" s="21">
        <f t="shared" ref="O346:O409" si="70">(SUMIF($15:$15,N346,$16:$16)-SUMIF($15:$15,$N$24,$16:$16)+100)/100</f>
        <v>-0.01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0.05</v>
      </c>
      <c r="L347" s="667"/>
      <c r="M347" s="21">
        <f t="shared" si="69"/>
        <v>0</v>
      </c>
      <c r="N347" s="667"/>
      <c r="O347" s="21">
        <f t="shared" si="70"/>
        <v>-0.01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0.05</v>
      </c>
      <c r="L348" s="667"/>
      <c r="M348" s="21">
        <f t="shared" si="69"/>
        <v>0</v>
      </c>
      <c r="N348" s="667"/>
      <c r="O348" s="21">
        <f t="shared" si="70"/>
        <v>-0.01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0.05</v>
      </c>
      <c r="L349" s="667"/>
      <c r="M349" s="21">
        <f t="shared" si="69"/>
        <v>0</v>
      </c>
      <c r="N349" s="667"/>
      <c r="O349" s="21">
        <f t="shared" si="70"/>
        <v>-0.01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0.05</v>
      </c>
      <c r="L350" s="667"/>
      <c r="M350" s="21">
        <f t="shared" si="69"/>
        <v>0</v>
      </c>
      <c r="N350" s="667"/>
      <c r="O350" s="21">
        <f t="shared" si="70"/>
        <v>-0.01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0.05</v>
      </c>
      <c r="L351" s="667"/>
      <c r="M351" s="21">
        <f t="shared" si="69"/>
        <v>0</v>
      </c>
      <c r="N351" s="667"/>
      <c r="O351" s="21">
        <f t="shared" si="70"/>
        <v>-0.01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0.05</v>
      </c>
      <c r="L352" s="667"/>
      <c r="M352" s="21">
        <f t="shared" si="69"/>
        <v>0</v>
      </c>
      <c r="N352" s="667"/>
      <c r="O352" s="21">
        <f t="shared" si="70"/>
        <v>-0.01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0.05</v>
      </c>
      <c r="L353" s="667"/>
      <c r="M353" s="21">
        <f t="shared" si="69"/>
        <v>0</v>
      </c>
      <c r="N353" s="667"/>
      <c r="O353" s="21">
        <f t="shared" si="70"/>
        <v>-0.01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0.05</v>
      </c>
      <c r="L354" s="667"/>
      <c r="M354" s="21">
        <f t="shared" si="69"/>
        <v>0</v>
      </c>
      <c r="N354" s="667"/>
      <c r="O354" s="21">
        <f t="shared" si="70"/>
        <v>-0.01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0.05</v>
      </c>
      <c r="L355" s="667"/>
      <c r="M355" s="21">
        <f t="shared" si="69"/>
        <v>0</v>
      </c>
      <c r="N355" s="667"/>
      <c r="O355" s="21">
        <f t="shared" si="70"/>
        <v>-0.01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0.05</v>
      </c>
      <c r="L356" s="667"/>
      <c r="M356" s="21">
        <f t="shared" si="69"/>
        <v>0</v>
      </c>
      <c r="N356" s="667"/>
      <c r="O356" s="21">
        <f t="shared" si="70"/>
        <v>-0.01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0.05</v>
      </c>
      <c r="L357" s="667"/>
      <c r="M357" s="21">
        <f t="shared" si="69"/>
        <v>0</v>
      </c>
      <c r="N357" s="667"/>
      <c r="O357" s="21">
        <f t="shared" si="70"/>
        <v>-0.01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0.05</v>
      </c>
      <c r="L358" s="667"/>
      <c r="M358" s="21">
        <f t="shared" si="69"/>
        <v>0</v>
      </c>
      <c r="N358" s="667"/>
      <c r="O358" s="21">
        <f t="shared" si="70"/>
        <v>-0.01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0.05</v>
      </c>
      <c r="L359" s="667"/>
      <c r="M359" s="21">
        <f t="shared" si="69"/>
        <v>0</v>
      </c>
      <c r="N359" s="667"/>
      <c r="O359" s="21">
        <f t="shared" si="70"/>
        <v>-0.01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0.05</v>
      </c>
      <c r="L360" s="667"/>
      <c r="M360" s="21">
        <f t="shared" si="69"/>
        <v>0</v>
      </c>
      <c r="N360" s="667"/>
      <c r="O360" s="21">
        <f t="shared" si="70"/>
        <v>-0.01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0.05</v>
      </c>
      <c r="L361" s="667"/>
      <c r="M361" s="21">
        <f t="shared" si="69"/>
        <v>0</v>
      </c>
      <c r="N361" s="667"/>
      <c r="O361" s="21">
        <f t="shared" si="70"/>
        <v>-0.01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0.05</v>
      </c>
      <c r="L362" s="667"/>
      <c r="M362" s="21">
        <f t="shared" si="69"/>
        <v>0</v>
      </c>
      <c r="N362" s="667"/>
      <c r="O362" s="21">
        <f t="shared" si="70"/>
        <v>-0.01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0.05</v>
      </c>
      <c r="L363" s="667"/>
      <c r="M363" s="21">
        <f t="shared" si="69"/>
        <v>0</v>
      </c>
      <c r="N363" s="667"/>
      <c r="O363" s="21">
        <f t="shared" si="70"/>
        <v>-0.01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0.05</v>
      </c>
      <c r="L364" s="667"/>
      <c r="M364" s="21">
        <f t="shared" si="69"/>
        <v>0</v>
      </c>
      <c r="N364" s="667"/>
      <c r="O364" s="21">
        <f t="shared" si="70"/>
        <v>-0.01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0.05</v>
      </c>
      <c r="L365" s="667"/>
      <c r="M365" s="21">
        <f t="shared" si="69"/>
        <v>0</v>
      </c>
      <c r="N365" s="667"/>
      <c r="O365" s="21">
        <f t="shared" si="70"/>
        <v>-0.01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0.05</v>
      </c>
      <c r="L366" s="667"/>
      <c r="M366" s="21">
        <f t="shared" si="69"/>
        <v>0</v>
      </c>
      <c r="N366" s="667"/>
      <c r="O366" s="21">
        <f t="shared" si="70"/>
        <v>-0.01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0.05</v>
      </c>
      <c r="L367" s="667"/>
      <c r="M367" s="21">
        <f t="shared" si="69"/>
        <v>0</v>
      </c>
      <c r="N367" s="667"/>
      <c r="O367" s="21">
        <f t="shared" si="70"/>
        <v>-0.01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0.05</v>
      </c>
      <c r="L368" s="667"/>
      <c r="M368" s="21">
        <f t="shared" si="69"/>
        <v>0</v>
      </c>
      <c r="N368" s="667"/>
      <c r="O368" s="21">
        <f t="shared" si="70"/>
        <v>-0.01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0.05</v>
      </c>
      <c r="L369" s="667"/>
      <c r="M369" s="21">
        <f t="shared" si="69"/>
        <v>0</v>
      </c>
      <c r="N369" s="667"/>
      <c r="O369" s="21">
        <f t="shared" si="70"/>
        <v>-0.01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0.05</v>
      </c>
      <c r="L370" s="667"/>
      <c r="M370" s="21">
        <f t="shared" si="69"/>
        <v>0</v>
      </c>
      <c r="N370" s="667"/>
      <c r="O370" s="21">
        <f t="shared" si="70"/>
        <v>-0.01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0.05</v>
      </c>
      <c r="L371" s="667"/>
      <c r="M371" s="21">
        <f t="shared" si="69"/>
        <v>0</v>
      </c>
      <c r="N371" s="667"/>
      <c r="O371" s="21">
        <f t="shared" si="70"/>
        <v>-0.01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0.05</v>
      </c>
      <c r="L372" s="667"/>
      <c r="M372" s="21">
        <f t="shared" si="69"/>
        <v>0</v>
      </c>
      <c r="N372" s="667"/>
      <c r="O372" s="21">
        <f t="shared" si="70"/>
        <v>-0.01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0.05</v>
      </c>
      <c r="L373" s="667"/>
      <c r="M373" s="21">
        <f t="shared" si="69"/>
        <v>0</v>
      </c>
      <c r="N373" s="667"/>
      <c r="O373" s="21">
        <f t="shared" si="70"/>
        <v>-0.01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0.05</v>
      </c>
      <c r="L374" s="667"/>
      <c r="M374" s="21">
        <f t="shared" si="69"/>
        <v>0</v>
      </c>
      <c r="N374" s="667"/>
      <c r="O374" s="21">
        <f t="shared" si="70"/>
        <v>-0.01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0.05</v>
      </c>
      <c r="L375" s="667"/>
      <c r="M375" s="21">
        <f t="shared" si="69"/>
        <v>0</v>
      </c>
      <c r="N375" s="667"/>
      <c r="O375" s="21">
        <f t="shared" si="70"/>
        <v>-0.01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0.05</v>
      </c>
      <c r="L376" s="667"/>
      <c r="M376" s="21">
        <f t="shared" si="69"/>
        <v>0</v>
      </c>
      <c r="N376" s="667"/>
      <c r="O376" s="21">
        <f t="shared" si="70"/>
        <v>-0.01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0.05</v>
      </c>
      <c r="L377" s="667"/>
      <c r="M377" s="21">
        <f t="shared" si="69"/>
        <v>0</v>
      </c>
      <c r="N377" s="667"/>
      <c r="O377" s="21">
        <f t="shared" si="70"/>
        <v>-0.01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0.05</v>
      </c>
      <c r="L378" s="667"/>
      <c r="M378" s="21">
        <f t="shared" si="69"/>
        <v>0</v>
      </c>
      <c r="N378" s="667"/>
      <c r="O378" s="21">
        <f t="shared" si="70"/>
        <v>-0.01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0.05</v>
      </c>
      <c r="L379" s="667"/>
      <c r="M379" s="21">
        <f t="shared" si="69"/>
        <v>0</v>
      </c>
      <c r="N379" s="667"/>
      <c r="O379" s="21">
        <f t="shared" si="70"/>
        <v>-0.01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0.05</v>
      </c>
      <c r="L380" s="667"/>
      <c r="M380" s="21">
        <f t="shared" si="69"/>
        <v>0</v>
      </c>
      <c r="N380" s="667"/>
      <c r="O380" s="21">
        <f t="shared" si="70"/>
        <v>-0.01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0.05</v>
      </c>
      <c r="L381" s="667"/>
      <c r="M381" s="21">
        <f t="shared" si="69"/>
        <v>0</v>
      </c>
      <c r="N381" s="667"/>
      <c r="O381" s="21">
        <f t="shared" si="70"/>
        <v>-0.01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0.05</v>
      </c>
      <c r="L382" s="667"/>
      <c r="M382" s="21">
        <f t="shared" si="69"/>
        <v>0</v>
      </c>
      <c r="N382" s="667"/>
      <c r="O382" s="21">
        <f t="shared" si="70"/>
        <v>-0.01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0.05</v>
      </c>
      <c r="L383" s="667"/>
      <c r="M383" s="21">
        <f t="shared" si="69"/>
        <v>0</v>
      </c>
      <c r="N383" s="667"/>
      <c r="O383" s="21">
        <f t="shared" si="70"/>
        <v>-0.01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0.05</v>
      </c>
      <c r="L384" s="667"/>
      <c r="M384" s="21">
        <f t="shared" si="69"/>
        <v>0</v>
      </c>
      <c r="N384" s="667"/>
      <c r="O384" s="21">
        <f t="shared" si="70"/>
        <v>-0.01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0.05</v>
      </c>
      <c r="L385" s="667"/>
      <c r="M385" s="21">
        <f t="shared" si="69"/>
        <v>0</v>
      </c>
      <c r="N385" s="667"/>
      <c r="O385" s="21">
        <f t="shared" si="70"/>
        <v>-0.01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0.05</v>
      </c>
      <c r="L386" s="667"/>
      <c r="M386" s="21">
        <f t="shared" si="69"/>
        <v>0</v>
      </c>
      <c r="N386" s="667"/>
      <c r="O386" s="21">
        <f t="shared" si="70"/>
        <v>-0.01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0.05</v>
      </c>
      <c r="L387" s="667"/>
      <c r="M387" s="21">
        <f t="shared" si="69"/>
        <v>0</v>
      </c>
      <c r="N387" s="667"/>
      <c r="O387" s="21">
        <f t="shared" si="70"/>
        <v>-0.01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0.05</v>
      </c>
      <c r="L388" s="667"/>
      <c r="M388" s="21">
        <f t="shared" si="69"/>
        <v>0</v>
      </c>
      <c r="N388" s="667"/>
      <c r="O388" s="21">
        <f t="shared" si="70"/>
        <v>-0.01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0.05</v>
      </c>
      <c r="L389" s="667"/>
      <c r="M389" s="21">
        <f t="shared" si="69"/>
        <v>0</v>
      </c>
      <c r="N389" s="667"/>
      <c r="O389" s="21">
        <f t="shared" si="70"/>
        <v>-0.01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0.05</v>
      </c>
      <c r="L390" s="667"/>
      <c r="M390" s="21">
        <f t="shared" si="69"/>
        <v>0</v>
      </c>
      <c r="N390" s="667"/>
      <c r="O390" s="21">
        <f t="shared" si="70"/>
        <v>-0.01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0.05</v>
      </c>
      <c r="L391" s="667"/>
      <c r="M391" s="21">
        <f t="shared" si="69"/>
        <v>0</v>
      </c>
      <c r="N391" s="667"/>
      <c r="O391" s="21">
        <f t="shared" si="70"/>
        <v>-0.01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0.05</v>
      </c>
      <c r="L392" s="667"/>
      <c r="M392" s="21">
        <f t="shared" si="69"/>
        <v>0</v>
      </c>
      <c r="N392" s="667"/>
      <c r="O392" s="21">
        <f t="shared" si="70"/>
        <v>-0.01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0.05</v>
      </c>
      <c r="L393" s="667"/>
      <c r="M393" s="21">
        <f t="shared" si="69"/>
        <v>0</v>
      </c>
      <c r="N393" s="667"/>
      <c r="O393" s="21">
        <f t="shared" si="70"/>
        <v>-0.01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0.05</v>
      </c>
      <c r="L394" s="667"/>
      <c r="M394" s="21">
        <f t="shared" si="69"/>
        <v>0</v>
      </c>
      <c r="N394" s="667"/>
      <c r="O394" s="21">
        <f t="shared" si="70"/>
        <v>-0.01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0.05</v>
      </c>
      <c r="L395" s="667"/>
      <c r="M395" s="21">
        <f t="shared" si="69"/>
        <v>0</v>
      </c>
      <c r="N395" s="667"/>
      <c r="O395" s="21">
        <f t="shared" si="70"/>
        <v>-0.01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0.05</v>
      </c>
      <c r="L396" s="667"/>
      <c r="M396" s="21">
        <f t="shared" si="69"/>
        <v>0</v>
      </c>
      <c r="N396" s="667"/>
      <c r="O396" s="21">
        <f t="shared" si="70"/>
        <v>-0.01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0.05</v>
      </c>
      <c r="L397" s="667"/>
      <c r="M397" s="21">
        <f t="shared" si="69"/>
        <v>0</v>
      </c>
      <c r="N397" s="667"/>
      <c r="O397" s="21">
        <f t="shared" si="70"/>
        <v>-0.01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0.05</v>
      </c>
      <c r="L398" s="667"/>
      <c r="M398" s="21">
        <f t="shared" si="69"/>
        <v>0</v>
      </c>
      <c r="N398" s="667"/>
      <c r="O398" s="21">
        <f t="shared" si="70"/>
        <v>-0.01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0.05</v>
      </c>
      <c r="L399" s="667"/>
      <c r="M399" s="21">
        <f t="shared" si="69"/>
        <v>0</v>
      </c>
      <c r="N399" s="667"/>
      <c r="O399" s="21">
        <f t="shared" si="70"/>
        <v>-0.01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0.05</v>
      </c>
      <c r="L400" s="667"/>
      <c r="M400" s="21">
        <f t="shared" si="69"/>
        <v>0</v>
      </c>
      <c r="N400" s="667"/>
      <c r="O400" s="21">
        <f t="shared" si="70"/>
        <v>-0.01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0.05</v>
      </c>
      <c r="L401" s="667"/>
      <c r="M401" s="21">
        <f t="shared" si="69"/>
        <v>0</v>
      </c>
      <c r="N401" s="667"/>
      <c r="O401" s="21">
        <f t="shared" si="70"/>
        <v>-0.01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0.05</v>
      </c>
      <c r="L402" s="667"/>
      <c r="M402" s="21">
        <f t="shared" si="69"/>
        <v>0</v>
      </c>
      <c r="N402" s="667"/>
      <c r="O402" s="21">
        <f t="shared" si="70"/>
        <v>-0.01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0.05</v>
      </c>
      <c r="L403" s="667"/>
      <c r="M403" s="21">
        <f t="shared" si="69"/>
        <v>0</v>
      </c>
      <c r="N403" s="667"/>
      <c r="O403" s="21">
        <f t="shared" si="70"/>
        <v>-0.01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0.05</v>
      </c>
      <c r="L404" s="667"/>
      <c r="M404" s="21">
        <f t="shared" si="69"/>
        <v>0</v>
      </c>
      <c r="N404" s="667"/>
      <c r="O404" s="21">
        <f t="shared" si="70"/>
        <v>-0.01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0.05</v>
      </c>
      <c r="L405" s="667"/>
      <c r="M405" s="21">
        <f t="shared" si="69"/>
        <v>0</v>
      </c>
      <c r="N405" s="667"/>
      <c r="O405" s="21">
        <f t="shared" si="70"/>
        <v>-0.01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0.05</v>
      </c>
      <c r="L406" s="667"/>
      <c r="M406" s="21">
        <f t="shared" si="69"/>
        <v>0</v>
      </c>
      <c r="N406" s="667"/>
      <c r="O406" s="21">
        <f t="shared" si="70"/>
        <v>-0.01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0.05</v>
      </c>
      <c r="L407" s="667"/>
      <c r="M407" s="21">
        <f t="shared" si="69"/>
        <v>0</v>
      </c>
      <c r="N407" s="667"/>
      <c r="O407" s="21">
        <f t="shared" si="70"/>
        <v>-0.01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0.05</v>
      </c>
      <c r="L408" s="667"/>
      <c r="M408" s="21">
        <f t="shared" si="69"/>
        <v>0</v>
      </c>
      <c r="N408" s="667"/>
      <c r="O408" s="21">
        <f t="shared" si="70"/>
        <v>-0.01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0.05</v>
      </c>
      <c r="L409" s="667"/>
      <c r="M409" s="21">
        <f t="shared" si="69"/>
        <v>0</v>
      </c>
      <c r="N409" s="667"/>
      <c r="O409" s="21">
        <f t="shared" si="70"/>
        <v>-0.01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0.05</v>
      </c>
      <c r="L410" s="667"/>
      <c r="M410" s="21">
        <f t="shared" ref="M410:M473" si="79">(SUMIF($13:$13,L410,$14:$14)-SUMIF($13:$13,$L$24,$14:$14)+100)/100</f>
        <v>0</v>
      </c>
      <c r="N410" s="667"/>
      <c r="O410" s="21">
        <f t="shared" ref="O410:O473" si="80">(SUMIF($15:$15,N410,$16:$16)-SUMIF($15:$15,$N$24,$16:$16)+100)/100</f>
        <v>-0.01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0.05</v>
      </c>
      <c r="L411" s="667"/>
      <c r="M411" s="21">
        <f t="shared" si="79"/>
        <v>0</v>
      </c>
      <c r="N411" s="667"/>
      <c r="O411" s="21">
        <f t="shared" si="80"/>
        <v>-0.01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0.05</v>
      </c>
      <c r="L412" s="667"/>
      <c r="M412" s="21">
        <f t="shared" si="79"/>
        <v>0</v>
      </c>
      <c r="N412" s="667"/>
      <c r="O412" s="21">
        <f t="shared" si="80"/>
        <v>-0.01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0.05</v>
      </c>
      <c r="L413" s="667"/>
      <c r="M413" s="21">
        <f t="shared" si="79"/>
        <v>0</v>
      </c>
      <c r="N413" s="667"/>
      <c r="O413" s="21">
        <f t="shared" si="80"/>
        <v>-0.01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0.05</v>
      </c>
      <c r="L414" s="667"/>
      <c r="M414" s="21">
        <f t="shared" si="79"/>
        <v>0</v>
      </c>
      <c r="N414" s="667"/>
      <c r="O414" s="21">
        <f t="shared" si="80"/>
        <v>-0.01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0.05</v>
      </c>
      <c r="L415" s="667"/>
      <c r="M415" s="21">
        <f t="shared" si="79"/>
        <v>0</v>
      </c>
      <c r="N415" s="667"/>
      <c r="O415" s="21">
        <f t="shared" si="80"/>
        <v>-0.01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0.05</v>
      </c>
      <c r="L416" s="667"/>
      <c r="M416" s="21">
        <f t="shared" si="79"/>
        <v>0</v>
      </c>
      <c r="N416" s="667"/>
      <c r="O416" s="21">
        <f t="shared" si="80"/>
        <v>-0.01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0.05</v>
      </c>
      <c r="L417" s="667"/>
      <c r="M417" s="21">
        <f t="shared" si="79"/>
        <v>0</v>
      </c>
      <c r="N417" s="667"/>
      <c r="O417" s="21">
        <f t="shared" si="80"/>
        <v>-0.01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0.05</v>
      </c>
      <c r="L418" s="667"/>
      <c r="M418" s="21">
        <f t="shared" si="79"/>
        <v>0</v>
      </c>
      <c r="N418" s="667"/>
      <c r="O418" s="21">
        <f t="shared" si="80"/>
        <v>-0.01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0.05</v>
      </c>
      <c r="L419" s="667"/>
      <c r="M419" s="21">
        <f t="shared" si="79"/>
        <v>0</v>
      </c>
      <c r="N419" s="667"/>
      <c r="O419" s="21">
        <f t="shared" si="80"/>
        <v>-0.01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0.05</v>
      </c>
      <c r="L420" s="667"/>
      <c r="M420" s="21">
        <f t="shared" si="79"/>
        <v>0</v>
      </c>
      <c r="N420" s="667"/>
      <c r="O420" s="21">
        <f t="shared" si="80"/>
        <v>-0.01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0.05</v>
      </c>
      <c r="L421" s="667"/>
      <c r="M421" s="21">
        <f t="shared" si="79"/>
        <v>0</v>
      </c>
      <c r="N421" s="667"/>
      <c r="O421" s="21">
        <f t="shared" si="80"/>
        <v>-0.01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0.05</v>
      </c>
      <c r="L422" s="667"/>
      <c r="M422" s="21">
        <f t="shared" si="79"/>
        <v>0</v>
      </c>
      <c r="N422" s="667"/>
      <c r="O422" s="21">
        <f t="shared" si="80"/>
        <v>-0.01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0.05</v>
      </c>
      <c r="L423" s="667"/>
      <c r="M423" s="21">
        <f t="shared" si="79"/>
        <v>0</v>
      </c>
      <c r="N423" s="667"/>
      <c r="O423" s="21">
        <f t="shared" si="80"/>
        <v>-0.01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0.05</v>
      </c>
      <c r="L424" s="667"/>
      <c r="M424" s="21">
        <f t="shared" si="79"/>
        <v>0</v>
      </c>
      <c r="N424" s="667"/>
      <c r="O424" s="21">
        <f t="shared" si="80"/>
        <v>-0.01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0.05</v>
      </c>
      <c r="L425" s="667"/>
      <c r="M425" s="21">
        <f t="shared" si="79"/>
        <v>0</v>
      </c>
      <c r="N425" s="667"/>
      <c r="O425" s="21">
        <f t="shared" si="80"/>
        <v>-0.01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0.05</v>
      </c>
      <c r="L426" s="667"/>
      <c r="M426" s="21">
        <f t="shared" si="79"/>
        <v>0</v>
      </c>
      <c r="N426" s="667"/>
      <c r="O426" s="21">
        <f t="shared" si="80"/>
        <v>-0.01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0.05</v>
      </c>
      <c r="L427" s="667"/>
      <c r="M427" s="21">
        <f t="shared" si="79"/>
        <v>0</v>
      </c>
      <c r="N427" s="667"/>
      <c r="O427" s="21">
        <f t="shared" si="80"/>
        <v>-0.01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0.05</v>
      </c>
      <c r="L428" s="667"/>
      <c r="M428" s="21">
        <f t="shared" si="79"/>
        <v>0</v>
      </c>
      <c r="N428" s="667"/>
      <c r="O428" s="21">
        <f t="shared" si="80"/>
        <v>-0.01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0.05</v>
      </c>
      <c r="L429" s="667"/>
      <c r="M429" s="21">
        <f t="shared" si="79"/>
        <v>0</v>
      </c>
      <c r="N429" s="667"/>
      <c r="O429" s="21">
        <f t="shared" si="80"/>
        <v>-0.01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0.05</v>
      </c>
      <c r="L430" s="667"/>
      <c r="M430" s="21">
        <f t="shared" si="79"/>
        <v>0</v>
      </c>
      <c r="N430" s="667"/>
      <c r="O430" s="21">
        <f t="shared" si="80"/>
        <v>-0.01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0.05</v>
      </c>
      <c r="L431" s="667"/>
      <c r="M431" s="21">
        <f t="shared" si="79"/>
        <v>0</v>
      </c>
      <c r="N431" s="667"/>
      <c r="O431" s="21">
        <f t="shared" si="80"/>
        <v>-0.01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0.05</v>
      </c>
      <c r="L432" s="667"/>
      <c r="M432" s="21">
        <f t="shared" si="79"/>
        <v>0</v>
      </c>
      <c r="N432" s="667"/>
      <c r="O432" s="21">
        <f t="shared" si="80"/>
        <v>-0.01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0.05</v>
      </c>
      <c r="L433" s="667"/>
      <c r="M433" s="21">
        <f t="shared" si="79"/>
        <v>0</v>
      </c>
      <c r="N433" s="667"/>
      <c r="O433" s="21">
        <f t="shared" si="80"/>
        <v>-0.01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0.05</v>
      </c>
      <c r="L434" s="667"/>
      <c r="M434" s="21">
        <f t="shared" si="79"/>
        <v>0</v>
      </c>
      <c r="N434" s="667"/>
      <c r="O434" s="21">
        <f t="shared" si="80"/>
        <v>-0.01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0.05</v>
      </c>
      <c r="L435" s="667"/>
      <c r="M435" s="21">
        <f t="shared" si="79"/>
        <v>0</v>
      </c>
      <c r="N435" s="667"/>
      <c r="O435" s="21">
        <f t="shared" si="80"/>
        <v>-0.01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0.05</v>
      </c>
      <c r="L436" s="667"/>
      <c r="M436" s="21">
        <f t="shared" si="79"/>
        <v>0</v>
      </c>
      <c r="N436" s="667"/>
      <c r="O436" s="21">
        <f t="shared" si="80"/>
        <v>-0.01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0.05</v>
      </c>
      <c r="L437" s="667"/>
      <c r="M437" s="21">
        <f t="shared" si="79"/>
        <v>0</v>
      </c>
      <c r="N437" s="667"/>
      <c r="O437" s="21">
        <f t="shared" si="80"/>
        <v>-0.01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0.05</v>
      </c>
      <c r="L438" s="667"/>
      <c r="M438" s="21">
        <f t="shared" si="79"/>
        <v>0</v>
      </c>
      <c r="N438" s="667"/>
      <c r="O438" s="21">
        <f t="shared" si="80"/>
        <v>-0.01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0.05</v>
      </c>
      <c r="L439" s="667"/>
      <c r="M439" s="21">
        <f t="shared" si="79"/>
        <v>0</v>
      </c>
      <c r="N439" s="667"/>
      <c r="O439" s="21">
        <f t="shared" si="80"/>
        <v>-0.01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0.05</v>
      </c>
      <c r="L440" s="667"/>
      <c r="M440" s="21">
        <f t="shared" si="79"/>
        <v>0</v>
      </c>
      <c r="N440" s="667"/>
      <c r="O440" s="21">
        <f t="shared" si="80"/>
        <v>-0.01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0.05</v>
      </c>
      <c r="L441" s="667"/>
      <c r="M441" s="21">
        <f t="shared" si="79"/>
        <v>0</v>
      </c>
      <c r="N441" s="667"/>
      <c r="O441" s="21">
        <f t="shared" si="80"/>
        <v>-0.01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0.05</v>
      </c>
      <c r="L442" s="667"/>
      <c r="M442" s="21">
        <f t="shared" si="79"/>
        <v>0</v>
      </c>
      <c r="N442" s="667"/>
      <c r="O442" s="21">
        <f t="shared" si="80"/>
        <v>-0.01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0.05</v>
      </c>
      <c r="L443" s="667"/>
      <c r="M443" s="21">
        <f t="shared" si="79"/>
        <v>0</v>
      </c>
      <c r="N443" s="667"/>
      <c r="O443" s="21">
        <f t="shared" si="80"/>
        <v>-0.01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0.05</v>
      </c>
      <c r="L444" s="667"/>
      <c r="M444" s="21">
        <f t="shared" si="79"/>
        <v>0</v>
      </c>
      <c r="N444" s="667"/>
      <c r="O444" s="21">
        <f t="shared" si="80"/>
        <v>-0.01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0.05</v>
      </c>
      <c r="L445" s="667"/>
      <c r="M445" s="21">
        <f t="shared" si="79"/>
        <v>0</v>
      </c>
      <c r="N445" s="667"/>
      <c r="O445" s="21">
        <f t="shared" si="80"/>
        <v>-0.01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0.05</v>
      </c>
      <c r="L446" s="667"/>
      <c r="M446" s="21">
        <f t="shared" si="79"/>
        <v>0</v>
      </c>
      <c r="N446" s="667"/>
      <c r="O446" s="21">
        <f t="shared" si="80"/>
        <v>-0.01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0.05</v>
      </c>
      <c r="L447" s="667"/>
      <c r="M447" s="21">
        <f t="shared" si="79"/>
        <v>0</v>
      </c>
      <c r="N447" s="667"/>
      <c r="O447" s="21">
        <f t="shared" si="80"/>
        <v>-0.01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0.05</v>
      </c>
      <c r="L448" s="667"/>
      <c r="M448" s="21">
        <f t="shared" si="79"/>
        <v>0</v>
      </c>
      <c r="N448" s="667"/>
      <c r="O448" s="21">
        <f t="shared" si="80"/>
        <v>-0.01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0.05</v>
      </c>
      <c r="L449" s="667"/>
      <c r="M449" s="21">
        <f t="shared" si="79"/>
        <v>0</v>
      </c>
      <c r="N449" s="667"/>
      <c r="O449" s="21">
        <f t="shared" si="80"/>
        <v>-0.01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0.05</v>
      </c>
      <c r="L450" s="667"/>
      <c r="M450" s="21">
        <f t="shared" si="79"/>
        <v>0</v>
      </c>
      <c r="N450" s="667"/>
      <c r="O450" s="21">
        <f t="shared" si="80"/>
        <v>-0.01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0.05</v>
      </c>
      <c r="L451" s="667"/>
      <c r="M451" s="21">
        <f t="shared" si="79"/>
        <v>0</v>
      </c>
      <c r="N451" s="667"/>
      <c r="O451" s="21">
        <f t="shared" si="80"/>
        <v>-0.01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0.05</v>
      </c>
      <c r="L452" s="667"/>
      <c r="M452" s="21">
        <f t="shared" si="79"/>
        <v>0</v>
      </c>
      <c r="N452" s="667"/>
      <c r="O452" s="21">
        <f t="shared" si="80"/>
        <v>-0.01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0.05</v>
      </c>
      <c r="L453" s="667"/>
      <c r="M453" s="21">
        <f t="shared" si="79"/>
        <v>0</v>
      </c>
      <c r="N453" s="667"/>
      <c r="O453" s="21">
        <f t="shared" si="80"/>
        <v>-0.01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0.05</v>
      </c>
      <c r="L454" s="667"/>
      <c r="M454" s="21">
        <f t="shared" si="79"/>
        <v>0</v>
      </c>
      <c r="N454" s="667"/>
      <c r="O454" s="21">
        <f t="shared" si="80"/>
        <v>-0.01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0.05</v>
      </c>
      <c r="L455" s="667"/>
      <c r="M455" s="21">
        <f t="shared" si="79"/>
        <v>0</v>
      </c>
      <c r="N455" s="667"/>
      <c r="O455" s="21">
        <f t="shared" si="80"/>
        <v>-0.01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0.05</v>
      </c>
      <c r="L456" s="667"/>
      <c r="M456" s="21">
        <f t="shared" si="79"/>
        <v>0</v>
      </c>
      <c r="N456" s="667"/>
      <c r="O456" s="21">
        <f t="shared" si="80"/>
        <v>-0.01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0.05</v>
      </c>
      <c r="L457" s="667"/>
      <c r="M457" s="21">
        <f t="shared" si="79"/>
        <v>0</v>
      </c>
      <c r="N457" s="667"/>
      <c r="O457" s="21">
        <f t="shared" si="80"/>
        <v>-0.01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0.05</v>
      </c>
      <c r="L458" s="667"/>
      <c r="M458" s="21">
        <f t="shared" si="79"/>
        <v>0</v>
      </c>
      <c r="N458" s="667"/>
      <c r="O458" s="21">
        <f t="shared" si="80"/>
        <v>-0.01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0.05</v>
      </c>
      <c r="L459" s="667"/>
      <c r="M459" s="21">
        <f t="shared" si="79"/>
        <v>0</v>
      </c>
      <c r="N459" s="667"/>
      <c r="O459" s="21">
        <f t="shared" si="80"/>
        <v>-0.01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0.05</v>
      </c>
      <c r="L460" s="667"/>
      <c r="M460" s="21">
        <f t="shared" si="79"/>
        <v>0</v>
      </c>
      <c r="N460" s="667"/>
      <c r="O460" s="21">
        <f t="shared" si="80"/>
        <v>-0.01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0.05</v>
      </c>
      <c r="L461" s="667"/>
      <c r="M461" s="21">
        <f t="shared" si="79"/>
        <v>0</v>
      </c>
      <c r="N461" s="667"/>
      <c r="O461" s="21">
        <f t="shared" si="80"/>
        <v>-0.01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0.05</v>
      </c>
      <c r="L462" s="667"/>
      <c r="M462" s="21">
        <f t="shared" si="79"/>
        <v>0</v>
      </c>
      <c r="N462" s="667"/>
      <c r="O462" s="21">
        <f t="shared" si="80"/>
        <v>-0.01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0.05</v>
      </c>
      <c r="L463" s="667"/>
      <c r="M463" s="21">
        <f t="shared" si="79"/>
        <v>0</v>
      </c>
      <c r="N463" s="667"/>
      <c r="O463" s="21">
        <f t="shared" si="80"/>
        <v>-0.01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0.05</v>
      </c>
      <c r="L464" s="667"/>
      <c r="M464" s="21">
        <f t="shared" si="79"/>
        <v>0</v>
      </c>
      <c r="N464" s="667"/>
      <c r="O464" s="21">
        <f t="shared" si="80"/>
        <v>-0.01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0.05</v>
      </c>
      <c r="L465" s="667"/>
      <c r="M465" s="21">
        <f t="shared" si="79"/>
        <v>0</v>
      </c>
      <c r="N465" s="667"/>
      <c r="O465" s="21">
        <f t="shared" si="80"/>
        <v>-0.01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0.05</v>
      </c>
      <c r="L466" s="667"/>
      <c r="M466" s="21">
        <f t="shared" si="79"/>
        <v>0</v>
      </c>
      <c r="N466" s="667"/>
      <c r="O466" s="21">
        <f t="shared" si="80"/>
        <v>-0.01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0.05</v>
      </c>
      <c r="L467" s="667"/>
      <c r="M467" s="21">
        <f t="shared" si="79"/>
        <v>0</v>
      </c>
      <c r="N467" s="667"/>
      <c r="O467" s="21">
        <f t="shared" si="80"/>
        <v>-0.01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0.05</v>
      </c>
      <c r="L468" s="667"/>
      <c r="M468" s="21">
        <f t="shared" si="79"/>
        <v>0</v>
      </c>
      <c r="N468" s="667"/>
      <c r="O468" s="21">
        <f t="shared" si="80"/>
        <v>-0.01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0.05</v>
      </c>
      <c r="L469" s="667"/>
      <c r="M469" s="21">
        <f t="shared" si="79"/>
        <v>0</v>
      </c>
      <c r="N469" s="667"/>
      <c r="O469" s="21">
        <f t="shared" si="80"/>
        <v>-0.01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0.05</v>
      </c>
      <c r="L470" s="667"/>
      <c r="M470" s="21">
        <f t="shared" si="79"/>
        <v>0</v>
      </c>
      <c r="N470" s="667"/>
      <c r="O470" s="21">
        <f t="shared" si="80"/>
        <v>-0.01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0.05</v>
      </c>
      <c r="L471" s="667"/>
      <c r="M471" s="21">
        <f t="shared" si="79"/>
        <v>0</v>
      </c>
      <c r="N471" s="667"/>
      <c r="O471" s="21">
        <f t="shared" si="80"/>
        <v>-0.01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0.05</v>
      </c>
      <c r="L472" s="667"/>
      <c r="M472" s="21">
        <f t="shared" si="79"/>
        <v>0</v>
      </c>
      <c r="N472" s="667"/>
      <c r="O472" s="21">
        <f t="shared" si="80"/>
        <v>-0.01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0.05</v>
      </c>
      <c r="L473" s="667"/>
      <c r="M473" s="21">
        <f t="shared" si="79"/>
        <v>0</v>
      </c>
      <c r="N473" s="667"/>
      <c r="O473" s="21">
        <f t="shared" si="80"/>
        <v>-0.01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0.05</v>
      </c>
      <c r="L474" s="667"/>
      <c r="M474" s="21">
        <f t="shared" ref="M474:M524" si="90">(SUMIF($13:$13,L474,$14:$14)-SUMIF($13:$13,$L$24,$14:$14)+100)/100</f>
        <v>0</v>
      </c>
      <c r="N474" s="667"/>
      <c r="O474" s="21">
        <f t="shared" ref="O474:O524" si="91">(SUMIF($15:$15,N474,$16:$16)-SUMIF($15:$15,$N$24,$16:$16)+100)/100</f>
        <v>-0.01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0.05</v>
      </c>
      <c r="L475" s="667"/>
      <c r="M475" s="21">
        <f t="shared" si="90"/>
        <v>0</v>
      </c>
      <c r="N475" s="667"/>
      <c r="O475" s="21">
        <f t="shared" si="91"/>
        <v>-0.01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0.05</v>
      </c>
      <c r="L476" s="667"/>
      <c r="M476" s="21">
        <f t="shared" si="90"/>
        <v>0</v>
      </c>
      <c r="N476" s="667"/>
      <c r="O476" s="21">
        <f t="shared" si="91"/>
        <v>-0.01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0.05</v>
      </c>
      <c r="L477" s="667"/>
      <c r="M477" s="21">
        <f t="shared" si="90"/>
        <v>0</v>
      </c>
      <c r="N477" s="667"/>
      <c r="O477" s="21">
        <f t="shared" si="91"/>
        <v>-0.01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0.05</v>
      </c>
      <c r="L478" s="667"/>
      <c r="M478" s="21">
        <f t="shared" si="90"/>
        <v>0</v>
      </c>
      <c r="N478" s="667"/>
      <c r="O478" s="21">
        <f t="shared" si="91"/>
        <v>-0.01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0.05</v>
      </c>
      <c r="L479" s="667"/>
      <c r="M479" s="21">
        <f t="shared" si="90"/>
        <v>0</v>
      </c>
      <c r="N479" s="667"/>
      <c r="O479" s="21">
        <f t="shared" si="91"/>
        <v>-0.01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0.05</v>
      </c>
      <c r="L480" s="667"/>
      <c r="M480" s="21">
        <f t="shared" si="90"/>
        <v>0</v>
      </c>
      <c r="N480" s="667"/>
      <c r="O480" s="21">
        <f t="shared" si="91"/>
        <v>-0.01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0.05</v>
      </c>
      <c r="L481" s="667"/>
      <c r="M481" s="21">
        <f t="shared" si="90"/>
        <v>0</v>
      </c>
      <c r="N481" s="667"/>
      <c r="O481" s="21">
        <f t="shared" si="91"/>
        <v>-0.01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0.05</v>
      </c>
      <c r="L482" s="667"/>
      <c r="M482" s="21">
        <f t="shared" si="90"/>
        <v>0</v>
      </c>
      <c r="N482" s="667"/>
      <c r="O482" s="21">
        <f t="shared" si="91"/>
        <v>-0.01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0.05</v>
      </c>
      <c r="L483" s="667"/>
      <c r="M483" s="21">
        <f t="shared" si="90"/>
        <v>0</v>
      </c>
      <c r="N483" s="667"/>
      <c r="O483" s="21">
        <f t="shared" si="91"/>
        <v>-0.01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0.05</v>
      </c>
      <c r="L484" s="667"/>
      <c r="M484" s="21">
        <f t="shared" si="90"/>
        <v>0</v>
      </c>
      <c r="N484" s="667"/>
      <c r="O484" s="21">
        <f t="shared" si="91"/>
        <v>-0.01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0.05</v>
      </c>
      <c r="L485" s="667"/>
      <c r="M485" s="21">
        <f t="shared" si="90"/>
        <v>0</v>
      </c>
      <c r="N485" s="667"/>
      <c r="O485" s="21">
        <f t="shared" si="91"/>
        <v>-0.01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0.05</v>
      </c>
      <c r="L486" s="667"/>
      <c r="M486" s="21">
        <f t="shared" si="90"/>
        <v>0</v>
      </c>
      <c r="N486" s="667"/>
      <c r="O486" s="21">
        <f t="shared" si="91"/>
        <v>-0.01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0.05</v>
      </c>
      <c r="L487" s="667"/>
      <c r="M487" s="21">
        <f t="shared" si="90"/>
        <v>0</v>
      </c>
      <c r="N487" s="667"/>
      <c r="O487" s="21">
        <f t="shared" si="91"/>
        <v>-0.01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0.05</v>
      </c>
      <c r="L488" s="667"/>
      <c r="M488" s="21">
        <f t="shared" si="90"/>
        <v>0</v>
      </c>
      <c r="N488" s="667"/>
      <c r="O488" s="21">
        <f t="shared" si="91"/>
        <v>-0.01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0.05</v>
      </c>
      <c r="L489" s="667"/>
      <c r="M489" s="21">
        <f t="shared" si="90"/>
        <v>0</v>
      </c>
      <c r="N489" s="667"/>
      <c r="O489" s="21">
        <f t="shared" si="91"/>
        <v>-0.01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0.05</v>
      </c>
      <c r="L490" s="667"/>
      <c r="M490" s="21">
        <f t="shared" si="90"/>
        <v>0</v>
      </c>
      <c r="N490" s="667"/>
      <c r="O490" s="21">
        <f t="shared" si="91"/>
        <v>-0.01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0.05</v>
      </c>
      <c r="L491" s="667"/>
      <c r="M491" s="21">
        <f t="shared" si="90"/>
        <v>0</v>
      </c>
      <c r="N491" s="667"/>
      <c r="O491" s="21">
        <f t="shared" si="91"/>
        <v>-0.01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0.05</v>
      </c>
      <c r="L492" s="667"/>
      <c r="M492" s="21">
        <f t="shared" si="90"/>
        <v>0</v>
      </c>
      <c r="N492" s="667"/>
      <c r="O492" s="21">
        <f t="shared" si="91"/>
        <v>-0.01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0.05</v>
      </c>
      <c r="L493" s="667"/>
      <c r="M493" s="21">
        <f t="shared" si="90"/>
        <v>0</v>
      </c>
      <c r="N493" s="667"/>
      <c r="O493" s="21">
        <f t="shared" si="91"/>
        <v>-0.01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0.05</v>
      </c>
      <c r="L494" s="667"/>
      <c r="M494" s="21">
        <f t="shared" si="90"/>
        <v>0</v>
      </c>
      <c r="N494" s="667"/>
      <c r="O494" s="21">
        <f t="shared" si="91"/>
        <v>-0.01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0.05</v>
      </c>
      <c r="L495" s="667"/>
      <c r="M495" s="21">
        <f t="shared" si="90"/>
        <v>0</v>
      </c>
      <c r="N495" s="667"/>
      <c r="O495" s="21">
        <f t="shared" si="91"/>
        <v>-0.01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0.05</v>
      </c>
      <c r="L496" s="667"/>
      <c r="M496" s="21">
        <f t="shared" si="90"/>
        <v>0</v>
      </c>
      <c r="N496" s="667"/>
      <c r="O496" s="21">
        <f t="shared" si="91"/>
        <v>-0.01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0.05</v>
      </c>
      <c r="L497" s="667"/>
      <c r="M497" s="21">
        <f t="shared" si="90"/>
        <v>0</v>
      </c>
      <c r="N497" s="667"/>
      <c r="O497" s="21">
        <f t="shared" si="91"/>
        <v>-0.01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0.05</v>
      </c>
      <c r="L498" s="667"/>
      <c r="M498" s="21">
        <f t="shared" si="90"/>
        <v>0</v>
      </c>
      <c r="N498" s="667"/>
      <c r="O498" s="21">
        <f t="shared" si="91"/>
        <v>-0.01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0.05</v>
      </c>
      <c r="L499" s="667"/>
      <c r="M499" s="21">
        <f t="shared" si="90"/>
        <v>0</v>
      </c>
      <c r="N499" s="667"/>
      <c r="O499" s="21">
        <f t="shared" si="91"/>
        <v>-0.01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0.05</v>
      </c>
      <c r="L500" s="667"/>
      <c r="M500" s="21">
        <f t="shared" si="90"/>
        <v>0</v>
      </c>
      <c r="N500" s="667"/>
      <c r="O500" s="21">
        <f t="shared" si="91"/>
        <v>-0.01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0.05</v>
      </c>
      <c r="L501" s="667"/>
      <c r="M501" s="21">
        <f t="shared" si="90"/>
        <v>0</v>
      </c>
      <c r="N501" s="667"/>
      <c r="O501" s="21">
        <f t="shared" si="91"/>
        <v>-0.01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0.05</v>
      </c>
      <c r="L502" s="667"/>
      <c r="M502" s="21">
        <f t="shared" si="90"/>
        <v>0</v>
      </c>
      <c r="N502" s="667"/>
      <c r="O502" s="21">
        <f t="shared" si="91"/>
        <v>-0.01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0.05</v>
      </c>
      <c r="L503" s="667"/>
      <c r="M503" s="21">
        <f t="shared" si="90"/>
        <v>0</v>
      </c>
      <c r="N503" s="667"/>
      <c r="O503" s="21">
        <f t="shared" si="91"/>
        <v>-0.01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0.05</v>
      </c>
      <c r="L504" s="667"/>
      <c r="M504" s="21">
        <f t="shared" si="90"/>
        <v>0</v>
      </c>
      <c r="N504" s="667"/>
      <c r="O504" s="21">
        <f t="shared" si="91"/>
        <v>-0.01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0.05</v>
      </c>
      <c r="L505" s="667"/>
      <c r="M505" s="21">
        <f t="shared" si="90"/>
        <v>0</v>
      </c>
      <c r="N505" s="667"/>
      <c r="O505" s="21">
        <f t="shared" si="91"/>
        <v>-0.01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0.05</v>
      </c>
      <c r="L506" s="667"/>
      <c r="M506" s="21">
        <f t="shared" si="90"/>
        <v>0</v>
      </c>
      <c r="N506" s="667"/>
      <c r="O506" s="21">
        <f t="shared" si="91"/>
        <v>-0.01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0.05</v>
      </c>
      <c r="L507" s="667"/>
      <c r="M507" s="21">
        <f t="shared" si="90"/>
        <v>0</v>
      </c>
      <c r="N507" s="667"/>
      <c r="O507" s="21">
        <f t="shared" si="91"/>
        <v>-0.01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0.05</v>
      </c>
      <c r="L508" s="667"/>
      <c r="M508" s="21">
        <f t="shared" si="90"/>
        <v>0</v>
      </c>
      <c r="N508" s="667"/>
      <c r="O508" s="21">
        <f t="shared" si="91"/>
        <v>-0.01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0.05</v>
      </c>
      <c r="L509" s="667"/>
      <c r="M509" s="21">
        <f t="shared" si="90"/>
        <v>0</v>
      </c>
      <c r="N509" s="667"/>
      <c r="O509" s="21">
        <f t="shared" si="91"/>
        <v>-0.01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0.05</v>
      </c>
      <c r="L510" s="667"/>
      <c r="M510" s="21">
        <f t="shared" si="90"/>
        <v>0</v>
      </c>
      <c r="N510" s="667"/>
      <c r="O510" s="21">
        <f t="shared" si="91"/>
        <v>-0.01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0.05</v>
      </c>
      <c r="L511" s="667"/>
      <c r="M511" s="21">
        <f t="shared" si="90"/>
        <v>0</v>
      </c>
      <c r="N511" s="667"/>
      <c r="O511" s="21">
        <f t="shared" si="91"/>
        <v>-0.01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0.05</v>
      </c>
      <c r="L512" s="667"/>
      <c r="M512" s="21">
        <f t="shared" si="90"/>
        <v>0</v>
      </c>
      <c r="N512" s="667"/>
      <c r="O512" s="21">
        <f t="shared" si="91"/>
        <v>-0.01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0.05</v>
      </c>
      <c r="L513" s="667"/>
      <c r="M513" s="21">
        <f t="shared" si="90"/>
        <v>0</v>
      </c>
      <c r="N513" s="667"/>
      <c r="O513" s="21">
        <f t="shared" si="91"/>
        <v>-0.01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0.05</v>
      </c>
      <c r="L514" s="667"/>
      <c r="M514" s="21">
        <f t="shared" si="90"/>
        <v>0</v>
      </c>
      <c r="N514" s="667"/>
      <c r="O514" s="21">
        <f t="shared" si="91"/>
        <v>-0.01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0.05</v>
      </c>
      <c r="L515" s="667"/>
      <c r="M515" s="21">
        <f t="shared" si="90"/>
        <v>0</v>
      </c>
      <c r="N515" s="667"/>
      <c r="O515" s="21">
        <f t="shared" si="91"/>
        <v>-0.01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0.05</v>
      </c>
      <c r="L516" s="667"/>
      <c r="M516" s="21">
        <f t="shared" si="90"/>
        <v>0</v>
      </c>
      <c r="N516" s="667"/>
      <c r="O516" s="21">
        <f t="shared" si="91"/>
        <v>-0.01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0.05</v>
      </c>
      <c r="L517" s="667"/>
      <c r="M517" s="21">
        <f t="shared" si="90"/>
        <v>0</v>
      </c>
      <c r="N517" s="667"/>
      <c r="O517" s="21">
        <f t="shared" si="91"/>
        <v>-0.01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0.05</v>
      </c>
      <c r="L518" s="667"/>
      <c r="M518" s="21">
        <f t="shared" si="90"/>
        <v>0</v>
      </c>
      <c r="N518" s="667"/>
      <c r="O518" s="21">
        <f t="shared" si="91"/>
        <v>-0.01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0.05</v>
      </c>
      <c r="L519" s="667"/>
      <c r="M519" s="21">
        <f t="shared" si="90"/>
        <v>0</v>
      </c>
      <c r="N519" s="667"/>
      <c r="O519" s="21">
        <f t="shared" si="91"/>
        <v>-0.01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0.05</v>
      </c>
      <c r="L520" s="667"/>
      <c r="M520" s="21">
        <f t="shared" si="90"/>
        <v>0</v>
      </c>
      <c r="N520" s="667"/>
      <c r="O520" s="21">
        <f t="shared" si="91"/>
        <v>-0.01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0.05</v>
      </c>
      <c r="L521" s="667"/>
      <c r="M521" s="21">
        <f t="shared" si="90"/>
        <v>0</v>
      </c>
      <c r="N521" s="667"/>
      <c r="O521" s="21">
        <f t="shared" si="91"/>
        <v>-0.01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0.05</v>
      </c>
      <c r="L522" s="667"/>
      <c r="M522" s="21">
        <f t="shared" si="90"/>
        <v>0</v>
      </c>
      <c r="N522" s="667"/>
      <c r="O522" s="21">
        <f t="shared" si="91"/>
        <v>-0.01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0.05</v>
      </c>
      <c r="L523" s="667"/>
      <c r="M523" s="21">
        <f t="shared" si="90"/>
        <v>0</v>
      </c>
      <c r="N523" s="667"/>
      <c r="O523" s="21">
        <f t="shared" si="91"/>
        <v>-0.01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0.05</v>
      </c>
      <c r="L524" s="667"/>
      <c r="M524" s="21">
        <f t="shared" si="90"/>
        <v>0</v>
      </c>
      <c r="N524" s="667"/>
      <c r="O524" s="21">
        <f t="shared" si="91"/>
        <v>-0.01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0" zoomScaleNormal="70" zoomScaleSheetLayoutView="80" workbookViewId="0">
      <selection activeCell="D104" sqref="D10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1766</v>
      </c>
      <c r="C1" s="1237" t="s">
        <v>1662</v>
      </c>
      <c r="D1" s="1224" t="s">
        <v>673</v>
      </c>
      <c r="E1" s="3424" t="s">
        <v>3389</v>
      </c>
      <c r="F1" s="1877" t="s">
        <v>3390</v>
      </c>
      <c r="G1" s="1234" t="s">
        <v>1767</v>
      </c>
      <c r="H1" s="1233"/>
      <c r="I1" s="1233"/>
      <c r="J1" s="1233"/>
      <c r="K1" s="1235"/>
      <c r="L1" s="1236"/>
      <c r="M1" s="1237"/>
      <c r="N1" s="1237"/>
      <c r="O1" s="1237"/>
      <c r="P1" s="1947"/>
      <c r="Q1" s="1948"/>
      <c r="R1" s="1948"/>
      <c r="S1" s="1948"/>
      <c r="T1" s="1948"/>
      <c r="U1" s="1948"/>
      <c r="V1" s="1948"/>
      <c r="W1" s="1948"/>
      <c r="X1" s="1948"/>
      <c r="Y1" s="1948"/>
      <c r="Z1" s="1948"/>
      <c r="AA1" s="1948"/>
      <c r="AB1" s="1948"/>
      <c r="AC1" s="1949"/>
    </row>
    <row r="2" spans="1:29" s="352" customFormat="1" ht="28.5" customHeight="1" thickTop="1">
      <c r="A2" s="1220" t="s">
        <v>1462</v>
      </c>
      <c r="B2" s="1163">
        <f>IF(E1="项目模式",IF(C2="——",ROUND(C49*D3/10000,0),ROUND(C49*D3/10000,0)-D2),IF(E1="单套模式",IF(C2="——",ROUND(C49*D3/10000,4),ROUND(C49*D3/10000,4)-D2)))</f>
        <v>394.12920000000003</v>
      </c>
      <c r="C2" s="1879" t="s">
        <v>43</v>
      </c>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45297</v>
      </c>
      <c r="C3" s="354" t="s">
        <v>1768</v>
      </c>
      <c r="D3" s="353">
        <f>IF(D1="",'数据-汇总表'!E3,SUMIF('数据-汇总表'!$C19:$C33,D1,'数据-汇总表'!$E19:$E33))</f>
        <v>87.01</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5" t="s">
        <v>1772</v>
      </c>
      <c r="AC4" s="3677" t="s">
        <v>1773</v>
      </c>
    </row>
    <row r="5" spans="1:29" ht="15">
      <c r="A5" s="358"/>
      <c r="B5" s="359"/>
      <c r="C5" s="3703" t="s">
        <v>3412</v>
      </c>
      <c r="D5" s="3699"/>
      <c r="E5" s="3706" t="s">
        <v>3413</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5"/>
      <c r="AC5" s="3678"/>
    </row>
    <row r="6" spans="1:29" ht="15.7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5"/>
      <c r="AC6" s="3679"/>
    </row>
    <row r="7" spans="1:29" s="108" customFormat="1" ht="15.75" thickBot="1">
      <c r="A7" s="362" t="s">
        <v>1679</v>
      </c>
      <c r="B7" s="363"/>
      <c r="C7" s="364">
        <f>'数据-取费表'!B2</f>
        <v>45322</v>
      </c>
      <c r="D7" s="365">
        <v>100</v>
      </c>
      <c r="E7" s="366">
        <v>45292</v>
      </c>
      <c r="F7" s="367">
        <f>SUMIF(58:58,YEAR(E7)&amp;"-"&amp;MONTH(E7),59:59)</f>
        <v>100</v>
      </c>
      <c r="G7" s="366">
        <v>45292</v>
      </c>
      <c r="H7" s="365">
        <f>SUMIF(58:58,YEAR(G7)&amp;"-"&amp;MONTH(G7),59:59)</f>
        <v>100</v>
      </c>
      <c r="I7" s="366">
        <v>45292</v>
      </c>
      <c r="J7" s="365">
        <f>SUMIF(58:58,YEAR(I7)&amp;"-"&amp;MONTH(I7),59:59)</f>
        <v>100</v>
      </c>
      <c r="K7" s="560"/>
      <c r="L7" s="2715"/>
      <c r="M7" s="2716"/>
      <c r="N7" s="2716"/>
      <c r="O7" s="2716"/>
      <c r="P7" s="3700" t="s">
        <v>1680</v>
      </c>
      <c r="Q7" s="3702"/>
      <c r="R7" s="701" t="s">
        <v>14</v>
      </c>
      <c r="S7" s="702">
        <f t="shared" ref="S7:S15" si="0">F7</f>
        <v>100</v>
      </c>
      <c r="T7" s="701" t="s">
        <v>14</v>
      </c>
      <c r="U7" s="702">
        <f t="shared" ref="U7:U15" si="1">H7</f>
        <v>100</v>
      </c>
      <c r="V7" s="701" t="s">
        <v>14</v>
      </c>
      <c r="W7" s="702">
        <f t="shared" ref="W7:W15" si="2">J7</f>
        <v>100</v>
      </c>
      <c r="X7" s="703"/>
      <c r="Y7" s="3700" t="s">
        <v>1680</v>
      </c>
      <c r="Z7" s="3701"/>
      <c r="AA7" s="704">
        <f>D7/F7</f>
        <v>1</v>
      </c>
      <c r="AB7" s="704">
        <f>D7/H7</f>
        <v>1</v>
      </c>
      <c r="AC7" s="704">
        <f>D7/J7</f>
        <v>1</v>
      </c>
    </row>
    <row r="8" spans="1:29" s="108" customFormat="1" ht="15.75" thickBot="1">
      <c r="A8" s="362" t="s">
        <v>1681</v>
      </c>
      <c r="B8" s="363"/>
      <c r="C8" s="368" t="s">
        <v>3391</v>
      </c>
      <c r="D8" s="365">
        <v>100</v>
      </c>
      <c r="E8" s="368" t="s">
        <v>3414</v>
      </c>
      <c r="F8" s="367">
        <f>SUMIF(61:61,E8,62:62)-SUMIF(61:61,C8,62:62)+100</f>
        <v>102</v>
      </c>
      <c r="G8" s="368" t="s">
        <v>3414</v>
      </c>
      <c r="H8" s="365">
        <f>SUMIF(61:61,G8,62:62)-SUMIF(61:61,C8,62:62)+100</f>
        <v>102</v>
      </c>
      <c r="I8" s="368" t="s">
        <v>3414</v>
      </c>
      <c r="J8" s="365">
        <f>SUMIF(61:61,I8,62:62)-SUMIF(61:61,C8,62:62)+100</f>
        <v>102</v>
      </c>
      <c r="K8" s="560"/>
      <c r="L8" s="2715"/>
      <c r="M8" s="2716"/>
      <c r="N8" s="2716"/>
      <c r="O8" s="2716"/>
      <c r="P8" s="3700" t="s">
        <v>1683</v>
      </c>
      <c r="Q8" s="3701"/>
      <c r="R8" s="701" t="s">
        <v>14</v>
      </c>
      <c r="S8" s="702">
        <f t="shared" si="0"/>
        <v>102</v>
      </c>
      <c r="T8" s="701" t="s">
        <v>14</v>
      </c>
      <c r="U8" s="702">
        <f t="shared" si="1"/>
        <v>102</v>
      </c>
      <c r="V8" s="701" t="s">
        <v>14</v>
      </c>
      <c r="W8" s="702">
        <f t="shared" si="2"/>
        <v>102</v>
      </c>
      <c r="X8" s="703"/>
      <c r="Y8" s="3700" t="s">
        <v>1683</v>
      </c>
      <c r="Z8" s="3701"/>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49" t="s">
        <v>3392</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6"/>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6"/>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6"/>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6"/>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66" t="s">
        <v>1691</v>
      </c>
      <c r="Q15" s="1350" t="str">
        <f t="shared" si="6"/>
        <v>商业繁华度</v>
      </c>
      <c r="R15" s="705" t="s">
        <v>14</v>
      </c>
      <c r="S15" s="706">
        <f t="shared" si="0"/>
        <v>100</v>
      </c>
      <c r="T15" s="705" t="s">
        <v>14</v>
      </c>
      <c r="U15" s="706">
        <f t="shared" si="1"/>
        <v>100</v>
      </c>
      <c r="V15" s="705" t="s">
        <v>14</v>
      </c>
      <c r="W15" s="706">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3393</v>
      </c>
      <c r="D16" s="399"/>
      <c r="E16" s="398" t="s">
        <v>3393</v>
      </c>
      <c r="F16" s="400"/>
      <c r="G16" s="398" t="s">
        <v>3393</v>
      </c>
      <c r="H16" s="401"/>
      <c r="I16" s="398" t="s">
        <v>3393</v>
      </c>
      <c r="J16" s="399"/>
      <c r="K16" s="564"/>
      <c r="L16" s="2720"/>
      <c r="M16" s="2714"/>
      <c r="N16" s="2714"/>
      <c r="O16" s="2714"/>
      <c r="P16" s="3667"/>
      <c r="Q16" s="1350"/>
      <c r="R16" s="705"/>
      <c r="S16" s="706"/>
      <c r="T16" s="705"/>
      <c r="U16" s="706"/>
      <c r="V16" s="705"/>
      <c r="W16" s="706"/>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67"/>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407"/>
      <c r="C18" s="1899" t="s">
        <v>3394</v>
      </c>
      <c r="D18" s="401"/>
      <c r="E18" s="1899" t="s">
        <v>3394</v>
      </c>
      <c r="F18" s="404"/>
      <c r="G18" s="1899" t="s">
        <v>3394</v>
      </c>
      <c r="H18" s="399"/>
      <c r="I18" s="1899" t="s">
        <v>3394</v>
      </c>
      <c r="J18" s="399"/>
      <c r="K18" s="564"/>
      <c r="L18" s="2720"/>
      <c r="M18" s="2714"/>
      <c r="N18" s="2714"/>
      <c r="O18" s="2714"/>
      <c r="P18" s="3667"/>
      <c r="Q18" s="1350"/>
      <c r="R18" s="705"/>
      <c r="S18" s="706"/>
      <c r="T18" s="705"/>
      <c r="U18" s="706"/>
      <c r="V18" s="705"/>
      <c r="W18" s="706"/>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67"/>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351">
        <f t="shared" si="5"/>
        <v>1</v>
      </c>
    </row>
    <row r="20" spans="1:29" ht="15">
      <c r="A20" s="379"/>
      <c r="B20" s="407"/>
      <c r="C20" s="398" t="s">
        <v>3394</v>
      </c>
      <c r="D20" s="399"/>
      <c r="E20" s="1899" t="s">
        <v>3394</v>
      </c>
      <c r="F20" s="400"/>
      <c r="G20" s="1899" t="s">
        <v>3394</v>
      </c>
      <c r="H20" s="399"/>
      <c r="I20" s="1899" t="s">
        <v>3394</v>
      </c>
      <c r="J20" s="399"/>
      <c r="K20" s="564"/>
      <c r="L20" s="2720"/>
      <c r="M20" s="2714"/>
      <c r="N20" s="2714"/>
      <c r="O20" s="2714"/>
      <c r="P20" s="3667"/>
      <c r="Q20" s="1350"/>
      <c r="R20" s="705"/>
      <c r="S20" s="706"/>
      <c r="T20" s="705"/>
      <c r="U20" s="706"/>
      <c r="V20" s="705"/>
      <c r="W20" s="706"/>
      <c r="X20" s="1353"/>
      <c r="Y20" s="3669"/>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9" t="s">
        <v>3395</v>
      </c>
      <c r="D22" s="399"/>
      <c r="E22" s="398" t="s">
        <v>3395</v>
      </c>
      <c r="F22" s="400"/>
      <c r="G22" s="398" t="s">
        <v>3395</v>
      </c>
      <c r="H22" s="399"/>
      <c r="I22" s="398" t="s">
        <v>3395</v>
      </c>
      <c r="J22" s="399"/>
      <c r="K22" s="1129"/>
      <c r="L22" s="2720"/>
      <c r="M22" s="2714"/>
      <c r="N22" s="2714"/>
      <c r="O22" s="2714"/>
      <c r="P22" s="3667"/>
      <c r="Q22" s="1350"/>
      <c r="R22" s="705"/>
      <c r="S22" s="706"/>
      <c r="T22" s="705"/>
      <c r="U22" s="706"/>
      <c r="V22" s="705"/>
      <c r="W22" s="706"/>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67"/>
      <c r="Q23" s="1350" t="str">
        <f>B23</f>
        <v>自然及人文环境</v>
      </c>
      <c r="R23" s="705" t="s">
        <v>14</v>
      </c>
      <c r="S23" s="706">
        <f>F23</f>
        <v>100</v>
      </c>
      <c r="T23" s="705" t="s">
        <v>14</v>
      </c>
      <c r="U23" s="706">
        <f>H23</f>
        <v>100</v>
      </c>
      <c r="V23" s="705" t="s">
        <v>14</v>
      </c>
      <c r="W23" s="706">
        <f>J23</f>
        <v>100</v>
      </c>
      <c r="X23" s="1353"/>
      <c r="Y23" s="3669"/>
      <c r="Z23" s="1354" t="str">
        <f>Q23</f>
        <v>自然及人文环境</v>
      </c>
      <c r="AA23" s="1351">
        <f t="shared" si="3"/>
        <v>1</v>
      </c>
      <c r="AB23" s="1351">
        <f t="shared" si="4"/>
        <v>1</v>
      </c>
      <c r="AC23" s="1351">
        <f t="shared" si="5"/>
        <v>1</v>
      </c>
    </row>
    <row r="24" spans="1:29" ht="15">
      <c r="A24" s="379"/>
      <c r="B24" s="407"/>
      <c r="C24" s="398" t="s">
        <v>3394</v>
      </c>
      <c r="D24" s="399"/>
      <c r="E24" s="1899" t="s">
        <v>3394</v>
      </c>
      <c r="F24" s="400"/>
      <c r="G24" s="1899" t="s">
        <v>3394</v>
      </c>
      <c r="H24" s="399"/>
      <c r="I24" s="1899" t="s">
        <v>3394</v>
      </c>
      <c r="J24" s="399"/>
      <c r="K24" s="564"/>
      <c r="L24" s="2720"/>
      <c r="M24" s="2714"/>
      <c r="N24" s="2714"/>
      <c r="O24" s="2714"/>
      <c r="P24" s="3667"/>
      <c r="Q24" s="1350"/>
      <c r="R24" s="705"/>
      <c r="S24" s="706"/>
      <c r="T24" s="705"/>
      <c r="U24" s="706"/>
      <c r="V24" s="705"/>
      <c r="W24" s="706"/>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67"/>
      <c r="Q25" s="1350" t="str">
        <f t="shared" ref="Q25:Q46" si="11">B25</f>
        <v>临街状况</v>
      </c>
      <c r="R25" s="705" t="s">
        <v>14</v>
      </c>
      <c r="S25" s="706">
        <f>F25</f>
        <v>100</v>
      </c>
      <c r="T25" s="705" t="s">
        <v>14</v>
      </c>
      <c r="U25" s="706">
        <f>H25</f>
        <v>100</v>
      </c>
      <c r="V25" s="705" t="s">
        <v>14</v>
      </c>
      <c r="W25" s="706">
        <f>J25</f>
        <v>100</v>
      </c>
      <c r="X25" s="1353"/>
      <c r="Y25" s="3669"/>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67"/>
      <c r="Q26" s="1350" t="str">
        <f t="shared" si="11"/>
        <v>平面位置/可视性</v>
      </c>
      <c r="R26" s="705" t="s">
        <v>14</v>
      </c>
      <c r="S26" s="706">
        <f>F26</f>
        <v>100</v>
      </c>
      <c r="T26" s="705" t="s">
        <v>14</v>
      </c>
      <c r="U26" s="706">
        <f>H26</f>
        <v>100</v>
      </c>
      <c r="V26" s="705" t="s">
        <v>14</v>
      </c>
      <c r="W26" s="706">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67"/>
      <c r="Q27" s="1341" t="str">
        <f t="shared" si="11"/>
        <v>人流量</v>
      </c>
      <c r="R27" s="701" t="s">
        <v>14</v>
      </c>
      <c r="S27" s="702">
        <f>F27</f>
        <v>100</v>
      </c>
      <c r="T27" s="701" t="s">
        <v>14</v>
      </c>
      <c r="U27" s="702">
        <f>H27</f>
        <v>100</v>
      </c>
      <c r="V27" s="701" t="s">
        <v>14</v>
      </c>
      <c r="W27" s="702">
        <f>J27</f>
        <v>100</v>
      </c>
      <c r="X27" s="703"/>
      <c r="Y27" s="3669"/>
      <c r="Z27" s="52" t="str">
        <f>Q27</f>
        <v>人流量</v>
      </c>
      <c r="AA27" s="1351">
        <f>D27/F27</f>
        <v>1</v>
      </c>
      <c r="AB27" s="1351">
        <f>D27/H27</f>
        <v>1</v>
      </c>
      <c r="AC27" s="1351">
        <f>D27/J27</f>
        <v>1</v>
      </c>
    </row>
    <row r="28" spans="1:29" ht="15">
      <c r="A28" s="379"/>
      <c r="B28" s="375" t="s">
        <v>1783</v>
      </c>
      <c r="C28" s="565" t="s">
        <v>3410</v>
      </c>
      <c r="D28" s="386">
        <v>100</v>
      </c>
      <c r="E28" s="565" t="s">
        <v>3411</v>
      </c>
      <c r="F28" s="412">
        <f>SUMIF(92:92,E28,93:93)-SUMIF(92:92,C28,93:93)+100</f>
        <v>112</v>
      </c>
      <c r="G28" s="565" t="s">
        <v>3411</v>
      </c>
      <c r="H28" s="386">
        <f>SUMIF(92:92,G28,93:93)-SUMIF(92:92,C28,93:93)+100</f>
        <v>112</v>
      </c>
      <c r="I28" s="565" t="s">
        <v>3411</v>
      </c>
      <c r="J28" s="386">
        <f>SUMIF(92:92,I28,93:93)-SUMIF(92:92,C28,93:93)+100</f>
        <v>112</v>
      </c>
      <c r="K28" s="562"/>
      <c r="L28" s="2720"/>
      <c r="M28" s="2714"/>
      <c r="N28" s="2714"/>
      <c r="O28" s="2714"/>
      <c r="P28" s="3667"/>
      <c r="Q28" s="1350" t="str">
        <f t="shared" si="11"/>
        <v>楼层</v>
      </c>
      <c r="R28" s="705" t="s">
        <v>14</v>
      </c>
      <c r="S28" s="706">
        <f t="shared" ref="S28:S46" si="12">F28</f>
        <v>112</v>
      </c>
      <c r="T28" s="705" t="s">
        <v>14</v>
      </c>
      <c r="U28" s="706">
        <f t="shared" ref="U28:U46" si="13">H28</f>
        <v>112</v>
      </c>
      <c r="V28" s="705" t="s">
        <v>14</v>
      </c>
      <c r="W28" s="706">
        <f t="shared" ref="W28:W46" si="14">J28</f>
        <v>112</v>
      </c>
      <c r="X28" s="1353"/>
      <c r="Y28" s="3669"/>
      <c r="Z28" s="1354" t="str">
        <f t="shared" ref="Z28:Z46" si="15">Q28</f>
        <v>楼层</v>
      </c>
      <c r="AA28" s="1351">
        <f t="shared" si="3"/>
        <v>0.8928571428571429</v>
      </c>
      <c r="AB28" s="1351">
        <f t="shared" si="4"/>
        <v>0.8928571428571429</v>
      </c>
      <c r="AC28" s="1351">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67"/>
      <c r="Q29" s="1350">
        <f t="shared" si="11"/>
        <v>111</v>
      </c>
      <c r="R29" s="705" t="s">
        <v>14</v>
      </c>
      <c r="S29" s="706">
        <f t="shared" si="12"/>
        <v>100</v>
      </c>
      <c r="T29" s="705" t="s">
        <v>14</v>
      </c>
      <c r="U29" s="706">
        <f t="shared" si="13"/>
        <v>100</v>
      </c>
      <c r="V29" s="705" t="s">
        <v>14</v>
      </c>
      <c r="W29" s="706">
        <f t="shared" si="14"/>
        <v>100</v>
      </c>
      <c r="X29" s="1353"/>
      <c r="Y29" s="3669"/>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67"/>
      <c r="Q30" s="1350">
        <f t="shared" si="11"/>
        <v>111</v>
      </c>
      <c r="R30" s="705" t="s">
        <v>14</v>
      </c>
      <c r="S30" s="706">
        <f t="shared" si="12"/>
        <v>100</v>
      </c>
      <c r="T30" s="705" t="s">
        <v>14</v>
      </c>
      <c r="U30" s="706">
        <f t="shared" si="13"/>
        <v>100</v>
      </c>
      <c r="V30" s="705" t="s">
        <v>14</v>
      </c>
      <c r="W30" s="706">
        <f t="shared" si="14"/>
        <v>100</v>
      </c>
      <c r="X30" s="1353"/>
      <c r="Y30" s="3669"/>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67"/>
      <c r="Q31" s="1350">
        <f t="shared" si="11"/>
        <v>111</v>
      </c>
      <c r="R31" s="705" t="s">
        <v>14</v>
      </c>
      <c r="S31" s="706">
        <f t="shared" si="12"/>
        <v>100</v>
      </c>
      <c r="T31" s="705" t="s">
        <v>14</v>
      </c>
      <c r="U31" s="706">
        <f t="shared" si="13"/>
        <v>100</v>
      </c>
      <c r="V31" s="705" t="s">
        <v>14</v>
      </c>
      <c r="W31" s="706">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5" t="s">
        <v>14</v>
      </c>
      <c r="S32" s="706">
        <f t="shared" si="12"/>
        <v>100</v>
      </c>
      <c r="T32" s="705" t="s">
        <v>14</v>
      </c>
      <c r="U32" s="706">
        <f t="shared" si="13"/>
        <v>100</v>
      </c>
      <c r="V32" s="705" t="s">
        <v>14</v>
      </c>
      <c r="W32" s="706">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101</v>
      </c>
      <c r="I33" s="380">
        <v>163.33000000000001</v>
      </c>
      <c r="J33" s="127">
        <f>LOOKUP(I33,103:103,104:104)-LOOKUP(C33,103:103,104:104)+100</f>
        <v>101</v>
      </c>
      <c r="K33" s="562"/>
      <c r="L33" s="2719"/>
      <c r="M33" s="2721"/>
      <c r="N33" s="2721"/>
      <c r="O33" s="2721"/>
      <c r="P33" s="3671"/>
      <c r="Q33" s="707" t="str">
        <f t="shared" si="11"/>
        <v>项目建筑规模</v>
      </c>
      <c r="R33" s="708" t="s">
        <v>14</v>
      </c>
      <c r="S33" s="709">
        <f t="shared" si="12"/>
        <v>100</v>
      </c>
      <c r="T33" s="708" t="s">
        <v>14</v>
      </c>
      <c r="U33" s="709">
        <f t="shared" si="13"/>
        <v>101</v>
      </c>
      <c r="V33" s="708" t="s">
        <v>14</v>
      </c>
      <c r="W33" s="709">
        <f t="shared" si="14"/>
        <v>101</v>
      </c>
      <c r="X33" s="710"/>
      <c r="Y33" s="3673"/>
      <c r="Z33" s="711" t="str">
        <f t="shared" si="15"/>
        <v>项目建筑规模</v>
      </c>
      <c r="AA33" s="1351">
        <f t="shared" si="3"/>
        <v>1</v>
      </c>
      <c r="AB33" s="1351">
        <f t="shared" si="4"/>
        <v>0.99009900990099009</v>
      </c>
      <c r="AC33" s="1351">
        <f t="shared" si="5"/>
        <v>0.99009900990099009</v>
      </c>
    </row>
    <row r="34" spans="1:29" ht="15">
      <c r="A34" s="423"/>
      <c r="B34" s="375" t="s">
        <v>1698</v>
      </c>
      <c r="C34" s="1910" t="s">
        <v>3399</v>
      </c>
      <c r="D34" s="386">
        <v>100</v>
      </c>
      <c r="E34" s="1910" t="s">
        <v>3399</v>
      </c>
      <c r="F34" s="412">
        <f>SUMIF(105:105,E34,106:106)-SUMIF(105:105,C34,106:106)+100</f>
        <v>100</v>
      </c>
      <c r="G34" s="1910" t="s">
        <v>3399</v>
      </c>
      <c r="H34" s="386">
        <f>SUMIF(105:105,G34,106:106)-SUMIF(105:105,C34,106:106)+100</f>
        <v>100</v>
      </c>
      <c r="I34" s="1910" t="s">
        <v>3399</v>
      </c>
      <c r="J34" s="386">
        <f>SUMIF(105:105,I34,106:106)-SUMIF(105:105,C34,106:106)+100</f>
        <v>100</v>
      </c>
      <c r="K34" s="561"/>
      <c r="L34" s="2720"/>
      <c r="M34" s="2714"/>
      <c r="N34" s="2714"/>
      <c r="O34" s="2714"/>
      <c r="P34" s="3671"/>
      <c r="Q34" s="1350" t="str">
        <f t="shared" si="11"/>
        <v>建筑结构</v>
      </c>
      <c r="R34" s="705" t="s">
        <v>14</v>
      </c>
      <c r="S34" s="706">
        <f t="shared" si="12"/>
        <v>100</v>
      </c>
      <c r="T34" s="705" t="s">
        <v>14</v>
      </c>
      <c r="U34" s="706">
        <f t="shared" si="13"/>
        <v>100</v>
      </c>
      <c r="V34" s="705" t="s">
        <v>14</v>
      </c>
      <c r="W34" s="706">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5" t="s">
        <v>14</v>
      </c>
      <c r="S35" s="706">
        <f t="shared" si="12"/>
        <v>100</v>
      </c>
      <c r="T35" s="705" t="s">
        <v>14</v>
      </c>
      <c r="U35" s="706">
        <f t="shared" si="13"/>
        <v>100</v>
      </c>
      <c r="V35" s="705" t="s">
        <v>14</v>
      </c>
      <c r="W35" s="706">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0"/>
      <c r="M36" s="2714"/>
      <c r="N36" s="2714"/>
      <c r="O36" s="2714"/>
      <c r="P36" s="3671"/>
      <c r="Q36" s="1350" t="str">
        <f t="shared" si="11"/>
        <v>成新度</v>
      </c>
      <c r="R36" s="705" t="s">
        <v>14</v>
      </c>
      <c r="S36" s="706">
        <f t="shared" si="12"/>
        <v>100</v>
      </c>
      <c r="T36" s="705" t="s">
        <v>14</v>
      </c>
      <c r="U36" s="706">
        <f t="shared" si="13"/>
        <v>100</v>
      </c>
      <c r="V36" s="705" t="s">
        <v>14</v>
      </c>
      <c r="W36" s="706">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5" t="s">
        <v>14</v>
      </c>
      <c r="S38" s="706">
        <f t="shared" si="12"/>
        <v>100</v>
      </c>
      <c r="T38" s="705" t="s">
        <v>14</v>
      </c>
      <c r="U38" s="706">
        <f t="shared" si="13"/>
        <v>100</v>
      </c>
      <c r="V38" s="705" t="s">
        <v>14</v>
      </c>
      <c r="W38" s="706">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5" t="s">
        <v>14</v>
      </c>
      <c r="S39" s="706">
        <f t="shared" si="12"/>
        <v>100</v>
      </c>
      <c r="T39" s="705" t="s">
        <v>14</v>
      </c>
      <c r="U39" s="706">
        <f t="shared" si="13"/>
        <v>100</v>
      </c>
      <c r="V39" s="705" t="s">
        <v>14</v>
      </c>
      <c r="W39" s="706">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5" t="s">
        <v>14</v>
      </c>
      <c r="S40" s="706">
        <f t="shared" si="12"/>
        <v>100</v>
      </c>
      <c r="T40" s="705" t="s">
        <v>14</v>
      </c>
      <c r="U40" s="706">
        <f t="shared" si="13"/>
        <v>100</v>
      </c>
      <c r="V40" s="705" t="s">
        <v>14</v>
      </c>
      <c r="W40" s="706">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5" t="s">
        <v>14</v>
      </c>
      <c r="S42" s="706">
        <f t="shared" si="12"/>
        <v>100</v>
      </c>
      <c r="T42" s="705" t="s">
        <v>14</v>
      </c>
      <c r="U42" s="706">
        <f t="shared" si="13"/>
        <v>100</v>
      </c>
      <c r="V42" s="705" t="s">
        <v>14</v>
      </c>
      <c r="W42" s="706">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5" t="s">
        <v>14</v>
      </c>
      <c r="S43" s="706">
        <f t="shared" si="12"/>
        <v>100</v>
      </c>
      <c r="T43" s="705" t="s">
        <v>14</v>
      </c>
      <c r="U43" s="706">
        <f t="shared" si="13"/>
        <v>100</v>
      </c>
      <c r="V43" s="705" t="s">
        <v>14</v>
      </c>
      <c r="W43" s="706">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5" t="s">
        <v>14</v>
      </c>
      <c r="S45" s="706">
        <f t="shared" si="12"/>
        <v>100</v>
      </c>
      <c r="T45" s="705" t="s">
        <v>14</v>
      </c>
      <c r="U45" s="706">
        <f t="shared" si="13"/>
        <v>100</v>
      </c>
      <c r="V45" s="705" t="s">
        <v>14</v>
      </c>
      <c r="W45" s="706">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5" t="s">
        <v>14</v>
      </c>
      <c r="S46" s="706">
        <f t="shared" si="12"/>
        <v>100</v>
      </c>
      <c r="T46" s="705" t="s">
        <v>14</v>
      </c>
      <c r="U46" s="706">
        <f t="shared" si="13"/>
        <v>100</v>
      </c>
      <c r="V46" s="705" t="s">
        <v>14</v>
      </c>
      <c r="W46" s="706">
        <f t="shared" si="14"/>
        <v>100</v>
      </c>
      <c r="X46" s="1353"/>
      <c r="Y46" s="3674"/>
      <c r="Z46" s="1354">
        <f t="shared" si="15"/>
        <v>111</v>
      </c>
      <c r="AA46" s="1351">
        <f t="shared" si="3"/>
        <v>1</v>
      </c>
      <c r="AB46" s="1351">
        <f t="shared" si="4"/>
        <v>1</v>
      </c>
      <c r="AC46" s="1351">
        <f t="shared" si="5"/>
        <v>1</v>
      </c>
    </row>
    <row r="47" spans="1:29" ht="15">
      <c r="A47" s="430" t="s">
        <v>1708</v>
      </c>
      <c r="B47" s="431"/>
      <c r="C47" s="1153" t="s">
        <v>0</v>
      </c>
      <c r="D47" s="1154"/>
      <c r="E47" s="1155">
        <v>53725</v>
      </c>
      <c r="F47" s="1156"/>
      <c r="G47" s="1157">
        <v>48656</v>
      </c>
      <c r="H47" s="1158"/>
      <c r="I47" s="1155">
        <v>53878</v>
      </c>
      <c r="J47" s="1158"/>
      <c r="K47" s="714"/>
      <c r="L47" s="2722"/>
      <c r="M47" s="2723"/>
      <c r="N47" s="2714"/>
      <c r="O47" s="2723"/>
      <c r="P47" s="3661" t="str">
        <f>A47</f>
        <v>成交单价（元/平方米）</v>
      </c>
      <c r="Q47" s="3661"/>
      <c r="R47" s="3675">
        <f>E47</f>
        <v>53725</v>
      </c>
      <c r="S47" s="3675"/>
      <c r="T47" s="3675">
        <f>G47</f>
        <v>48656</v>
      </c>
      <c r="U47" s="3675"/>
      <c r="V47" s="3675">
        <f>I47</f>
        <v>53878</v>
      </c>
      <c r="W47" s="3675"/>
      <c r="X47" s="690"/>
      <c r="Y47" s="712"/>
      <c r="Z47" s="690"/>
      <c r="AA47" s="690"/>
      <c r="AB47" s="690"/>
      <c r="AC47" s="690"/>
    </row>
    <row r="48" spans="1:29" ht="15.75" thickBot="1">
      <c r="A48" s="437" t="s">
        <v>1793</v>
      </c>
      <c r="B48" s="438"/>
      <c r="C48" s="1159">
        <f>R49</f>
        <v>45297</v>
      </c>
      <c r="D48" s="2315" t="s">
        <v>2133</v>
      </c>
      <c r="E48" s="1160">
        <f>R48</f>
        <v>47028</v>
      </c>
      <c r="F48" s="2316"/>
      <c r="G48" s="1159">
        <f>T48</f>
        <v>42169</v>
      </c>
      <c r="H48" s="2316"/>
      <c r="I48" s="1160">
        <f>V48</f>
        <v>46695</v>
      </c>
      <c r="J48" s="2316"/>
      <c r="K48" s="2318">
        <f>F48+H48+J48</f>
        <v>0</v>
      </c>
      <c r="L48" s="2722"/>
      <c r="M48" s="2723"/>
      <c r="N48" s="2714"/>
      <c r="O48" s="2723"/>
      <c r="P48" s="3661" t="str">
        <f>A48</f>
        <v>比较价值（元/平方米）</v>
      </c>
      <c r="Q48" s="3661"/>
      <c r="R48" s="3662">
        <f>IF(F1="售价",ROUND(PRODUCT(R47,AA7:AA46),0),ROUND(PRODUCT(R47,AA7:AA46),1))</f>
        <v>47028</v>
      </c>
      <c r="S48" s="3662"/>
      <c r="T48" s="3662">
        <f>IF(F1="售价",ROUND(PRODUCT(T47,AB7:AB46),0),ROUND(PRODUCT(T47,AB7:AB46),1))</f>
        <v>42169</v>
      </c>
      <c r="U48" s="3662"/>
      <c r="V48" s="3662">
        <f>IF(F1="售价",ROUND(PRODUCT(V47,AC7:AC46),0),ROUND(PRODUCT(V47,AC7:AC46),1))</f>
        <v>46695</v>
      </c>
      <c r="W48" s="3662"/>
      <c r="X48" s="690"/>
      <c r="Y48" s="690"/>
      <c r="Z48" s="690"/>
      <c r="AA48" s="690"/>
      <c r="AB48" s="690"/>
      <c r="AC48" s="690"/>
    </row>
    <row r="49" spans="1:29" ht="15.75" thickBot="1">
      <c r="A49" s="441" t="s">
        <v>1794</v>
      </c>
      <c r="B49" s="442"/>
      <c r="C49" s="1162">
        <f>R49</f>
        <v>45297</v>
      </c>
      <c r="D49" s="1162"/>
      <c r="E49" s="1162"/>
      <c r="F49" s="1162"/>
      <c r="G49" s="1162"/>
      <c r="H49" s="1162"/>
      <c r="I49" s="1162"/>
      <c r="J49" s="1162"/>
      <c r="K49" s="715"/>
      <c r="L49" s="2722"/>
      <c r="M49" s="2723"/>
      <c r="N49" s="2714"/>
      <c r="O49" s="2723"/>
      <c r="P49" s="3663" t="str">
        <f>A49</f>
        <v>估价对象XX用房的比较价值（楼面单价，元/平方米）</v>
      </c>
      <c r="Q49" s="3664"/>
      <c r="R49" s="3665">
        <f>IF(F1="售价",ROUND(IF(D48="简单平均",AVERAGE(R48:V48),R48*F48+T48*H48+V48*J48),0),ROUND(IF(D48="简单平均",AVERAGE(R48:V48),R48*F48+T48*H48+V48*J48),1))</f>
        <v>45297</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f>IF(E47&lt;E48,E48/E47-1,E47/E48-1)</f>
        <v>0.14240452496385125</v>
      </c>
      <c r="F52" s="449" t="str">
        <f>IF(OR(E52&gt;=0.3,E52&lt;=-0.3),"超过30%","")</f>
        <v/>
      </c>
      <c r="G52" s="448">
        <f>IF(G47&lt;G48,G48/G47-1,G47/G48-1)</f>
        <v>0.1538333847138893</v>
      </c>
      <c r="H52" s="449" t="str">
        <f>IF(OR(G52&gt;=0.3,G52&lt;=-0.3),"超过30%","")</f>
        <v/>
      </c>
      <c r="I52" s="448">
        <f>IF(I47&lt;I48,I48/I47-1,I47/I48-1)</f>
        <v>0.15382803297997638</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f>IF(E48&lt;G48,G48/E48-1,E48/G48-1)</f>
        <v>0.11522682539306128</v>
      </c>
      <c r="F53" s="449" t="str">
        <f>IF(OR(E53&gt;=0.2,E53&lt;=-0.2),"超过20%","")</f>
        <v/>
      </c>
      <c r="G53" s="448">
        <f>IF(G48&lt;I48,I48/G48-1,G48/I48-1)</f>
        <v>0.10733002916834633</v>
      </c>
      <c r="H53" s="449" t="str">
        <f>IF(OR(G53&gt;=0.2,G53&lt;=-0.2),"超过20%","")</f>
        <v/>
      </c>
      <c r="I53" s="448">
        <f>IF(I48&lt;E48,E48/I48-1,I48/E48-1)</f>
        <v>7.131384516543493E-3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52" t="s">
        <v>3415</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102</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3450"/>
      <c r="D90" s="3450"/>
      <c r="E90" s="3450"/>
      <c r="F90" s="3450"/>
      <c r="G90" s="3450"/>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t="s">
        <v>3396</v>
      </c>
      <c r="D92" s="503" t="s">
        <v>3397</v>
      </c>
      <c r="E92" s="503" t="s">
        <v>3398</v>
      </c>
      <c r="F92" s="503" t="s">
        <v>3442</v>
      </c>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v>100</v>
      </c>
      <c r="D93" s="485">
        <v>88</v>
      </c>
      <c r="E93" s="485">
        <v>80</v>
      </c>
      <c r="F93" s="485">
        <v>75</v>
      </c>
      <c r="G93" s="485">
        <v>65</v>
      </c>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3451"/>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99</v>
      </c>
      <c r="D104" s="485">
        <v>100</v>
      </c>
      <c r="E104" s="485">
        <f t="shared" ref="E104:F104" si="24">D104-1</f>
        <v>99</v>
      </c>
      <c r="F104" s="485">
        <f t="shared" si="24"/>
        <v>98</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3450" t="s">
        <v>3400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t="s">
        <v>3395</v>
      </c>
      <c r="D112" s="503" t="s">
        <v>3401</v>
      </c>
      <c r="E112" s="503" t="s">
        <v>3402</v>
      </c>
      <c r="F112" s="503" t="s">
        <v>3403</v>
      </c>
      <c r="G112" s="503" t="s">
        <v>3404</v>
      </c>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3450" t="s">
        <v>3406</v>
      </c>
      <c r="D114" s="3450" t="s">
        <v>3405</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3450" t="s">
        <v>3407</v>
      </c>
      <c r="D122" s="3450" t="s">
        <v>3408</v>
      </c>
      <c r="E122" s="3450" t="s">
        <v>3409</v>
      </c>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A7" zoomScale="70" zoomScaleNormal="70" zoomScaleSheetLayoutView="7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673</v>
      </c>
      <c r="D1" s="1360" t="s">
        <v>43</v>
      </c>
      <c r="E1" s="1361" t="s">
        <v>678</v>
      </c>
      <c r="F1" s="1061">
        <f ca="1">J53</f>
        <v>30.78</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227.5557</v>
      </c>
      <c r="C2" s="1385" t="s">
        <v>879</v>
      </c>
      <c r="D2" s="1469">
        <f ca="1">C40+J29+L46</f>
        <v>2275557</v>
      </c>
      <c r="E2" s="1386" t="s">
        <v>880</v>
      </c>
      <c r="F2" s="1387"/>
      <c r="G2" s="2704"/>
      <c r="H2" s="2693"/>
      <c r="I2" s="2693"/>
      <c r="J2" s="2693"/>
      <c r="K2" s="2694"/>
      <c r="L2" s="2693"/>
      <c r="M2" s="2693"/>
    </row>
    <row r="3" spans="1:37" ht="18" customHeight="1" thickBot="1">
      <c r="A3" s="1388" t="s">
        <v>881</v>
      </c>
      <c r="B3" s="1389">
        <f ca="1">IF(ISERROR(D2/F43),0,ROUND(D2/F43,0))</f>
        <v>26153</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143093</v>
      </c>
      <c r="D5" s="1362" t="s">
        <v>889</v>
      </c>
      <c r="E5" s="1070"/>
      <c r="F5" s="1071"/>
      <c r="G5" s="1382"/>
      <c r="H5" s="299">
        <v>1</v>
      </c>
      <c r="I5" s="300" t="s">
        <v>888</v>
      </c>
      <c r="J5" s="1069">
        <f ca="1">J6+J10+J12</f>
        <v>0</v>
      </c>
      <c r="K5" s="1362" t="s">
        <v>889</v>
      </c>
      <c r="L5" s="1070"/>
      <c r="M5" s="1071"/>
    </row>
    <row r="6" spans="1:37" ht="18" customHeight="1">
      <c r="A6" s="1068" t="s">
        <v>398</v>
      </c>
      <c r="B6" s="3652" t="s">
        <v>694</v>
      </c>
      <c r="C6" s="1073">
        <f ca="1">ROUND(F6*F8*F7*(1-F9),0)</f>
        <v>142914</v>
      </c>
      <c r="D6" s="155" t="s">
        <v>2101</v>
      </c>
      <c r="E6" s="302" t="s">
        <v>696</v>
      </c>
      <c r="F6" s="303">
        <f ca="1">INDIRECT("'数据-取费表'!u"&amp;$G$1)</f>
        <v>5</v>
      </c>
      <c r="G6" s="1382"/>
      <c r="H6" s="1068" t="s">
        <v>398</v>
      </c>
      <c r="I6" s="3652" t="s">
        <v>694</v>
      </c>
      <c r="J6" s="301">
        <f ca="1">ROUND(M6*M8*M7*(1-M9),0)</f>
        <v>0</v>
      </c>
      <c r="K6" s="1374" t="s">
        <v>2102</v>
      </c>
      <c r="L6" s="302" t="s">
        <v>696</v>
      </c>
      <c r="M6" s="303">
        <f ca="1">INDIRECT("'数据-取费表'!z"&amp;$G$1)</f>
        <v>0</v>
      </c>
    </row>
    <row r="7" spans="1:37" ht="18" customHeight="1">
      <c r="A7" s="1072"/>
      <c r="B7" s="3653"/>
      <c r="C7" s="1074"/>
      <c r="D7" s="307"/>
      <c r="E7" s="1075" t="s">
        <v>697</v>
      </c>
      <c r="F7" s="303">
        <f ca="1">IF(INDIRECT("'数据-取费表'!ah"&amp;$G$1)="",INDIRECT("'数据-取费表'!k"&amp;$G$1),INDIRECT("'数据-取费表'!ah"&amp;$G$1))</f>
        <v>87.01</v>
      </c>
      <c r="G7" s="1382"/>
      <c r="H7" s="304"/>
      <c r="I7" s="3653"/>
      <c r="J7" s="306"/>
      <c r="K7" s="307"/>
      <c r="L7" s="302" t="s">
        <v>697</v>
      </c>
      <c r="M7" s="303">
        <f ca="1">F7</f>
        <v>87.01</v>
      </c>
    </row>
    <row r="8" spans="1:37" ht="18" customHeight="1">
      <c r="A8" s="304"/>
      <c r="B8" s="3653"/>
      <c r="C8" s="306"/>
      <c r="D8" s="307"/>
      <c r="E8" s="302" t="s">
        <v>698</v>
      </c>
      <c r="F8" s="303">
        <f ca="1">INDIRECT("'数据-取费表'!ai"&amp;$G$1)</f>
        <v>365</v>
      </c>
      <c r="G8" s="1382"/>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2"/>
      <c r="H9" s="304"/>
      <c r="I9" s="3654"/>
      <c r="J9" s="306"/>
      <c r="K9" s="307"/>
      <c r="L9" s="313" t="s">
        <v>699</v>
      </c>
      <c r="M9" s="314">
        <f ca="1">INDIRECT("'数据-取费表'!ab"&amp;$G$1)</f>
        <v>0</v>
      </c>
    </row>
    <row r="10" spans="1:37" ht="18" customHeight="1">
      <c r="A10" s="1068" t="s">
        <v>402</v>
      </c>
      <c r="B10" s="1363" t="s">
        <v>700</v>
      </c>
      <c r="C10" s="316">
        <f ca="1">ROUND(IF(F10="押一",C6/12*F11,IF(F10="押二",C6/12*2*F11,IF(F10="押三",C6/12*3*F11,C11*F11))),0)</f>
        <v>179</v>
      </c>
      <c r="D10" s="1364" t="s">
        <v>2111</v>
      </c>
      <c r="E10" s="313" t="s">
        <v>701</v>
      </c>
      <c r="F10" s="1115" t="s">
        <v>3417</v>
      </c>
      <c r="G10" s="1382"/>
      <c r="H10" s="1068" t="s">
        <v>402</v>
      </c>
      <c r="I10" s="1363" t="s">
        <v>700</v>
      </c>
      <c r="J10" s="301">
        <f ca="1">ROUND(IF(M10="押一",J6/12*M11,IF(M10="押二",J6/12*2*M11,IF(M10="押三",J6/12*3*M11,J11*M11))),0)</f>
        <v>0</v>
      </c>
      <c r="K10" s="1375" t="s">
        <v>2113</v>
      </c>
      <c r="L10" s="313" t="s">
        <v>701</v>
      </c>
      <c r="M10" s="1115"/>
    </row>
    <row r="11" spans="1:37" ht="18" customHeight="1">
      <c r="A11" s="308"/>
      <c r="B11" s="1365" t="s">
        <v>890</v>
      </c>
      <c r="C11" s="959"/>
      <c r="D11" s="307"/>
      <c r="E11" s="313" t="s">
        <v>702</v>
      </c>
      <c r="F11" s="314">
        <f ca="1">'数据-取费表'!B39</f>
        <v>1.4999999999999999E-2</v>
      </c>
      <c r="G11" s="1382"/>
      <c r="H11" s="1076"/>
      <c r="I11" s="1365" t="s">
        <v>891</v>
      </c>
      <c r="J11" s="959"/>
      <c r="K11" s="684"/>
      <c r="L11" s="313" t="s">
        <v>702</v>
      </c>
      <c r="M11" s="862">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2"/>
      <c r="H13" s="1078">
        <v>2</v>
      </c>
      <c r="I13" s="1079" t="s">
        <v>704</v>
      </c>
      <c r="J13" s="1067">
        <f ca="1">ROUND(J14*J15,0)</f>
        <v>0</v>
      </c>
      <c r="K13" s="1086" t="s">
        <v>705</v>
      </c>
      <c r="L13" s="1390"/>
      <c r="M13" s="1391"/>
    </row>
    <row r="14" spans="1:37" ht="18" customHeight="1">
      <c r="A14" s="982" t="s">
        <v>397</v>
      </c>
      <c r="B14" s="302" t="s">
        <v>707</v>
      </c>
      <c r="C14" s="318">
        <f ca="1">ROUND(INDIRECT("'数据-取费表'!l"&amp;$G$1)*F43+'数据-取费表'!L14*INDIRECT("'数据-取费表'!S"&amp;$G$1),0)</f>
        <v>391545</v>
      </c>
      <c r="D14" s="1343" t="s">
        <v>708</v>
      </c>
      <c r="E14" s="1340"/>
      <c r="F14" s="319"/>
      <c r="G14" s="1382"/>
      <c r="H14" s="982" t="s">
        <v>398</v>
      </c>
      <c r="I14" s="302" t="s">
        <v>709</v>
      </c>
      <c r="J14" s="21">
        <f ca="1">C29</f>
        <v>582567</v>
      </c>
      <c r="K14" s="12"/>
      <c r="L14" s="807"/>
      <c r="M14" s="808"/>
    </row>
    <row r="15" spans="1:37" s="1395" customFormat="1" ht="18" customHeight="1" thickBot="1">
      <c r="A15" s="982" t="s">
        <v>399</v>
      </c>
      <c r="B15" s="302" t="s">
        <v>710</v>
      </c>
      <c r="C15" s="21">
        <f ca="1">ROUND(C14*F15,0)</f>
        <v>11746</v>
      </c>
      <c r="D15" s="320" t="s">
        <v>711</v>
      </c>
      <c r="E15" s="320" t="s">
        <v>712</v>
      </c>
      <c r="F15" s="321">
        <f>'数据-取费表'!B33</f>
        <v>0.03</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2913</v>
      </c>
      <c r="K16" s="1086" t="s">
        <v>715</v>
      </c>
      <c r="L16" s="1087"/>
      <c r="M16" s="1071"/>
    </row>
    <row r="17" spans="1:37" s="1395" customFormat="1" ht="18" customHeight="1">
      <c r="A17" s="982" t="s">
        <v>681</v>
      </c>
      <c r="B17" s="302" t="s">
        <v>716</v>
      </c>
      <c r="C17" s="21">
        <f ca="1">ROUND(F17*(F43+INDIRECT("'数据-取费表'!S"&amp;$G$1)),0)</f>
        <v>17402</v>
      </c>
      <c r="D17" s="302" t="s">
        <v>717</v>
      </c>
      <c r="E17" s="302" t="s">
        <v>718</v>
      </c>
      <c r="F17" s="23">
        <f>'数据-取费表'!B35</f>
        <v>200</v>
      </c>
      <c r="G17" s="1394"/>
      <c r="H17" s="982"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5873</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426566</v>
      </c>
      <c r="D19" s="131" t="s">
        <v>726</v>
      </c>
      <c r="E19" s="1358"/>
      <c r="F19" s="23"/>
      <c r="G19" s="1382"/>
      <c r="H19" s="982"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2" t="s">
        <v>402</v>
      </c>
      <c r="B20" s="302" t="s">
        <v>728</v>
      </c>
      <c r="C20" s="21">
        <f ca="1">ROUND(C19*F20,0)</f>
        <v>8531</v>
      </c>
      <c r="D20" s="323" t="s">
        <v>729</v>
      </c>
      <c r="E20" s="302" t="s">
        <v>712</v>
      </c>
      <c r="F20" s="322">
        <f>'数据-取费表'!B37</f>
        <v>0.02</v>
      </c>
      <c r="G20" s="1394"/>
      <c r="H20" s="982"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2913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582567</v>
      </c>
      <c r="D29" s="1091"/>
      <c r="E29" s="1089"/>
      <c r="F29" s="1092"/>
      <c r="G29" s="1394"/>
      <c r="H29" s="334" t="s">
        <v>396</v>
      </c>
      <c r="I29" s="335" t="s">
        <v>768</v>
      </c>
      <c r="J29" s="336">
        <f ca="1">ROUND(J26/(1+F40)^F41,0)</f>
        <v>0</v>
      </c>
      <c r="K29" s="337" t="s">
        <v>769</v>
      </c>
      <c r="L29" s="338"/>
      <c r="M29" s="339">
        <f ca="1">INDIRECT("'数据-取费表'!k"&amp;$G$1)</f>
        <v>87.01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28387</v>
      </c>
      <c r="D30" s="1086" t="s">
        <v>715</v>
      </c>
      <c r="E30" s="1087"/>
      <c r="F30" s="1071"/>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23955</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2" t="s">
        <v>397</v>
      </c>
      <c r="B32" s="302" t="s">
        <v>723</v>
      </c>
      <c r="C32" s="21">
        <f ca="1">IF(项目基本情况!B11="自然人","——",ROUND(C6*F32/(1+'数据-取费表'!C42),0))</f>
        <v>7622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2913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804</v>
      </c>
      <c r="D37" s="1342" t="s">
        <v>743</v>
      </c>
      <c r="E37" s="302" t="s">
        <v>744</v>
      </c>
      <c r="F37" s="330">
        <f ca="1">INDIRECT("'数据-取费表'!Al"&amp;$G$1)</f>
        <v>1.5E-3</v>
      </c>
      <c r="G37" s="1382"/>
      <c r="H37" s="2698"/>
      <c r="I37" s="1396"/>
      <c r="J37" s="1397"/>
      <c r="K37" s="2542"/>
      <c r="L37" s="2698"/>
      <c r="M37" s="2698"/>
    </row>
    <row r="38" spans="1:18" ht="18" customHeight="1" thickBot="1">
      <c r="A38" s="1088" t="s">
        <v>684</v>
      </c>
      <c r="B38" s="1089" t="s">
        <v>728</v>
      </c>
      <c r="C38" s="1090">
        <f ca="1">ROUND(C5*F38,0)</f>
        <v>715</v>
      </c>
      <c r="D38" s="1091" t="s">
        <v>748</v>
      </c>
      <c r="E38" s="1089" t="s">
        <v>744</v>
      </c>
      <c r="F38" s="1085">
        <f ca="1">INDIRECT("'数据-取费表'!Am"&amp;$G$1)</f>
        <v>5.0000000000000001E-3</v>
      </c>
      <c r="G38" s="1382"/>
      <c r="H38" s="2698"/>
      <c r="I38" s="1396"/>
      <c r="J38" s="1397"/>
      <c r="K38" s="2702"/>
      <c r="L38" s="2698"/>
      <c r="M38" s="2698"/>
    </row>
    <row r="39" spans="1:18" ht="24.6" customHeight="1" thickTop="1">
      <c r="A39" s="1078" t="s">
        <v>394</v>
      </c>
      <c r="B39" s="1093" t="s">
        <v>772</v>
      </c>
      <c r="C39" s="310">
        <f ca="1">C5-C30</f>
        <v>114706</v>
      </c>
      <c r="D39" s="1094" t="s">
        <v>773</v>
      </c>
      <c r="E39" s="1095"/>
      <c r="F39" s="1096"/>
      <c r="G39" s="1382"/>
      <c r="H39" s="2698">
        <f ca="1">C39/C5</f>
        <v>0.80161852781058474</v>
      </c>
      <c r="I39" s="1396"/>
      <c r="J39" s="1397"/>
      <c r="K39" s="2702"/>
      <c r="L39" s="2698"/>
      <c r="M39" s="2698"/>
    </row>
    <row r="40" spans="1:18" ht="18" customHeight="1">
      <c r="A40" s="299" t="s">
        <v>395</v>
      </c>
      <c r="B40" s="300" t="s">
        <v>774</v>
      </c>
      <c r="C40" s="301">
        <f ca="1">ROUND(C39*(1-((1+F42)/(1+F40))^F41)/(F40-F42),0)</f>
        <v>2250149</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30.78</v>
      </c>
      <c r="G41" s="1382"/>
      <c r="H41" s="1190"/>
      <c r="I41" s="1396"/>
      <c r="J41" s="1397"/>
      <c r="K41" s="2542"/>
      <c r="L41" s="1190"/>
      <c r="M41" s="1190"/>
    </row>
    <row r="42" spans="1:18" ht="18" customHeight="1">
      <c r="A42" s="308"/>
      <c r="B42" s="309"/>
      <c r="C42" s="310"/>
      <c r="D42" s="327"/>
      <c r="E42" s="302" t="s">
        <v>766</v>
      </c>
      <c r="F42" s="312">
        <f ca="1">INDIRECT("'数据-取费表'!v"&amp;$G$1)</f>
        <v>2.5000000000000001E-2</v>
      </c>
      <c r="G42" s="1382"/>
      <c r="H42" s="1190"/>
      <c r="I42" s="1396"/>
      <c r="J42" s="1397"/>
      <c r="K42" s="2542"/>
      <c r="L42" s="1190"/>
      <c r="M42" s="1190"/>
    </row>
    <row r="43" spans="1:18" ht="18" customHeight="1" thickBot="1">
      <c r="A43" s="334" t="s">
        <v>396</v>
      </c>
      <c r="B43" s="335" t="s">
        <v>776</v>
      </c>
      <c r="C43" s="336">
        <f ca="1">ROUND(C40/F43,0)</f>
        <v>25861</v>
      </c>
      <c r="D43" s="337" t="s">
        <v>777</v>
      </c>
      <c r="E43" s="338" t="s">
        <v>778</v>
      </c>
      <c r="F43" s="339">
        <f ca="1">INDIRECT("'数据-取费表'!k"&amp;$G$1)</f>
        <v>87.01</v>
      </c>
      <c r="G43" s="1382"/>
      <c r="H43" s="1190"/>
      <c r="I43" s="1190"/>
      <c r="J43" s="1190"/>
      <c r="K43" s="2542"/>
      <c r="L43" s="1190"/>
      <c r="M43" s="1190"/>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-230.4726</v>
      </c>
      <c r="D45" s="3430" t="s">
        <v>3352</v>
      </c>
      <c r="E45" s="1398"/>
      <c r="F45" s="1398"/>
      <c r="O45" s="1401" t="s">
        <v>808</v>
      </c>
      <c r="P45" s="1459"/>
      <c r="Q45" s="1459"/>
      <c r="R45" s="1459"/>
    </row>
    <row r="46" spans="1:18" s="1382" customFormat="1" ht="13.5" thickBot="1">
      <c r="A46" s="1402" t="s">
        <v>809</v>
      </c>
      <c r="C46" s="1403">
        <f ca="1">ROUND(C45,0)</f>
        <v>-230</v>
      </c>
      <c r="D46" s="1404" t="str">
        <f>C2</f>
        <v>万元</v>
      </c>
      <c r="I46" s="1405" t="s">
        <v>810</v>
      </c>
      <c r="J46" s="1406"/>
      <c r="K46" s="1407"/>
      <c r="L46" s="1408">
        <f ca="1">IF(M47="住宅",0,IF(L48&gt;J51,L60,J60))</f>
        <v>25408</v>
      </c>
      <c r="O46" s="1409" t="s">
        <v>811</v>
      </c>
      <c r="P46" s="1410" t="s">
        <v>812</v>
      </c>
      <c r="Q46" s="1411" t="s">
        <v>813</v>
      </c>
      <c r="R46" s="1411" t="s">
        <v>814</v>
      </c>
    </row>
    <row r="47" spans="1:18" s="1382" customFormat="1" ht="13.5" thickBot="1">
      <c r="A47" s="946" t="s">
        <v>687</v>
      </c>
      <c r="B47" s="978" t="s">
        <v>688</v>
      </c>
      <c r="C47" s="978" t="s">
        <v>689</v>
      </c>
      <c r="D47" s="978" t="s">
        <v>690</v>
      </c>
      <c r="E47" s="1057" t="s">
        <v>691</v>
      </c>
      <c r="F47" s="1058"/>
      <c r="G47" s="722"/>
      <c r="I47" s="1412" t="s">
        <v>815</v>
      </c>
      <c r="J47" s="1413" t="s">
        <v>3399</v>
      </c>
      <c r="K47" s="1414" t="s">
        <v>816</v>
      </c>
      <c r="L47" s="1415">
        <f ca="1">INDIRECT("'数据-取费表'!d"&amp;$G$1)</f>
        <v>40</v>
      </c>
      <c r="M47" s="1378" t="str">
        <f>IF(ISNUMBER(FIND("住宅",C1)),"住宅","非住宅")</f>
        <v>非住宅</v>
      </c>
      <c r="O47" s="1416" t="s">
        <v>403</v>
      </c>
      <c r="P47" s="1417" t="s">
        <v>817</v>
      </c>
      <c r="Q47" s="1418">
        <f ca="1">C40+J29</f>
        <v>2250149</v>
      </c>
      <c r="R47" s="1418" t="s">
        <v>818</v>
      </c>
    </row>
    <row r="48" spans="1:18" s="1382" customFormat="1" ht="28.5" thickBot="1">
      <c r="A48" s="1109" t="s">
        <v>438</v>
      </c>
      <c r="B48" s="300" t="s">
        <v>692</v>
      </c>
      <c r="C48" s="1357">
        <f ca="1">C49+C53+C55</f>
        <v>0</v>
      </c>
      <c r="D48" s="1111"/>
      <c r="E48" s="1112"/>
      <c r="F48" s="962"/>
      <c r="G48" s="722"/>
      <c r="H48" s="723"/>
      <c r="I48" s="1419" t="s">
        <v>819</v>
      </c>
      <c r="J48" s="1420" t="s">
        <v>3418</v>
      </c>
      <c r="K48" s="1421" t="s">
        <v>820</v>
      </c>
      <c r="L48" s="1422">
        <f ca="1">INDIRECT("'数据-取费表'!f"&amp;$G$1)</f>
        <v>30.78</v>
      </c>
      <c r="O48" s="1416" t="s">
        <v>404</v>
      </c>
      <c r="P48" s="1417" t="s">
        <v>821</v>
      </c>
      <c r="Q48" s="1418">
        <f ca="1">J60</f>
        <v>25408</v>
      </c>
      <c r="R48" s="1418" t="s">
        <v>822</v>
      </c>
    </row>
    <row r="49" spans="1:18" s="1382" customFormat="1" ht="13.5" thickBot="1">
      <c r="A49" s="975" t="s">
        <v>439</v>
      </c>
      <c r="B49" s="1369" t="s">
        <v>779</v>
      </c>
      <c r="C49" s="1113">
        <f ca="1">ROUND(F49*F51*F50*(1-F52),0)</f>
        <v>0</v>
      </c>
      <c r="D49" s="1054" t="s">
        <v>695</v>
      </c>
      <c r="E49" s="1370" t="s">
        <v>780</v>
      </c>
      <c r="F49" s="1059"/>
      <c r="G49" s="1423"/>
      <c r="H49" s="723"/>
      <c r="I49" s="1419" t="s">
        <v>823</v>
      </c>
      <c r="J49" s="1424">
        <v>2019</v>
      </c>
      <c r="K49" s="1421" t="s">
        <v>824</v>
      </c>
      <c r="L49" s="1425"/>
      <c r="O49" s="1426" t="s">
        <v>405</v>
      </c>
      <c r="P49" s="1417" t="s">
        <v>825</v>
      </c>
      <c r="Q49" s="1418">
        <f ca="1">C29</f>
        <v>582567</v>
      </c>
      <c r="R49" s="1418" t="s">
        <v>818</v>
      </c>
    </row>
    <row r="50" spans="1:18" s="1382" customFormat="1" ht="13.5" thickBot="1">
      <c r="A50" s="976"/>
      <c r="B50" s="979"/>
      <c r="C50" s="980"/>
      <c r="D50" s="953"/>
      <c r="E50" s="1055" t="s">
        <v>697</v>
      </c>
      <c r="F50" s="1056">
        <f ca="1">F7</f>
        <v>87.01</v>
      </c>
      <c r="H50" s="723"/>
      <c r="I50" s="1419" t="s">
        <v>826</v>
      </c>
      <c r="J50" s="1427">
        <f>SUMPRODUCT((I63:I65=J47)*(J62:L62=J48)*(J63:L65))</f>
        <v>60</v>
      </c>
      <c r="K50" s="1421" t="s">
        <v>827</v>
      </c>
      <c r="L50" s="1425"/>
      <c r="M50" s="1428"/>
      <c r="O50" s="1426" t="s">
        <v>406</v>
      </c>
      <c r="P50" s="1417" t="s">
        <v>828</v>
      </c>
      <c r="Q50" s="1429">
        <f ca="1">J58</f>
        <v>0.40400000000000003</v>
      </c>
      <c r="R50" s="1418"/>
    </row>
    <row r="51" spans="1:18" s="1382" customFormat="1" ht="13.5" thickBot="1">
      <c r="A51" s="977"/>
      <c r="B51" s="979"/>
      <c r="C51" s="980"/>
      <c r="D51" s="953"/>
      <c r="E51" s="981" t="s">
        <v>698</v>
      </c>
      <c r="F51" s="303">
        <f ca="1">F8</f>
        <v>365</v>
      </c>
      <c r="I51" s="1430" t="s">
        <v>829</v>
      </c>
      <c r="J51" s="1431">
        <f>IF(J49="",J50,J49+J50-YEAR('数据-取费表'!B2))</f>
        <v>55</v>
      </c>
      <c r="K51" s="1432" t="s">
        <v>830</v>
      </c>
      <c r="L51" s="1433">
        <f ca="1">ROUND(-PV(INDIRECT("'数据-取费表'!h"&amp;$G$1),J51,(C39-C13*C76),0),0)</f>
        <v>1438293</v>
      </c>
      <c r="M51" s="1434"/>
      <c r="O51" s="1426" t="s">
        <v>407</v>
      </c>
      <c r="P51" s="1417" t="s">
        <v>831</v>
      </c>
      <c r="Q51" s="1429">
        <f>J52</f>
        <v>7.4999999999999997E-2</v>
      </c>
      <c r="R51" s="1418"/>
    </row>
    <row r="52" spans="1:18" s="1382" customFormat="1" ht="13.5" thickBot="1">
      <c r="A52" s="977"/>
      <c r="B52" s="979"/>
      <c r="C52" s="980"/>
      <c r="D52" s="953"/>
      <c r="E52" s="981" t="s">
        <v>699</v>
      </c>
      <c r="F52" s="1053"/>
      <c r="I52" s="1435" t="s">
        <v>832</v>
      </c>
      <c r="J52" s="1436">
        <v>7.4999999999999997E-2</v>
      </c>
      <c r="K52" s="1435" t="s">
        <v>833</v>
      </c>
      <c r="L52" s="1436"/>
      <c r="O52" s="1426" t="s">
        <v>408</v>
      </c>
      <c r="P52" s="1417" t="s">
        <v>834</v>
      </c>
      <c r="Q52" s="1418">
        <f ca="1">J53</f>
        <v>30.78</v>
      </c>
      <c r="R52" s="1418" t="s">
        <v>835</v>
      </c>
    </row>
    <row r="53" spans="1:18" s="1382" customFormat="1" ht="30.75" customHeight="1" thickBot="1">
      <c r="A53" s="1110" t="s">
        <v>440</v>
      </c>
      <c r="B53" s="323" t="s">
        <v>700</v>
      </c>
      <c r="C53" s="316">
        <f ca="1">ROUND(IF(F53="押一",C49/12*F11,IF(F53="押二",C49/12*2*F11,IF(F53="押三",C49/12*3*F11,C54*F11))),0)</f>
        <v>0</v>
      </c>
      <c r="D53" s="1364" t="s">
        <v>2114</v>
      </c>
      <c r="E53" s="313" t="s">
        <v>701</v>
      </c>
      <c r="F53" s="1115"/>
      <c r="I53" s="1437" t="s">
        <v>836</v>
      </c>
      <c r="J53" s="2166">
        <f ca="1">IF(M47="住宅",IF(D1="——",MAX(J51,L48),MAX(J51,L48-'数据-取费表'!B24)),IF(D1="——",MIN(J51,L48),MIN(J51,L48-'数据-取费表'!B24)))</f>
        <v>30.78</v>
      </c>
      <c r="K53" s="3650" t="s">
        <v>837</v>
      </c>
      <c r="L53" s="3651"/>
      <c r="O53" s="1416" t="s">
        <v>409</v>
      </c>
      <c r="P53" s="1417" t="s">
        <v>838</v>
      </c>
      <c r="Q53" s="1418">
        <f ca="1">Q47+Q48</f>
        <v>2275557</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0.40400000000000003</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535962</v>
      </c>
      <c r="D56" s="1445"/>
      <c r="E56" s="1446"/>
      <c r="F56" s="1438"/>
      <c r="I56" s="1447" t="s">
        <v>842</v>
      </c>
      <c r="J56" s="1448" t="s">
        <v>3381</v>
      </c>
      <c r="K56" s="1419" t="s">
        <v>843</v>
      </c>
      <c r="L56" s="1422" t="str">
        <f ca="1">IF(L48&lt;J51,"——",L48-J51)</f>
        <v>——</v>
      </c>
      <c r="O56" s="1416" t="s">
        <v>403</v>
      </c>
      <c r="P56" s="1417" t="s">
        <v>817</v>
      </c>
      <c r="Q56" s="1418">
        <f ca="1">C40+J29</f>
        <v>2250149</v>
      </c>
      <c r="R56" s="1418" t="s">
        <v>818</v>
      </c>
    </row>
    <row r="57" spans="1:18" s="1382" customFormat="1" ht="24.75" thickBot="1">
      <c r="A57" s="1449"/>
      <c r="B57" s="950" t="s">
        <v>767</v>
      </c>
      <c r="C57" s="238">
        <f ca="1">C29</f>
        <v>582567</v>
      </c>
      <c r="D57" s="1450"/>
      <c r="E57" s="1451"/>
      <c r="F57" s="1452"/>
      <c r="I57" s="1453" t="s">
        <v>844</v>
      </c>
      <c r="J57" s="1454">
        <f ca="1">IF(OR(M47="住宅",J51&lt;L48,J56="是"),"——",J51-L48)</f>
        <v>24.22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3717</v>
      </c>
      <c r="D58" s="960" t="s">
        <v>715</v>
      </c>
      <c r="E58" s="961"/>
      <c r="F58" s="962"/>
      <c r="I58" s="1453" t="s">
        <v>848</v>
      </c>
      <c r="J58" s="1455">
        <f ca="1">IF(J55&lt;0.4,0.4,J55)</f>
        <v>0.40400000000000003</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235357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25408</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3335</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0</v>
      </c>
      <c r="D62" s="965" t="s">
        <v>786</v>
      </c>
      <c r="E62" s="950" t="s">
        <v>787</v>
      </c>
      <c r="F62" s="325">
        <f t="shared" si="0"/>
        <v>0</v>
      </c>
      <c r="I62" s="1460" t="s">
        <v>858</v>
      </c>
      <c r="J62" s="1461" t="s">
        <v>859</v>
      </c>
      <c r="K62" s="1461" t="s">
        <v>860</v>
      </c>
      <c r="L62" s="1461" t="s">
        <v>861</v>
      </c>
      <c r="M62" s="1462" t="s">
        <v>862</v>
      </c>
      <c r="O62" s="1416" t="s">
        <v>409</v>
      </c>
      <c r="P62" s="1417" t="s">
        <v>863</v>
      </c>
      <c r="Q62" s="1418">
        <f ca="1">Q56+Q57</f>
        <v>2250149</v>
      </c>
      <c r="R62" s="1418" t="s">
        <v>410</v>
      </c>
    </row>
    <row r="63" spans="1:18" s="1382" customFormat="1" ht="13.5" thickBot="1">
      <c r="A63" s="326"/>
      <c r="B63" s="956"/>
      <c r="C63" s="26"/>
      <c r="D63" s="966"/>
      <c r="E63" s="950"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2913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804</v>
      </c>
      <c r="D65" s="964" t="s">
        <v>743</v>
      </c>
      <c r="E65" s="950" t="s">
        <v>744</v>
      </c>
      <c r="F65" s="330">
        <f t="shared" ca="1" si="0"/>
        <v>1.5E-3</v>
      </c>
      <c r="I65" s="1460" t="s">
        <v>867</v>
      </c>
      <c r="J65" s="1461">
        <v>40</v>
      </c>
      <c r="K65" s="1461">
        <v>30</v>
      </c>
      <c r="L65" s="1461">
        <v>50</v>
      </c>
      <c r="M65" s="1463">
        <v>0.02</v>
      </c>
      <c r="O65" s="1416" t="s">
        <v>403</v>
      </c>
      <c r="P65" s="1417" t="s">
        <v>868</v>
      </c>
      <c r="Q65" s="1418">
        <f ca="1">C40+J29</f>
        <v>2250149</v>
      </c>
      <c r="R65" s="1418" t="s">
        <v>818</v>
      </c>
    </row>
    <row r="66" spans="1:18" s="1382" customFormat="1" ht="16.5"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-3717</v>
      </c>
      <c r="D67" s="963" t="s">
        <v>753</v>
      </c>
      <c r="E67" s="968"/>
      <c r="F67" s="969"/>
      <c r="O67" s="1426" t="s">
        <v>405</v>
      </c>
      <c r="P67" s="1417" t="s">
        <v>850</v>
      </c>
      <c r="Q67" s="1464">
        <f ca="1">L51</f>
        <v>1438293</v>
      </c>
      <c r="R67" s="1418" t="s">
        <v>870</v>
      </c>
    </row>
    <row r="68" spans="1:18" s="1382" customFormat="1" ht="16.5" thickBot="1">
      <c r="A68" s="947" t="s">
        <v>395</v>
      </c>
      <c r="B68" s="948" t="s">
        <v>774</v>
      </c>
      <c r="C68" s="301">
        <f ca="1">ROUND(C67*(1-((1+F70)/(1+F68))^F69)/(F68-F70),0)</f>
        <v>-54577</v>
      </c>
      <c r="D68" s="965" t="s">
        <v>758</v>
      </c>
      <c r="E68" s="950" t="s">
        <v>759</v>
      </c>
      <c r="F68" s="312">
        <f ca="1">F40</f>
        <v>5.5E-2</v>
      </c>
      <c r="O68" s="1426" t="s">
        <v>406</v>
      </c>
      <c r="P68" s="1465" t="s">
        <v>871</v>
      </c>
      <c r="Q68" s="1418">
        <f ca="1">ROUND(Q69-Q70*Q71,0)</f>
        <v>77189</v>
      </c>
      <c r="R68" s="1418" t="s">
        <v>414</v>
      </c>
    </row>
    <row r="69" spans="1:18" s="1382" customFormat="1" ht="13.5" thickBot="1">
      <c r="A69" s="951"/>
      <c r="B69" s="952"/>
      <c r="C69" s="306"/>
      <c r="D69" s="970" t="s">
        <v>762</v>
      </c>
      <c r="E69" s="950" t="s">
        <v>763</v>
      </c>
      <c r="F69" s="333">
        <f ca="1">F41</f>
        <v>30.78</v>
      </c>
      <c r="O69" s="1426" t="s">
        <v>411</v>
      </c>
      <c r="P69" s="1465" t="s">
        <v>872</v>
      </c>
      <c r="Q69" s="1418">
        <f ca="1">C39</f>
        <v>114706</v>
      </c>
      <c r="R69" s="1418" t="s">
        <v>818</v>
      </c>
    </row>
    <row r="70" spans="1:18" s="1382" customFormat="1" ht="13.5" thickBot="1">
      <c r="A70" s="954"/>
      <c r="B70" s="955"/>
      <c r="C70" s="310"/>
      <c r="D70" s="966"/>
      <c r="E70" s="950" t="s">
        <v>766</v>
      </c>
      <c r="F70" s="1053"/>
      <c r="O70" s="1426" t="s">
        <v>412</v>
      </c>
      <c r="P70" s="1465" t="s">
        <v>873</v>
      </c>
      <c r="Q70" s="1418">
        <f ca="1">C13</f>
        <v>535962</v>
      </c>
      <c r="R70" s="1418" t="s">
        <v>818</v>
      </c>
    </row>
    <row r="71" spans="1:18" s="1382" customFormat="1" ht="13.5" thickBot="1">
      <c r="A71" s="971" t="s">
        <v>396</v>
      </c>
      <c r="B71" s="972" t="s">
        <v>776</v>
      </c>
      <c r="C71" s="336">
        <f ca="1">ROUND(C68/F71,0)</f>
        <v>-627</v>
      </c>
      <c r="D71" s="973" t="s">
        <v>777</v>
      </c>
      <c r="E71" s="974" t="s">
        <v>778</v>
      </c>
      <c r="F71" s="339">
        <f ca="1">F43</f>
        <v>87.01</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37517</v>
      </c>
      <c r="D75" s="1382"/>
      <c r="E75" s="1382"/>
      <c r="F75" s="1382"/>
      <c r="K75" s="1400"/>
      <c r="L75" s="1382"/>
      <c r="O75" s="1416" t="s">
        <v>409</v>
      </c>
      <c r="P75" s="1417" t="s">
        <v>838</v>
      </c>
      <c r="Q75" s="1418">
        <f ca="1">Q65+Q66</f>
        <v>2250149</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3" t="s">
        <v>2314</v>
      </c>
      <c r="B2" s="2841" t="e">
        <f>IF(D2="——",C40,C40+E2)</f>
        <v>#DIV/0!</v>
      </c>
      <c r="C2" s="2842" t="s">
        <v>2315</v>
      </c>
      <c r="D2" s="3441" t="s">
        <v>3358</v>
      </c>
      <c r="E2" s="3442"/>
      <c r="F2" s="2844"/>
      <c r="G2" s="2845"/>
      <c r="H2" s="2846"/>
      <c r="I2" s="2847"/>
      <c r="J2" s="3714" t="s">
        <v>2316</v>
      </c>
      <c r="K2" s="3715"/>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16" t="s">
        <v>2326</v>
      </c>
      <c r="K3" s="3717"/>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16" t="s">
        <v>2328</v>
      </c>
      <c r="K4" s="3717"/>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22" t="s">
        <v>2332</v>
      </c>
      <c r="B6" s="3723"/>
      <c r="C6" s="3724"/>
      <c r="D6" s="2868"/>
      <c r="E6" s="2869"/>
      <c r="F6" s="2870"/>
      <c r="G6" s="2871"/>
      <c r="H6" s="2846"/>
      <c r="I6" s="2847"/>
      <c r="J6" s="3708">
        <v>1</v>
      </c>
      <c r="K6" s="3709"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08"/>
      <c r="K7" s="3710"/>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25" t="s">
        <v>2346</v>
      </c>
      <c r="C8" s="3726"/>
      <c r="D8" s="2887" t="s">
        <v>2347</v>
      </c>
      <c r="E8" s="2888" t="s">
        <v>2348</v>
      </c>
      <c r="F8" s="2889" t="s">
        <v>2349</v>
      </c>
      <c r="G8" s="2890"/>
      <c r="H8" s="2846"/>
      <c r="I8" s="2847"/>
      <c r="J8" s="3708"/>
      <c r="K8" s="3710"/>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25" t="s">
        <v>2352</v>
      </c>
      <c r="C9" s="3726"/>
      <c r="D9" s="2887">
        <f>ROUND(D6*E9,0)</f>
        <v>0</v>
      </c>
      <c r="E9" s="2891"/>
      <c r="F9" s="2892" t="s">
        <v>2353</v>
      </c>
      <c r="G9" s="2871"/>
      <c r="H9" s="2846"/>
      <c r="I9" s="2847"/>
      <c r="J9" s="3708"/>
      <c r="K9" s="3710"/>
      <c r="L9" s="2881" t="s">
        <v>2354</v>
      </c>
      <c r="M9" s="2882"/>
      <c r="N9" s="2858"/>
      <c r="O9" s="2883"/>
      <c r="P9" s="2883"/>
      <c r="Q9" s="2884">
        <v>365</v>
      </c>
      <c r="R9" s="2885">
        <f t="shared" si="0"/>
        <v>0</v>
      </c>
      <c r="S9" s="2839"/>
      <c r="T9" s="2839"/>
      <c r="U9" s="2839"/>
      <c r="V9" s="2847"/>
    </row>
    <row r="10" spans="1:22" s="2851" customFormat="1" ht="13.15" customHeight="1">
      <c r="A10" s="2886">
        <v>2</v>
      </c>
      <c r="B10" s="3725" t="s">
        <v>2355</v>
      </c>
      <c r="C10" s="3726"/>
      <c r="D10" s="2887">
        <f>ROUND(D6*E10,0)</f>
        <v>0</v>
      </c>
      <c r="E10" s="2891"/>
      <c r="F10" s="2892" t="s">
        <v>2356</v>
      </c>
      <c r="G10" s="2871"/>
      <c r="H10" s="2846"/>
      <c r="I10" s="2847"/>
      <c r="J10" s="3708"/>
      <c r="K10" s="3710"/>
      <c r="L10" s="2881" t="s">
        <v>2357</v>
      </c>
      <c r="M10" s="2882"/>
      <c r="N10" s="2858"/>
      <c r="O10" s="2883"/>
      <c r="P10" s="2883"/>
      <c r="Q10" s="2884">
        <v>365</v>
      </c>
      <c r="R10" s="2885">
        <f t="shared" si="0"/>
        <v>0</v>
      </c>
      <c r="S10" s="2839"/>
      <c r="T10" s="2839"/>
      <c r="U10" s="2839"/>
      <c r="V10" s="2847"/>
    </row>
    <row r="11" spans="1:22" s="2851" customFormat="1" ht="13.15" customHeight="1">
      <c r="A11" s="2886">
        <v>3</v>
      </c>
      <c r="B11" s="3725" t="s">
        <v>2358</v>
      </c>
      <c r="C11" s="3726"/>
      <c r="D11" s="2887">
        <f>D12+D14+D15+D16</f>
        <v>0</v>
      </c>
      <c r="E11" s="2893" t="e">
        <f>D11/D6</f>
        <v>#DIV/0!</v>
      </c>
      <c r="F11" s="2889"/>
      <c r="G11" s="2890"/>
      <c r="H11" s="2846"/>
      <c r="I11" s="2847"/>
      <c r="J11" s="3708"/>
      <c r="K11" s="3710"/>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18" t="s">
        <v>2361</v>
      </c>
      <c r="C12" s="3719"/>
      <c r="D12" s="2895">
        <f>ROUND(D13*1.2%*(1-30%),0)</f>
        <v>0</v>
      </c>
      <c r="E12" s="2896">
        <v>1.2E-2</v>
      </c>
      <c r="F12" s="2889" t="s">
        <v>2362</v>
      </c>
      <c r="G12" s="2890"/>
      <c r="H12" s="2846"/>
      <c r="I12" s="2847"/>
      <c r="J12" s="3708"/>
      <c r="K12" s="3710"/>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08"/>
      <c r="K13" s="3710"/>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18" t="s">
        <v>2367</v>
      </c>
      <c r="C14" s="3719"/>
      <c r="D14" s="2895">
        <f>ROUND(E14*B5/10000,0)</f>
        <v>0</v>
      </c>
      <c r="E14" s="2884"/>
      <c r="F14" s="2889" t="s">
        <v>2368</v>
      </c>
      <c r="G14" s="2890"/>
      <c r="H14" s="2846"/>
      <c r="I14" s="2847"/>
      <c r="J14" s="3708"/>
      <c r="K14" s="3711"/>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18" t="s">
        <v>2371</v>
      </c>
      <c r="C15" s="3719"/>
      <c r="D15" s="2895">
        <f>ROUND(D6*E15,0)</f>
        <v>0</v>
      </c>
      <c r="E15" s="2896">
        <v>5.5E-2</v>
      </c>
      <c r="F15" s="2889" t="s">
        <v>2372</v>
      </c>
      <c r="G15" s="2871"/>
      <c r="H15" s="2846"/>
      <c r="I15" s="2847"/>
      <c r="J15" s="3708">
        <v>2</v>
      </c>
      <c r="K15" s="3709"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18" t="s">
        <v>2380</v>
      </c>
      <c r="C16" s="3719"/>
      <c r="D16" s="2906">
        <f>D6*E16</f>
        <v>0</v>
      </c>
      <c r="E16" s="2907"/>
      <c r="F16" s="2892" t="s">
        <v>2381</v>
      </c>
      <c r="G16" s="2871"/>
      <c r="H16" s="2846"/>
      <c r="I16" s="2847"/>
      <c r="J16" s="3708"/>
      <c r="K16" s="3710"/>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20" t="s">
        <v>2383</v>
      </c>
      <c r="C17" s="3721"/>
      <c r="D17" s="2909">
        <f>ROUND(D6*E17,0)</f>
        <v>0</v>
      </c>
      <c r="E17" s="2910"/>
      <c r="F17" s="2911" t="s">
        <v>2384</v>
      </c>
      <c r="G17" s="2871"/>
      <c r="H17" s="2846"/>
      <c r="I17" s="2847"/>
      <c r="J17" s="3708"/>
      <c r="K17" s="3710"/>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08"/>
      <c r="K18" s="3710"/>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08"/>
      <c r="K19" s="3711"/>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8">
        <v>3</v>
      </c>
      <c r="K20" s="3709"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08"/>
      <c r="K21" s="3710"/>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08"/>
      <c r="K22" s="3710"/>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08"/>
      <c r="K23" s="3710"/>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08"/>
      <c r="K24" s="3711"/>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12">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13"/>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14" t="s">
        <v>2316</v>
      </c>
      <c r="K32" s="3715"/>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16" t="s">
        <v>2326</v>
      </c>
      <c r="K33" s="3717"/>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16" t="s">
        <v>2328</v>
      </c>
      <c r="K34" s="3717"/>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08">
        <v>1</v>
      </c>
      <c r="K36" s="3709"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08"/>
      <c r="K37" s="3710"/>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8"/>
      <c r="K38" s="3710"/>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08"/>
      <c r="K39" s="3710"/>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08"/>
      <c r="K40" s="3711"/>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2">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13"/>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227.5557</v>
      </c>
      <c r="C2" s="1870" t="s">
        <v>1651</v>
      </c>
      <c r="D2" s="1871" t="s">
        <v>1652</v>
      </c>
      <c r="E2" s="2605">
        <f>SUM(E6:E13)</f>
        <v>87.01</v>
      </c>
      <c r="F2" s="2705"/>
      <c r="G2" s="1487"/>
      <c r="H2" s="1487"/>
      <c r="I2" s="1487"/>
      <c r="J2" s="1487"/>
      <c r="K2" s="1487"/>
      <c r="L2" s="1487"/>
      <c r="M2" s="1487"/>
      <c r="N2" s="1487"/>
      <c r="O2" s="1487"/>
      <c r="P2" s="1487"/>
      <c r="Q2" s="1487"/>
      <c r="R2" s="1487"/>
      <c r="S2" s="1487"/>
    </row>
    <row r="3" spans="1:22" ht="15.75">
      <c r="A3" s="1868" t="s">
        <v>686</v>
      </c>
      <c r="B3" s="2599">
        <f ca="1">ROUND(B2*10000/E2,0)</f>
        <v>26153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7" t="s">
        <v>1654</v>
      </c>
      <c r="C5" s="3728"/>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227.5557</v>
      </c>
      <c r="C6" s="1870" t="s">
        <v>1651</v>
      </c>
      <c r="D6" s="2707"/>
      <c r="E6" s="2604">
        <f>IF(OR(A6=0,F6="否"),0,'数据-取费表'!K6+'数据-取费表'!S6)</f>
        <v>87.01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6" t="s">
        <v>1661</v>
      </c>
      <c r="C1" s="1237" t="s">
        <v>1662</v>
      </c>
      <c r="D1" s="1224"/>
      <c r="E1" s="3424"/>
      <c r="F1" s="1877"/>
      <c r="G1" s="1234" t="s">
        <v>1663</v>
      </c>
      <c r="H1" s="1233"/>
      <c r="I1" s="1233"/>
      <c r="J1" s="1233"/>
      <c r="K1" s="1235"/>
      <c r="L1" s="1236"/>
      <c r="M1" s="1237"/>
      <c r="N1" s="1237"/>
      <c r="O1" s="1237"/>
      <c r="P1" s="1878"/>
      <c r="Q1" s="1223"/>
      <c r="R1" s="1223"/>
      <c r="S1" s="1223"/>
      <c r="T1" s="1223"/>
      <c r="U1" s="1223"/>
      <c r="V1" s="1223"/>
      <c r="W1" s="1223"/>
      <c r="X1" s="1223"/>
      <c r="Y1" s="1223"/>
      <c r="Z1" s="1223"/>
      <c r="AA1" s="1223"/>
      <c r="AB1" s="1223"/>
      <c r="AC1" s="1231"/>
    </row>
    <row r="2" spans="1:29" s="347" customFormat="1" ht="28.5" customHeight="1" thickTop="1">
      <c r="A2" s="1220" t="s">
        <v>685</v>
      </c>
      <c r="B2" s="3425"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87.01</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680" t="s">
        <v>1667</v>
      </c>
      <c r="D4" s="3681"/>
      <c r="E4" s="3682" t="s">
        <v>1668</v>
      </c>
      <c r="F4" s="3683"/>
      <c r="G4" s="3680" t="s">
        <v>1669</v>
      </c>
      <c r="H4" s="3681"/>
      <c r="I4" s="3680" t="s">
        <v>1670</v>
      </c>
      <c r="J4" s="3681"/>
      <c r="K4" s="1887" t="s">
        <v>1671</v>
      </c>
      <c r="L4" s="2713"/>
      <c r="M4" s="2714"/>
      <c r="N4" s="2714"/>
      <c r="O4" s="2714"/>
      <c r="P4" s="3684" t="s">
        <v>1672</v>
      </c>
      <c r="Q4" s="3685"/>
      <c r="R4" s="3690" t="s">
        <v>1668</v>
      </c>
      <c r="S4" s="3691"/>
      <c r="T4" s="3690" t="s">
        <v>1669</v>
      </c>
      <c r="U4" s="3691"/>
      <c r="V4" s="3675" t="s">
        <v>1670</v>
      </c>
      <c r="W4" s="3675"/>
      <c r="X4" s="1353"/>
      <c r="Y4" s="3690" t="s">
        <v>1672</v>
      </c>
      <c r="Z4" s="3691"/>
      <c r="AA4" s="3677" t="s">
        <v>1668</v>
      </c>
      <c r="AB4" s="3677" t="s">
        <v>1669</v>
      </c>
      <c r="AC4" s="3677" t="s">
        <v>1670</v>
      </c>
    </row>
    <row r="5" spans="1:29" ht="15">
      <c r="A5" s="358"/>
      <c r="B5" s="359"/>
      <c r="C5" s="3698" t="s">
        <v>1673</v>
      </c>
      <c r="D5" s="3699"/>
      <c r="E5" s="3729" t="s">
        <v>1674</v>
      </c>
      <c r="F5" s="3707"/>
      <c r="G5" s="3698" t="s">
        <v>1675</v>
      </c>
      <c r="H5" s="3699"/>
      <c r="I5" s="3698" t="s">
        <v>1676</v>
      </c>
      <c r="J5" s="3699"/>
      <c r="K5" s="1888"/>
      <c r="L5" s="2713"/>
      <c r="M5" s="2714"/>
      <c r="N5" s="2714"/>
      <c r="O5" s="2714"/>
      <c r="P5" s="3686"/>
      <c r="Q5" s="3687"/>
      <c r="R5" s="3692"/>
      <c r="S5" s="3693"/>
      <c r="T5" s="3692"/>
      <c r="U5" s="3693"/>
      <c r="V5" s="3675"/>
      <c r="W5" s="3675"/>
      <c r="X5" s="1353"/>
      <c r="Y5" s="3692"/>
      <c r="Z5" s="3693"/>
      <c r="AA5" s="3678"/>
      <c r="AB5" s="3678"/>
      <c r="AC5" s="3678"/>
    </row>
    <row r="6" spans="1:29" ht="15.75" thickBot="1">
      <c r="A6" s="360"/>
      <c r="B6" s="361"/>
      <c r="C6" s="3696" t="s">
        <v>1677</v>
      </c>
      <c r="D6" s="3697"/>
      <c r="E6" s="3704" t="s">
        <v>1677</v>
      </c>
      <c r="F6" s="3705"/>
      <c r="G6" s="3696" t="s">
        <v>1677</v>
      </c>
      <c r="H6" s="3697"/>
      <c r="I6" s="3696" t="s">
        <v>1677</v>
      </c>
      <c r="J6" s="3697"/>
      <c r="K6" s="1888" t="s">
        <v>1678</v>
      </c>
      <c r="L6" s="2713"/>
      <c r="M6" s="2714"/>
      <c r="N6" s="2714"/>
      <c r="O6" s="2714"/>
      <c r="P6" s="3688"/>
      <c r="Q6" s="3689"/>
      <c r="R6" s="3692"/>
      <c r="S6" s="3693"/>
      <c r="T6" s="3694"/>
      <c r="U6" s="3695"/>
      <c r="V6" s="3675"/>
      <c r="W6" s="3675"/>
      <c r="X6" s="1353"/>
      <c r="Y6" s="3694"/>
      <c r="Z6" s="3695"/>
      <c r="AA6" s="3679"/>
      <c r="AB6" s="3679"/>
      <c r="AC6" s="3679"/>
    </row>
    <row r="7" spans="1:29" s="108" customFormat="1" ht="15.7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0" t="s">
        <v>1680</v>
      </c>
      <c r="Q7" s="3702"/>
      <c r="R7" s="701" t="s">
        <v>20</v>
      </c>
      <c r="S7" s="702">
        <f t="shared" ref="S7:S15" si="0">F7</f>
        <v>0</v>
      </c>
      <c r="T7" s="701" t="s">
        <v>20</v>
      </c>
      <c r="U7" s="702">
        <f t="shared" ref="U7:U15" si="1">H7</f>
        <v>0</v>
      </c>
      <c r="V7" s="701" t="s">
        <v>20</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0" t="s">
        <v>1683</v>
      </c>
      <c r="Q8" s="3701"/>
      <c r="R8" s="701" t="s">
        <v>20</v>
      </c>
      <c r="S8" s="702">
        <f t="shared" si="0"/>
        <v>100</v>
      </c>
      <c r="T8" s="701" t="s">
        <v>20</v>
      </c>
      <c r="U8" s="702">
        <f t="shared" si="1"/>
        <v>100</v>
      </c>
      <c r="V8" s="701" t="s">
        <v>20</v>
      </c>
      <c r="W8" s="702">
        <f t="shared" si="2"/>
        <v>100</v>
      </c>
      <c r="X8" s="703"/>
      <c r="Y8" s="3700" t="s">
        <v>1683</v>
      </c>
      <c r="Z8" s="370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6"/>
      <c r="Q11" s="1341"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6"/>
      <c r="Q12" s="1341">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6"/>
      <c r="Q13" s="1341">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6"/>
      <c r="Q14" s="1341">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66" t="s">
        <v>1691</v>
      </c>
      <c r="Q15" s="1350" t="str">
        <f t="shared" si="6"/>
        <v>居住社区成熟度</v>
      </c>
      <c r="R15" s="705" t="s">
        <v>18</v>
      </c>
      <c r="S15" s="706">
        <f t="shared" si="0"/>
        <v>100</v>
      </c>
      <c r="T15" s="705" t="s">
        <v>18</v>
      </c>
      <c r="U15" s="706">
        <f t="shared" si="1"/>
        <v>100</v>
      </c>
      <c r="V15" s="705" t="s">
        <v>18</v>
      </c>
      <c r="W15" s="706">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67"/>
      <c r="Q16" s="1350"/>
      <c r="R16" s="705"/>
      <c r="S16" s="706"/>
      <c r="T16" s="705"/>
      <c r="U16" s="706"/>
      <c r="V16" s="705"/>
      <c r="W16" s="706"/>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67"/>
      <c r="Q17" s="1350" t="str">
        <f>B17</f>
        <v>交通便捷度</v>
      </c>
      <c r="R17" s="705" t="s">
        <v>18</v>
      </c>
      <c r="S17" s="706">
        <f>F17</f>
        <v>100</v>
      </c>
      <c r="T17" s="705" t="s">
        <v>18</v>
      </c>
      <c r="U17" s="706">
        <f>H17</f>
        <v>100</v>
      </c>
      <c r="V17" s="705" t="s">
        <v>18</v>
      </c>
      <c r="W17" s="706">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67"/>
      <c r="Q18" s="1350"/>
      <c r="R18" s="705"/>
      <c r="S18" s="706"/>
      <c r="T18" s="705"/>
      <c r="U18" s="706"/>
      <c r="V18" s="705"/>
      <c r="W18" s="706"/>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67"/>
      <c r="Q19" s="1350" t="str">
        <f>B19</f>
        <v>公共配套设施</v>
      </c>
      <c r="R19" s="705" t="s">
        <v>18</v>
      </c>
      <c r="S19" s="706">
        <f>F19</f>
        <v>100</v>
      </c>
      <c r="T19" s="705" t="s">
        <v>18</v>
      </c>
      <c r="U19" s="706">
        <f>H19</f>
        <v>100</v>
      </c>
      <c r="V19" s="705" t="s">
        <v>18</v>
      </c>
      <c r="W19" s="706">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67"/>
      <c r="Q20" s="1350"/>
      <c r="R20" s="705"/>
      <c r="S20" s="706"/>
      <c r="T20" s="705"/>
      <c r="U20" s="706"/>
      <c r="V20" s="705"/>
      <c r="W20" s="706"/>
      <c r="X20" s="1353"/>
      <c r="Y20" s="3669"/>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667"/>
      <c r="Q22" s="1350"/>
      <c r="R22" s="705"/>
      <c r="S22" s="706"/>
      <c r="T22" s="705"/>
      <c r="U22" s="706"/>
      <c r="V22" s="705"/>
      <c r="W22" s="706"/>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67"/>
      <c r="Q23" s="1350" t="str">
        <f>B23</f>
        <v>自然及人文环境</v>
      </c>
      <c r="R23" s="705" t="s">
        <v>18</v>
      </c>
      <c r="S23" s="706">
        <f>F23</f>
        <v>100</v>
      </c>
      <c r="T23" s="705" t="s">
        <v>18</v>
      </c>
      <c r="U23" s="706">
        <f>H23</f>
        <v>100</v>
      </c>
      <c r="V23" s="705" t="s">
        <v>18</v>
      </c>
      <c r="W23" s="706">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67"/>
      <c r="Q24" s="1350"/>
      <c r="R24" s="705"/>
      <c r="S24" s="706"/>
      <c r="T24" s="705"/>
      <c r="U24" s="706"/>
      <c r="V24" s="705"/>
      <c r="W24" s="706"/>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67"/>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67"/>
      <c r="Q26" s="1350" t="str">
        <f t="shared" si="11"/>
        <v>朝向</v>
      </c>
      <c r="R26" s="705" t="s">
        <v>18</v>
      </c>
      <c r="S26" s="706">
        <f t="shared" si="12"/>
        <v>100</v>
      </c>
      <c r="T26" s="705" t="s">
        <v>18</v>
      </c>
      <c r="U26" s="706">
        <f t="shared" si="13"/>
        <v>100</v>
      </c>
      <c r="V26" s="705" t="s">
        <v>18</v>
      </c>
      <c r="W26" s="706">
        <f t="shared" si="14"/>
        <v>100</v>
      </c>
      <c r="X26" s="1353"/>
      <c r="Y26" s="3669"/>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67"/>
      <c r="Q27" s="1341">
        <f t="shared" si="11"/>
        <v>111</v>
      </c>
      <c r="R27" s="701" t="s">
        <v>18</v>
      </c>
      <c r="S27" s="702">
        <f t="shared" si="12"/>
        <v>100</v>
      </c>
      <c r="T27" s="701" t="s">
        <v>18</v>
      </c>
      <c r="U27" s="702">
        <f t="shared" si="13"/>
        <v>100</v>
      </c>
      <c r="V27" s="701" t="s">
        <v>18</v>
      </c>
      <c r="W27" s="702">
        <f t="shared" si="14"/>
        <v>100</v>
      </c>
      <c r="X27" s="703"/>
      <c r="Y27" s="3669"/>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67"/>
      <c r="Q28" s="1350">
        <f t="shared" si="11"/>
        <v>111</v>
      </c>
      <c r="R28" s="705" t="s">
        <v>18</v>
      </c>
      <c r="S28" s="706">
        <f t="shared" si="12"/>
        <v>100</v>
      </c>
      <c r="T28" s="705" t="s">
        <v>18</v>
      </c>
      <c r="U28" s="706">
        <f t="shared" si="13"/>
        <v>100</v>
      </c>
      <c r="V28" s="705" t="s">
        <v>18</v>
      </c>
      <c r="W28" s="706">
        <f t="shared" si="14"/>
        <v>100</v>
      </c>
      <c r="X28" s="1353"/>
      <c r="Y28" s="3669"/>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67"/>
      <c r="Q29" s="1350">
        <f t="shared" si="11"/>
        <v>111</v>
      </c>
      <c r="R29" s="705" t="s">
        <v>18</v>
      </c>
      <c r="S29" s="706">
        <f t="shared" si="12"/>
        <v>100</v>
      </c>
      <c r="T29" s="705" t="s">
        <v>18</v>
      </c>
      <c r="U29" s="706">
        <f t="shared" si="13"/>
        <v>100</v>
      </c>
      <c r="V29" s="705" t="s">
        <v>18</v>
      </c>
      <c r="W29" s="706">
        <f t="shared" si="14"/>
        <v>100</v>
      </c>
      <c r="X29" s="1353"/>
      <c r="Y29" s="3669"/>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67"/>
      <c r="Q30" s="1350">
        <f t="shared" si="11"/>
        <v>111</v>
      </c>
      <c r="R30" s="705" t="s">
        <v>18</v>
      </c>
      <c r="S30" s="706">
        <f t="shared" si="12"/>
        <v>100</v>
      </c>
      <c r="T30" s="705" t="s">
        <v>18</v>
      </c>
      <c r="U30" s="706">
        <f t="shared" si="13"/>
        <v>100</v>
      </c>
      <c r="V30" s="705" t="s">
        <v>18</v>
      </c>
      <c r="W30" s="706">
        <f t="shared" si="14"/>
        <v>100</v>
      </c>
      <c r="X30" s="1353"/>
      <c r="Y30" s="3669"/>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67"/>
      <c r="Q31" s="1350">
        <f t="shared" si="11"/>
        <v>111</v>
      </c>
      <c r="R31" s="705" t="s">
        <v>18</v>
      </c>
      <c r="S31" s="706">
        <f t="shared" si="12"/>
        <v>100</v>
      </c>
      <c r="T31" s="705" t="s">
        <v>18</v>
      </c>
      <c r="U31" s="706">
        <f t="shared" si="13"/>
        <v>100</v>
      </c>
      <c r="V31" s="705" t="s">
        <v>18</v>
      </c>
      <c r="W31" s="706">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5" t="s">
        <v>18</v>
      </c>
      <c r="S32" s="706">
        <f t="shared" si="12"/>
        <v>100</v>
      </c>
      <c r="T32" s="705" t="s">
        <v>18</v>
      </c>
      <c r="U32" s="706">
        <f t="shared" si="13"/>
        <v>100</v>
      </c>
      <c r="V32" s="705" t="s">
        <v>18</v>
      </c>
      <c r="W32" s="706">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5" t="s">
        <v>18</v>
      </c>
      <c r="S34" s="706">
        <f t="shared" si="12"/>
        <v>100</v>
      </c>
      <c r="T34" s="705" t="s">
        <v>18</v>
      </c>
      <c r="U34" s="706">
        <f t="shared" si="13"/>
        <v>100</v>
      </c>
      <c r="V34" s="705" t="s">
        <v>18</v>
      </c>
      <c r="W34" s="706">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5" t="s">
        <v>18</v>
      </c>
      <c r="S35" s="706">
        <f t="shared" si="12"/>
        <v>100</v>
      </c>
      <c r="T35" s="705" t="s">
        <v>18</v>
      </c>
      <c r="U35" s="706">
        <f t="shared" si="13"/>
        <v>100</v>
      </c>
      <c r="V35" s="705" t="s">
        <v>18</v>
      </c>
      <c r="W35" s="706">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5" t="s">
        <v>18</v>
      </c>
      <c r="S36" s="706">
        <f t="shared" si="12"/>
        <v>100</v>
      </c>
      <c r="T36" s="705" t="s">
        <v>18</v>
      </c>
      <c r="U36" s="706">
        <f t="shared" si="13"/>
        <v>100</v>
      </c>
      <c r="V36" s="705" t="s">
        <v>18</v>
      </c>
      <c r="W36" s="706">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5" t="s">
        <v>18</v>
      </c>
      <c r="S38" s="706">
        <f t="shared" si="12"/>
        <v>100</v>
      </c>
      <c r="T38" s="705" t="s">
        <v>18</v>
      </c>
      <c r="U38" s="706">
        <f t="shared" si="13"/>
        <v>100</v>
      </c>
      <c r="V38" s="705" t="s">
        <v>18</v>
      </c>
      <c r="W38" s="706">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5" t="s">
        <v>18</v>
      </c>
      <c r="S39" s="706">
        <f t="shared" si="12"/>
        <v>100</v>
      </c>
      <c r="T39" s="705" t="s">
        <v>18</v>
      </c>
      <c r="U39" s="706">
        <f t="shared" si="13"/>
        <v>100</v>
      </c>
      <c r="V39" s="705" t="s">
        <v>18</v>
      </c>
      <c r="W39" s="706">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5" t="s">
        <v>18</v>
      </c>
      <c r="S40" s="706">
        <f t="shared" si="12"/>
        <v>100</v>
      </c>
      <c r="T40" s="705" t="s">
        <v>18</v>
      </c>
      <c r="U40" s="706">
        <f t="shared" si="13"/>
        <v>100</v>
      </c>
      <c r="V40" s="705" t="s">
        <v>18</v>
      </c>
      <c r="W40" s="706">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5" t="s">
        <v>18</v>
      </c>
      <c r="S42" s="706">
        <f t="shared" si="12"/>
        <v>100</v>
      </c>
      <c r="T42" s="705" t="s">
        <v>18</v>
      </c>
      <c r="U42" s="706">
        <f t="shared" si="13"/>
        <v>100</v>
      </c>
      <c r="V42" s="705" t="s">
        <v>18</v>
      </c>
      <c r="W42" s="706">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5" t="s">
        <v>18</v>
      </c>
      <c r="S43" s="706">
        <f t="shared" si="12"/>
        <v>100</v>
      </c>
      <c r="T43" s="705" t="s">
        <v>18</v>
      </c>
      <c r="U43" s="706">
        <f t="shared" si="13"/>
        <v>100</v>
      </c>
      <c r="V43" s="705" t="s">
        <v>18</v>
      </c>
      <c r="W43" s="706">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5" t="s">
        <v>18</v>
      </c>
      <c r="S45" s="706">
        <f t="shared" si="12"/>
        <v>100</v>
      </c>
      <c r="T45" s="705" t="s">
        <v>18</v>
      </c>
      <c r="U45" s="706">
        <f t="shared" si="13"/>
        <v>100</v>
      </c>
      <c r="V45" s="705" t="s">
        <v>18</v>
      </c>
      <c r="W45" s="706">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5" t="s">
        <v>17</v>
      </c>
      <c r="S46" s="706">
        <f t="shared" si="12"/>
        <v>100</v>
      </c>
      <c r="T46" s="705" t="s">
        <v>17</v>
      </c>
      <c r="U46" s="706">
        <f t="shared" si="13"/>
        <v>100</v>
      </c>
      <c r="V46" s="705" t="s">
        <v>17</v>
      </c>
      <c r="W46" s="706">
        <f t="shared" si="14"/>
        <v>100</v>
      </c>
      <c r="X46" s="1353"/>
      <c r="Y46" s="3674"/>
      <c r="Z46" s="1354">
        <f t="shared" si="18"/>
        <v>111</v>
      </c>
      <c r="AA46" s="1351">
        <f t="shared" si="15"/>
        <v>1</v>
      </c>
      <c r="AB46" s="1351">
        <f t="shared" si="16"/>
        <v>1</v>
      </c>
      <c r="AC46" s="1351">
        <f t="shared" si="17"/>
        <v>1</v>
      </c>
    </row>
    <row r="47" spans="1:29" ht="15">
      <c r="A47" s="430" t="s">
        <v>1708</v>
      </c>
      <c r="B47" s="431"/>
      <c r="C47" s="1153" t="s">
        <v>16</v>
      </c>
      <c r="D47" s="1154"/>
      <c r="E47" s="1155"/>
      <c r="F47" s="1156"/>
      <c r="G47" s="1157"/>
      <c r="H47" s="1158"/>
      <c r="I47" s="1155"/>
      <c r="J47" s="1158"/>
      <c r="K47" s="1912"/>
      <c r="L47" s="2722"/>
      <c r="M47" s="2723"/>
      <c r="N47" s="2714"/>
      <c r="O47" s="2723"/>
      <c r="P47" s="3661" t="str">
        <f>A47</f>
        <v>成交单价（元/平方米）</v>
      </c>
      <c r="Q47" s="3661"/>
      <c r="R47" s="3662">
        <f>E47</f>
        <v>0</v>
      </c>
      <c r="S47" s="3662"/>
      <c r="T47" s="3662">
        <f>G47</f>
        <v>0</v>
      </c>
      <c r="U47" s="3662"/>
      <c r="V47" s="3662">
        <f>I47</f>
        <v>0</v>
      </c>
      <c r="W47" s="3662"/>
      <c r="X47" s="690"/>
      <c r="Y47" s="712"/>
      <c r="Z47" s="690"/>
      <c r="AA47" s="690"/>
      <c r="AB47" s="690"/>
      <c r="AC47" s="690"/>
    </row>
    <row r="48" spans="1:29" ht="15.75" thickBot="1">
      <c r="A48" s="437" t="s">
        <v>1709</v>
      </c>
      <c r="B48" s="438"/>
      <c r="C48" s="1159" t="e">
        <f>R49</f>
        <v>#DIV/0!</v>
      </c>
      <c r="D48" s="2315" t="s">
        <v>2133</v>
      </c>
      <c r="E48" s="1160" t="e">
        <f>R48</f>
        <v>#DIV/0!</v>
      </c>
      <c r="F48" s="2316"/>
      <c r="G48" s="1159" t="e">
        <f>T48</f>
        <v>#DIV/0!</v>
      </c>
      <c r="H48" s="2316"/>
      <c r="I48" s="1160" t="e">
        <f>V48</f>
        <v>#DIV/0!</v>
      </c>
      <c r="J48" s="2316"/>
      <c r="K48" s="2317">
        <f>F48+H48+J48</f>
        <v>0</v>
      </c>
      <c r="L48" s="2722"/>
      <c r="M48" s="2723"/>
      <c r="N48" s="2723"/>
      <c r="O48" s="2723"/>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ht="15">
      <c r="A59" s="458"/>
      <c r="B59" s="1917"/>
      <c r="C59" s="1182">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估价对象为北京市房地产，为所有。根据《国有土地使用证》[]，估价对象（分摊）出让国有建设用地使用权面积为0平方米，建筑面积为87.01平方米。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估价对象为北京市房地产,属开发建设的商业项目，该项目尚在开发建设中。根据《国有土地使用证》[]，估价对象（分摊）出让国有建设用地使用权面积为0平方米，规划建筑面积为87.01平方米。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2024年1月31日（评估专业人员实地查勘之日）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1810</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736" t="s">
        <v>1775</v>
      </c>
      <c r="Q4" s="3737"/>
      <c r="R4" s="3740" t="s">
        <v>1771</v>
      </c>
      <c r="S4" s="3741"/>
      <c r="T4" s="3740" t="s">
        <v>1772</v>
      </c>
      <c r="U4" s="3741"/>
      <c r="V4" s="3742" t="s">
        <v>1773</v>
      </c>
      <c r="W4" s="3742"/>
      <c r="X4" s="1956"/>
      <c r="Y4" s="3740" t="s">
        <v>1775</v>
      </c>
      <c r="Z4" s="3741"/>
      <c r="AA4" s="3744" t="s">
        <v>1771</v>
      </c>
      <c r="AB4" s="3744" t="s">
        <v>1772</v>
      </c>
      <c r="AC4" s="3733" t="s">
        <v>1773</v>
      </c>
    </row>
    <row r="5" spans="1:29" ht="15">
      <c r="A5" s="358"/>
      <c r="B5" s="359"/>
      <c r="C5" s="3698" t="s">
        <v>1673</v>
      </c>
      <c r="D5" s="3699"/>
      <c r="E5" s="3729" t="s">
        <v>1674</v>
      </c>
      <c r="F5" s="3707"/>
      <c r="G5" s="3698" t="s">
        <v>1675</v>
      </c>
      <c r="H5" s="3699"/>
      <c r="I5" s="3698" t="s">
        <v>1676</v>
      </c>
      <c r="J5" s="3699"/>
      <c r="K5" s="559"/>
      <c r="L5" s="2713"/>
      <c r="M5" s="2714"/>
      <c r="N5" s="2714"/>
      <c r="O5" s="2714"/>
      <c r="P5" s="3738"/>
      <c r="Q5" s="3687"/>
      <c r="R5" s="3692"/>
      <c r="S5" s="3693"/>
      <c r="T5" s="3692"/>
      <c r="U5" s="3693"/>
      <c r="V5" s="3675"/>
      <c r="W5" s="3675"/>
      <c r="X5" s="1353"/>
      <c r="Y5" s="3692"/>
      <c r="Z5" s="3693"/>
      <c r="AA5" s="3678"/>
      <c r="AB5" s="3678"/>
      <c r="AC5" s="3734"/>
    </row>
    <row r="6" spans="1:29" ht="15.75" thickBot="1">
      <c r="A6" s="360"/>
      <c r="B6" s="361"/>
      <c r="C6" s="3696" t="s">
        <v>1677</v>
      </c>
      <c r="D6" s="3697"/>
      <c r="E6" s="3704" t="s">
        <v>1677</v>
      </c>
      <c r="F6" s="3705"/>
      <c r="G6" s="3696" t="s">
        <v>1677</v>
      </c>
      <c r="H6" s="3697"/>
      <c r="I6" s="3696" t="s">
        <v>1677</v>
      </c>
      <c r="J6" s="3697"/>
      <c r="K6" s="559" t="s">
        <v>1678</v>
      </c>
      <c r="L6" s="2713"/>
      <c r="M6" s="2714"/>
      <c r="N6" s="2714"/>
      <c r="O6" s="2714"/>
      <c r="P6" s="3739"/>
      <c r="Q6" s="3689"/>
      <c r="R6" s="3692"/>
      <c r="S6" s="3693"/>
      <c r="T6" s="3694"/>
      <c r="U6" s="3695"/>
      <c r="V6" s="3675"/>
      <c r="W6" s="3675"/>
      <c r="X6" s="1353"/>
      <c r="Y6" s="3694"/>
      <c r="Z6" s="3695"/>
      <c r="AA6" s="3679"/>
      <c r="AB6" s="3679"/>
      <c r="AC6" s="3735"/>
    </row>
    <row r="7" spans="1:29" s="108" customFormat="1" ht="15.7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43"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43" t="s">
        <v>1683</v>
      </c>
      <c r="Q8" s="3701"/>
      <c r="R8" s="701" t="s">
        <v>14</v>
      </c>
      <c r="S8" s="702">
        <f t="shared" si="0"/>
        <v>100</v>
      </c>
      <c r="T8" s="701" t="s">
        <v>14</v>
      </c>
      <c r="U8" s="702">
        <f t="shared" si="1"/>
        <v>100</v>
      </c>
      <c r="V8" s="701" t="s">
        <v>14</v>
      </c>
      <c r="W8" s="702">
        <f t="shared" si="2"/>
        <v>100</v>
      </c>
      <c r="X8" s="703"/>
      <c r="Y8" s="3700" t="s">
        <v>1683</v>
      </c>
      <c r="Z8" s="3701"/>
      <c r="AA8" s="704">
        <f t="shared" ref="AA8:AA47" si="3">D8/F8</f>
        <v>1</v>
      </c>
      <c r="AB8" s="704">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6"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6"/>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6"/>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6"/>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6"/>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6"/>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66" t="s">
        <v>1691</v>
      </c>
      <c r="Q15" s="1350" t="str">
        <f t="shared" si="6"/>
        <v>办公集聚程度</v>
      </c>
      <c r="R15" s="705" t="s">
        <v>14</v>
      </c>
      <c r="S15" s="706">
        <f t="shared" si="0"/>
        <v>100</v>
      </c>
      <c r="T15" s="705" t="s">
        <v>14</v>
      </c>
      <c r="U15" s="706">
        <f t="shared" si="1"/>
        <v>100</v>
      </c>
      <c r="V15" s="705" t="s">
        <v>14</v>
      </c>
      <c r="W15" s="706">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67"/>
      <c r="Q16" s="1350"/>
      <c r="R16" s="705"/>
      <c r="S16" s="706"/>
      <c r="T16" s="705"/>
      <c r="U16" s="706"/>
      <c r="V16" s="705"/>
      <c r="W16" s="706"/>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67"/>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67"/>
      <c r="Q18" s="1350"/>
      <c r="R18" s="705"/>
      <c r="S18" s="706"/>
      <c r="T18" s="705"/>
      <c r="U18" s="706"/>
      <c r="V18" s="705"/>
      <c r="W18" s="706"/>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67"/>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67"/>
      <c r="Q20" s="1350"/>
      <c r="R20" s="705"/>
      <c r="S20" s="706"/>
      <c r="T20" s="705"/>
      <c r="U20" s="706"/>
      <c r="V20" s="705"/>
      <c r="W20" s="706"/>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67"/>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667"/>
      <c r="Q22" s="1350"/>
      <c r="R22" s="705"/>
      <c r="S22" s="706"/>
      <c r="T22" s="705"/>
      <c r="U22" s="706"/>
      <c r="V22" s="705"/>
      <c r="W22" s="706"/>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67"/>
      <c r="Q23" s="1350" t="str">
        <f>B23</f>
        <v>环境质量</v>
      </c>
      <c r="R23" s="705" t="s">
        <v>14</v>
      </c>
      <c r="S23" s="706">
        <f>F23</f>
        <v>100</v>
      </c>
      <c r="T23" s="705" t="s">
        <v>14</v>
      </c>
      <c r="U23" s="706">
        <f>H23</f>
        <v>100</v>
      </c>
      <c r="V23" s="705" t="s">
        <v>14</v>
      </c>
      <c r="W23" s="706">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67"/>
      <c r="Q24" s="1350"/>
      <c r="R24" s="705"/>
      <c r="S24" s="706"/>
      <c r="T24" s="705"/>
      <c r="U24" s="706"/>
      <c r="V24" s="705"/>
      <c r="W24" s="706"/>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67"/>
      <c r="Q25" s="1350" t="str">
        <f>B25</f>
        <v>毗邻道路的类型与等级</v>
      </c>
      <c r="R25" s="705" t="s">
        <v>14</v>
      </c>
      <c r="S25" s="706">
        <f>F25</f>
        <v>100</v>
      </c>
      <c r="T25" s="705" t="s">
        <v>14</v>
      </c>
      <c r="U25" s="706">
        <f>H25</f>
        <v>100</v>
      </c>
      <c r="V25" s="705" t="s">
        <v>14</v>
      </c>
      <c r="W25" s="706">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67"/>
      <c r="Q26" s="1350"/>
      <c r="R26" s="705"/>
      <c r="S26" s="706"/>
      <c r="T26" s="705"/>
      <c r="U26" s="706"/>
      <c r="V26" s="705"/>
      <c r="W26" s="706"/>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67"/>
      <c r="Q27" s="1350" t="str">
        <f t="shared" ref="Q27:Q47" si="11">B27</f>
        <v>楼层</v>
      </c>
      <c r="R27" s="705" t="s">
        <v>14</v>
      </c>
      <c r="S27" s="706">
        <f>F27</f>
        <v>100</v>
      </c>
      <c r="T27" s="705" t="s">
        <v>14</v>
      </c>
      <c r="U27" s="706">
        <f>H27</f>
        <v>100</v>
      </c>
      <c r="V27" s="705" t="s">
        <v>14</v>
      </c>
      <c r="W27" s="706">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67"/>
      <c r="Q28" s="1341" t="str">
        <f t="shared" si="11"/>
        <v>朝向</v>
      </c>
      <c r="R28" s="701" t="s">
        <v>14</v>
      </c>
      <c r="S28" s="702">
        <f>F28</f>
        <v>100</v>
      </c>
      <c r="T28" s="701" t="s">
        <v>14</v>
      </c>
      <c r="U28" s="702">
        <f>H28</f>
        <v>100</v>
      </c>
      <c r="V28" s="701" t="s">
        <v>14</v>
      </c>
      <c r="W28" s="702">
        <f>J28</f>
        <v>100</v>
      </c>
      <c r="X28" s="703"/>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67"/>
      <c r="Q29" s="1350">
        <f t="shared" si="11"/>
        <v>111</v>
      </c>
      <c r="R29" s="705" t="s">
        <v>14</v>
      </c>
      <c r="S29" s="706">
        <f t="shared" ref="S29:S47" si="12">F29</f>
        <v>100</v>
      </c>
      <c r="T29" s="705" t="s">
        <v>14</v>
      </c>
      <c r="U29" s="706">
        <f t="shared" ref="U29:U47" si="13">H29</f>
        <v>100</v>
      </c>
      <c r="V29" s="705" t="s">
        <v>14</v>
      </c>
      <c r="W29" s="706">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67"/>
      <c r="Q30" s="1350">
        <f t="shared" si="11"/>
        <v>111</v>
      </c>
      <c r="R30" s="705" t="s">
        <v>14</v>
      </c>
      <c r="S30" s="706">
        <f t="shared" si="12"/>
        <v>100</v>
      </c>
      <c r="T30" s="705" t="s">
        <v>14</v>
      </c>
      <c r="U30" s="706">
        <f t="shared" si="13"/>
        <v>100</v>
      </c>
      <c r="V30" s="705" t="s">
        <v>14</v>
      </c>
      <c r="W30" s="706">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67"/>
      <c r="Q31" s="1350">
        <f t="shared" si="11"/>
        <v>111</v>
      </c>
      <c r="R31" s="705" t="s">
        <v>14</v>
      </c>
      <c r="S31" s="706">
        <f t="shared" si="12"/>
        <v>100</v>
      </c>
      <c r="T31" s="705" t="s">
        <v>14</v>
      </c>
      <c r="U31" s="706">
        <f t="shared" si="13"/>
        <v>100</v>
      </c>
      <c r="V31" s="705" t="s">
        <v>14</v>
      </c>
      <c r="W31" s="706">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67"/>
      <c r="Q32" s="1350">
        <f t="shared" si="11"/>
        <v>111</v>
      </c>
      <c r="R32" s="705" t="s">
        <v>14</v>
      </c>
      <c r="S32" s="706">
        <f t="shared" si="12"/>
        <v>100</v>
      </c>
      <c r="T32" s="705" t="s">
        <v>14</v>
      </c>
      <c r="U32" s="706">
        <f t="shared" si="13"/>
        <v>100</v>
      </c>
      <c r="V32" s="705" t="s">
        <v>14</v>
      </c>
      <c r="W32" s="706">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5" t="s">
        <v>14</v>
      </c>
      <c r="S33" s="706">
        <f t="shared" si="12"/>
        <v>100</v>
      </c>
      <c r="T33" s="705" t="s">
        <v>14</v>
      </c>
      <c r="U33" s="706">
        <f t="shared" si="13"/>
        <v>100</v>
      </c>
      <c r="V33" s="705" t="s">
        <v>14</v>
      </c>
      <c r="W33" s="706">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5" t="s">
        <v>14</v>
      </c>
      <c r="S35" s="706">
        <f t="shared" si="12"/>
        <v>100</v>
      </c>
      <c r="T35" s="705" t="s">
        <v>14</v>
      </c>
      <c r="U35" s="706">
        <f t="shared" si="13"/>
        <v>100</v>
      </c>
      <c r="V35" s="705" t="s">
        <v>14</v>
      </c>
      <c r="W35" s="706">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5" t="s">
        <v>14</v>
      </c>
      <c r="S36" s="706">
        <f t="shared" si="12"/>
        <v>100</v>
      </c>
      <c r="T36" s="705" t="s">
        <v>14</v>
      </c>
      <c r="U36" s="706">
        <f t="shared" si="13"/>
        <v>100</v>
      </c>
      <c r="V36" s="705" t="s">
        <v>14</v>
      </c>
      <c r="W36" s="706">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5" t="s">
        <v>14</v>
      </c>
      <c r="S37" s="706" t="e">
        <f t="shared" si="12"/>
        <v>#N/A</v>
      </c>
      <c r="T37" s="705" t="s">
        <v>14</v>
      </c>
      <c r="U37" s="706" t="e">
        <f t="shared" si="13"/>
        <v>#N/A</v>
      </c>
      <c r="V37" s="705" t="s">
        <v>14</v>
      </c>
      <c r="W37" s="706"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5" t="s">
        <v>14</v>
      </c>
      <c r="S39" s="706">
        <f t="shared" si="12"/>
        <v>100</v>
      </c>
      <c r="T39" s="705" t="s">
        <v>14</v>
      </c>
      <c r="U39" s="706">
        <f t="shared" si="13"/>
        <v>100</v>
      </c>
      <c r="V39" s="705" t="s">
        <v>14</v>
      </c>
      <c r="W39" s="706">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5" t="s">
        <v>14</v>
      </c>
      <c r="S40" s="706">
        <f t="shared" si="12"/>
        <v>100</v>
      </c>
      <c r="T40" s="705" t="s">
        <v>14</v>
      </c>
      <c r="U40" s="706">
        <f t="shared" si="13"/>
        <v>100</v>
      </c>
      <c r="V40" s="705" t="s">
        <v>14</v>
      </c>
      <c r="W40" s="706">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5" t="s">
        <v>14</v>
      </c>
      <c r="S41" s="706">
        <f t="shared" si="12"/>
        <v>100</v>
      </c>
      <c r="T41" s="705" t="s">
        <v>14</v>
      </c>
      <c r="U41" s="706">
        <f t="shared" si="13"/>
        <v>100</v>
      </c>
      <c r="V41" s="705" t="s">
        <v>14</v>
      </c>
      <c r="W41" s="706">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5" t="s">
        <v>14</v>
      </c>
      <c r="S43" s="706">
        <f t="shared" si="12"/>
        <v>100</v>
      </c>
      <c r="T43" s="705" t="s">
        <v>14</v>
      </c>
      <c r="U43" s="706">
        <f t="shared" si="13"/>
        <v>100</v>
      </c>
      <c r="V43" s="705" t="s">
        <v>14</v>
      </c>
      <c r="W43" s="706">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5" t="s">
        <v>14</v>
      </c>
      <c r="S44" s="706">
        <f t="shared" si="12"/>
        <v>100</v>
      </c>
      <c r="T44" s="705" t="s">
        <v>14</v>
      </c>
      <c r="U44" s="706">
        <f t="shared" si="13"/>
        <v>100</v>
      </c>
      <c r="V44" s="705" t="s">
        <v>14</v>
      </c>
      <c r="W44" s="706">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5" t="s">
        <v>14</v>
      </c>
      <c r="S46" s="706">
        <f t="shared" si="12"/>
        <v>100</v>
      </c>
      <c r="T46" s="705" t="s">
        <v>14</v>
      </c>
      <c r="U46" s="706">
        <f t="shared" si="13"/>
        <v>100</v>
      </c>
      <c r="V46" s="705" t="s">
        <v>14</v>
      </c>
      <c r="W46" s="706">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5" t="s">
        <v>14</v>
      </c>
      <c r="S47" s="706">
        <f t="shared" si="12"/>
        <v>100</v>
      </c>
      <c r="T47" s="705" t="s">
        <v>14</v>
      </c>
      <c r="U47" s="706">
        <f t="shared" si="13"/>
        <v>100</v>
      </c>
      <c r="V47" s="705" t="s">
        <v>14</v>
      </c>
      <c r="W47" s="706">
        <f t="shared" si="14"/>
        <v>100</v>
      </c>
      <c r="X47" s="1353"/>
      <c r="Y47" s="3674"/>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4"/>
      <c r="L48" s="2722"/>
      <c r="M48" s="2714"/>
      <c r="N48" s="2714"/>
      <c r="O48" s="2714"/>
      <c r="P48" s="3676" t="str">
        <f>A48</f>
        <v>成交单价（元/平方米）</v>
      </c>
      <c r="Q48" s="3661"/>
      <c r="R48" s="3662">
        <f>E48</f>
        <v>0</v>
      </c>
      <c r="S48" s="3662"/>
      <c r="T48" s="3662">
        <f>G48</f>
        <v>0</v>
      </c>
      <c r="U48" s="3662"/>
      <c r="V48" s="3662">
        <f>I48</f>
        <v>0</v>
      </c>
      <c r="W48" s="3662"/>
      <c r="X48" s="397"/>
      <c r="Y48" s="712"/>
      <c r="Z48" s="397"/>
      <c r="AA48" s="397"/>
      <c r="AB48" s="397"/>
      <c r="AC48" s="578"/>
    </row>
    <row r="49" spans="1:29" ht="15.75" thickBot="1">
      <c r="A49" s="437" t="s">
        <v>1793</v>
      </c>
      <c r="B49" s="438"/>
      <c r="C49" s="1159" t="e">
        <f>R50</f>
        <v>#DIV/0!</v>
      </c>
      <c r="D49" s="2315" t="s">
        <v>2133</v>
      </c>
      <c r="E49" s="1160" t="e">
        <f>R49</f>
        <v>#DIV/0!</v>
      </c>
      <c r="F49" s="2316"/>
      <c r="G49" s="1159" t="e">
        <f>T49</f>
        <v>#DIV/0!</v>
      </c>
      <c r="H49" s="2316"/>
      <c r="I49" s="1160" t="e">
        <f>V49</f>
        <v>#DIV/0!</v>
      </c>
      <c r="J49" s="2316"/>
      <c r="K49" s="2318">
        <f>F49+H49+J49</f>
        <v>0</v>
      </c>
      <c r="L49" s="2722"/>
      <c r="M49" s="2714"/>
      <c r="N49" s="2714"/>
      <c r="O49" s="2714"/>
      <c r="P49" s="3676"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2"/>
      <c r="M50" s="2714"/>
      <c r="N50" s="2714"/>
      <c r="O50" s="2714"/>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5" t="s">
        <v>1826</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ht="15">
      <c r="A5" s="358"/>
      <c r="B5" s="359"/>
      <c r="C5" s="3698" t="s">
        <v>1673</v>
      </c>
      <c r="D5" s="3699"/>
      <c r="E5" s="3729" t="s">
        <v>1674</v>
      </c>
      <c r="F5" s="3707"/>
      <c r="G5" s="3698" t="s">
        <v>1675</v>
      </c>
      <c r="H5" s="3699"/>
      <c r="I5" s="3698" t="s">
        <v>1676</v>
      </c>
      <c r="J5" s="3699"/>
      <c r="K5" s="559"/>
      <c r="L5" s="913"/>
      <c r="M5" s="914"/>
      <c r="N5" s="914"/>
      <c r="O5" s="914"/>
      <c r="P5" s="3686"/>
      <c r="Q5" s="3687"/>
      <c r="R5" s="3692"/>
      <c r="S5" s="3693"/>
      <c r="T5" s="3692"/>
      <c r="U5" s="3693"/>
      <c r="V5" s="3675"/>
      <c r="W5" s="3675"/>
      <c r="X5" s="1353"/>
      <c r="Y5" s="3692"/>
      <c r="Z5" s="3693"/>
      <c r="AA5" s="3678"/>
      <c r="AB5" s="3678"/>
      <c r="AC5" s="3678"/>
    </row>
    <row r="6" spans="1:29" ht="15.75" thickBot="1">
      <c r="A6" s="360"/>
      <c r="B6" s="361"/>
      <c r="C6" s="3696" t="s">
        <v>1677</v>
      </c>
      <c r="D6" s="3697"/>
      <c r="E6" s="3704" t="s">
        <v>1677</v>
      </c>
      <c r="F6" s="3705"/>
      <c r="G6" s="3696" t="s">
        <v>1677</v>
      </c>
      <c r="H6" s="3697"/>
      <c r="I6" s="3696" t="s">
        <v>1677</v>
      </c>
      <c r="J6" s="3697"/>
      <c r="K6" s="559" t="s">
        <v>1678</v>
      </c>
      <c r="L6" s="913"/>
      <c r="M6" s="914"/>
      <c r="N6" s="914"/>
      <c r="O6" s="914"/>
      <c r="P6" s="3688"/>
      <c r="Q6" s="3689"/>
      <c r="R6" s="3692"/>
      <c r="S6" s="3693"/>
      <c r="T6" s="3694"/>
      <c r="U6" s="3695"/>
      <c r="V6" s="3675"/>
      <c r="W6" s="3675"/>
      <c r="X6" s="1353"/>
      <c r="Y6" s="3694"/>
      <c r="Z6" s="3695"/>
      <c r="AA6" s="3679"/>
      <c r="AB6" s="3679"/>
      <c r="AC6" s="3679"/>
    </row>
    <row r="7" spans="1:29" s="108" customFormat="1" ht="15.7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0" t="s">
        <v>1683</v>
      </c>
      <c r="Q8" s="3701"/>
      <c r="R8" s="701" t="s">
        <v>14</v>
      </c>
      <c r="S8" s="702">
        <f t="shared" si="0"/>
        <v>100</v>
      </c>
      <c r="T8" s="701" t="s">
        <v>14</v>
      </c>
      <c r="U8" s="702">
        <f t="shared" si="1"/>
        <v>100</v>
      </c>
      <c r="V8" s="701" t="s">
        <v>14</v>
      </c>
      <c r="W8" s="702">
        <f t="shared" si="2"/>
        <v>100</v>
      </c>
      <c r="X8" s="703"/>
      <c r="Y8" s="3700" t="s">
        <v>1683</v>
      </c>
      <c r="Z8" s="370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1"/>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1"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661"/>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0" t="str">
        <f t="shared" si="6"/>
        <v>产业集聚程度</v>
      </c>
      <c r="R15" s="705" t="s">
        <v>14</v>
      </c>
      <c r="S15" s="706">
        <f t="shared" si="0"/>
        <v>100</v>
      </c>
      <c r="T15" s="705" t="s">
        <v>14</v>
      </c>
      <c r="U15" s="706">
        <f t="shared" si="1"/>
        <v>100</v>
      </c>
      <c r="V15" s="705" t="s">
        <v>14</v>
      </c>
      <c r="W15" s="706">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669"/>
      <c r="Q16" s="1350"/>
      <c r="R16" s="705"/>
      <c r="S16" s="706"/>
      <c r="T16" s="705"/>
      <c r="U16" s="706"/>
      <c r="V16" s="705"/>
      <c r="W16" s="706"/>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669"/>
      <c r="Q18" s="1350"/>
      <c r="R18" s="705"/>
      <c r="S18" s="706"/>
      <c r="T18" s="705"/>
      <c r="U18" s="706"/>
      <c r="V18" s="705"/>
      <c r="W18" s="706"/>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0" t="str">
        <f>B19</f>
        <v>公共配套设施</v>
      </c>
      <c r="R19" s="705" t="s">
        <v>14</v>
      </c>
      <c r="S19" s="706">
        <f>F19</f>
        <v>100</v>
      </c>
      <c r="T19" s="705" t="s">
        <v>14</v>
      </c>
      <c r="U19" s="706">
        <f>H19</f>
        <v>100</v>
      </c>
      <c r="V19" s="705" t="s">
        <v>14</v>
      </c>
      <c r="W19" s="706">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669"/>
      <c r="Q20" s="1350"/>
      <c r="R20" s="705"/>
      <c r="S20" s="706"/>
      <c r="T20" s="705"/>
      <c r="U20" s="706"/>
      <c r="V20" s="705"/>
      <c r="W20" s="706"/>
      <c r="X20" s="1353"/>
      <c r="Y20" s="3669"/>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0" t="str">
        <f>B21</f>
        <v>基础设施水平</v>
      </c>
      <c r="R21" s="705" t="s">
        <v>14</v>
      </c>
      <c r="S21" s="706">
        <f>F21</f>
        <v>100</v>
      </c>
      <c r="T21" s="705" t="s">
        <v>14</v>
      </c>
      <c r="U21" s="706">
        <f>H21</f>
        <v>100</v>
      </c>
      <c r="V21" s="705" t="s">
        <v>14</v>
      </c>
      <c r="W21" s="706">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3"/>
      <c r="M22" s="914"/>
      <c r="N22" s="914"/>
      <c r="O22" s="922"/>
      <c r="P22" s="3669"/>
      <c r="Q22" s="1350"/>
      <c r="R22" s="705"/>
      <c r="S22" s="706"/>
      <c r="T22" s="705"/>
      <c r="U22" s="706"/>
      <c r="V22" s="705"/>
      <c r="W22" s="706"/>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0" t="str">
        <f>B23</f>
        <v>环境质量</v>
      </c>
      <c r="R23" s="705" t="s">
        <v>14</v>
      </c>
      <c r="S23" s="706">
        <f>F23</f>
        <v>100</v>
      </c>
      <c r="T23" s="705" t="s">
        <v>14</v>
      </c>
      <c r="U23" s="706">
        <f>H23</f>
        <v>100</v>
      </c>
      <c r="V23" s="705" t="s">
        <v>14</v>
      </c>
      <c r="W23" s="706">
        <f>J23</f>
        <v>100</v>
      </c>
      <c r="X23" s="1353"/>
      <c r="Y23" s="3669"/>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3"/>
      <c r="M24" s="914"/>
      <c r="N24" s="914"/>
      <c r="O24" s="922"/>
      <c r="P24" s="3669"/>
      <c r="Q24" s="1350"/>
      <c r="R24" s="705"/>
      <c r="S24" s="706"/>
      <c r="T24" s="705"/>
      <c r="U24" s="706"/>
      <c r="V24" s="705"/>
      <c r="W24" s="706"/>
      <c r="X24" s="1353"/>
      <c r="Y24" s="3669"/>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0">
        <f>B25</f>
        <v>111</v>
      </c>
      <c r="R25" s="705" t="s">
        <v>14</v>
      </c>
      <c r="S25" s="706">
        <f>F25</f>
        <v>100</v>
      </c>
      <c r="T25" s="705" t="s">
        <v>14</v>
      </c>
      <c r="U25" s="706">
        <f>H25</f>
        <v>100</v>
      </c>
      <c r="V25" s="705" t="s">
        <v>14</v>
      </c>
      <c r="W25" s="706">
        <f>J25</f>
        <v>100</v>
      </c>
      <c r="X25" s="1353"/>
      <c r="Y25" s="3669"/>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0">
        <f t="shared" ref="Q26:Q40" si="11">B26</f>
        <v>111</v>
      </c>
      <c r="R26" s="705" t="s">
        <v>14</v>
      </c>
      <c r="S26" s="706">
        <f>F26</f>
        <v>100</v>
      </c>
      <c r="T26" s="705" t="s">
        <v>14</v>
      </c>
      <c r="U26" s="706">
        <f>H26</f>
        <v>100</v>
      </c>
      <c r="V26" s="705" t="s">
        <v>14</v>
      </c>
      <c r="W26" s="706">
        <f>J26</f>
        <v>100</v>
      </c>
      <c r="X26" s="1353"/>
      <c r="Y26" s="3669"/>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1">
        <f t="shared" si="11"/>
        <v>111</v>
      </c>
      <c r="R27" s="701" t="s">
        <v>14</v>
      </c>
      <c r="S27" s="702">
        <f>F27</f>
        <v>100</v>
      </c>
      <c r="T27" s="701" t="s">
        <v>14</v>
      </c>
      <c r="U27" s="702">
        <f>H27</f>
        <v>100</v>
      </c>
      <c r="V27" s="701" t="s">
        <v>14</v>
      </c>
      <c r="W27" s="702">
        <f>J27</f>
        <v>100</v>
      </c>
      <c r="X27" s="703"/>
      <c r="Y27" s="3669"/>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0">
        <f t="shared" si="11"/>
        <v>111</v>
      </c>
      <c r="R28" s="705" t="s">
        <v>14</v>
      </c>
      <c r="S28" s="706">
        <f t="shared" ref="S28:S40" si="12">F28</f>
        <v>100</v>
      </c>
      <c r="T28" s="705" t="s">
        <v>14</v>
      </c>
      <c r="U28" s="706">
        <f t="shared" ref="U28:U40" si="13">H28</f>
        <v>100</v>
      </c>
      <c r="V28" s="705" t="s">
        <v>14</v>
      </c>
      <c r="W28" s="706">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45" t="s">
        <v>1696</v>
      </c>
      <c r="Q29" s="1350" t="str">
        <f t="shared" si="11"/>
        <v>建筑类型</v>
      </c>
      <c r="R29" s="705" t="s">
        <v>14</v>
      </c>
      <c r="S29" s="706">
        <f t="shared" si="12"/>
        <v>100</v>
      </c>
      <c r="T29" s="705" t="s">
        <v>14</v>
      </c>
      <c r="U29" s="706">
        <f t="shared" si="13"/>
        <v>100</v>
      </c>
      <c r="V29" s="705" t="s">
        <v>14</v>
      </c>
      <c r="W29" s="706">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0" t="str">
        <f t="shared" si="11"/>
        <v>建筑结构</v>
      </c>
      <c r="R31" s="705" t="s">
        <v>14</v>
      </c>
      <c r="S31" s="706">
        <f t="shared" si="12"/>
        <v>100</v>
      </c>
      <c r="T31" s="705" t="s">
        <v>14</v>
      </c>
      <c r="U31" s="706">
        <f t="shared" si="13"/>
        <v>100</v>
      </c>
      <c r="V31" s="705" t="s">
        <v>14</v>
      </c>
      <c r="W31" s="706">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0" t="str">
        <f t="shared" si="11"/>
        <v>公共部分装修</v>
      </c>
      <c r="R32" s="705" t="s">
        <v>14</v>
      </c>
      <c r="S32" s="706">
        <f t="shared" si="12"/>
        <v>100</v>
      </c>
      <c r="T32" s="705" t="s">
        <v>14</v>
      </c>
      <c r="U32" s="706">
        <f t="shared" si="13"/>
        <v>100</v>
      </c>
      <c r="V32" s="705" t="s">
        <v>14</v>
      </c>
      <c r="W32" s="706">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0" t="str">
        <f t="shared" si="11"/>
        <v>成新度</v>
      </c>
      <c r="R33" s="705" t="s">
        <v>14</v>
      </c>
      <c r="S33" s="706" t="e">
        <f t="shared" si="12"/>
        <v>#N/A</v>
      </c>
      <c r="T33" s="705" t="s">
        <v>14</v>
      </c>
      <c r="U33" s="706" t="e">
        <f t="shared" si="13"/>
        <v>#N/A</v>
      </c>
      <c r="V33" s="705" t="s">
        <v>14</v>
      </c>
      <c r="W33" s="706"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1"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0" t="str">
        <f t="shared" si="11"/>
        <v>市政基础设施</v>
      </c>
      <c r="R35" s="705" t="s">
        <v>14</v>
      </c>
      <c r="S35" s="706">
        <f t="shared" si="12"/>
        <v>100</v>
      </c>
      <c r="T35" s="705" t="s">
        <v>14</v>
      </c>
      <c r="U35" s="706">
        <f t="shared" si="13"/>
        <v>100</v>
      </c>
      <c r="V35" s="705" t="s">
        <v>14</v>
      </c>
      <c r="W35" s="706">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0" t="str">
        <f t="shared" si="11"/>
        <v>内部装修</v>
      </c>
      <c r="R36" s="705" t="s">
        <v>14</v>
      </c>
      <c r="S36" s="706">
        <f t="shared" si="12"/>
        <v>100</v>
      </c>
      <c r="T36" s="705" t="s">
        <v>14</v>
      </c>
      <c r="U36" s="706">
        <f t="shared" si="13"/>
        <v>100</v>
      </c>
      <c r="V36" s="705" t="s">
        <v>14</v>
      </c>
      <c r="W36" s="706">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0" t="str">
        <f t="shared" si="11"/>
        <v>内部装修状况</v>
      </c>
      <c r="R37" s="705" t="s">
        <v>14</v>
      </c>
      <c r="S37" s="706">
        <f t="shared" si="12"/>
        <v>100</v>
      </c>
      <c r="T37" s="705" t="s">
        <v>14</v>
      </c>
      <c r="U37" s="706">
        <f t="shared" si="13"/>
        <v>100</v>
      </c>
      <c r="V37" s="705" t="s">
        <v>14</v>
      </c>
      <c r="W37" s="706">
        <f t="shared" si="14"/>
        <v>100</v>
      </c>
      <c r="X37" s="1353"/>
      <c r="Y37" s="3673"/>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0">
        <f t="shared" si="11"/>
        <v>111</v>
      </c>
      <c r="R39" s="705" t="s">
        <v>14</v>
      </c>
      <c r="S39" s="706">
        <f t="shared" si="12"/>
        <v>100</v>
      </c>
      <c r="T39" s="705" t="s">
        <v>14</v>
      </c>
      <c r="U39" s="706">
        <f t="shared" si="13"/>
        <v>100</v>
      </c>
      <c r="V39" s="705" t="s">
        <v>14</v>
      </c>
      <c r="W39" s="706">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0">
        <f t="shared" si="11"/>
        <v>111</v>
      </c>
      <c r="R40" s="705" t="s">
        <v>14</v>
      </c>
      <c r="S40" s="706">
        <f t="shared" si="12"/>
        <v>100</v>
      </c>
      <c r="T40" s="705" t="s">
        <v>14</v>
      </c>
      <c r="U40" s="706">
        <f t="shared" si="13"/>
        <v>100</v>
      </c>
      <c r="V40" s="705" t="s">
        <v>14</v>
      </c>
      <c r="W40" s="706">
        <f t="shared" si="14"/>
        <v>100</v>
      </c>
      <c r="X40" s="1353"/>
      <c r="Y40" s="3674"/>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4"/>
      <c r="L41" s="926"/>
      <c r="M41" s="927"/>
      <c r="N41" s="914"/>
      <c r="O41" s="927"/>
      <c r="P41" s="3661" t="str">
        <f>A41</f>
        <v>成交单价（元/平方米）</v>
      </c>
      <c r="Q41" s="3661"/>
      <c r="R41" s="3662">
        <f>E41</f>
        <v>0</v>
      </c>
      <c r="S41" s="3662"/>
      <c r="T41" s="3662">
        <f>G41</f>
        <v>0</v>
      </c>
      <c r="U41" s="3662"/>
      <c r="V41" s="3662">
        <f>I41</f>
        <v>0</v>
      </c>
      <c r="W41" s="3662"/>
      <c r="X41" s="690"/>
      <c r="Y41" s="712"/>
      <c r="Z41" s="690"/>
      <c r="AA41" s="690"/>
      <c r="AB41" s="690"/>
      <c r="AC41" s="690"/>
    </row>
    <row r="42" spans="1:29" ht="15.75" thickBot="1">
      <c r="A42" s="437" t="s">
        <v>1793</v>
      </c>
      <c r="B42" s="438"/>
      <c r="C42" s="1159" t="e">
        <f>R43</f>
        <v>#DIV/0!</v>
      </c>
      <c r="D42" s="2315" t="s">
        <v>2133</v>
      </c>
      <c r="E42" s="1160" t="e">
        <f>R42</f>
        <v>#DIV/0!</v>
      </c>
      <c r="F42" s="2316"/>
      <c r="G42" s="1159" t="e">
        <f>T42</f>
        <v>#DIV/0!</v>
      </c>
      <c r="H42" s="2316"/>
      <c r="I42" s="1160" t="e">
        <f>V42</f>
        <v>#DIV/0!</v>
      </c>
      <c r="J42" s="2316"/>
      <c r="K42" s="2318">
        <f>F42+H42+J42</f>
        <v>0</v>
      </c>
      <c r="L42" s="926"/>
      <c r="M42" s="927"/>
      <c r="N42" s="914"/>
      <c r="O42" s="927"/>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3332</v>
      </c>
      <c r="C1" s="1223" t="s">
        <v>1662</v>
      </c>
      <c r="D1" s="1224"/>
      <c r="E1" s="3431"/>
      <c r="F1" s="1877"/>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ht="15">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29" ht="15.7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9"/>
      <c r="AC6" s="3679"/>
    </row>
    <row r="7" spans="1:29" s="108" customFormat="1" ht="15.7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0" t="s">
        <v>1683</v>
      </c>
      <c r="Q8" s="3701"/>
      <c r="R8" s="701" t="s">
        <v>14</v>
      </c>
      <c r="S8" s="702">
        <f t="shared" si="0"/>
        <v>100</v>
      </c>
      <c r="T8" s="701" t="s">
        <v>14</v>
      </c>
      <c r="U8" s="702">
        <f t="shared" si="1"/>
        <v>100</v>
      </c>
      <c r="V8" s="701" t="s">
        <v>14</v>
      </c>
      <c r="W8" s="702">
        <f t="shared" si="2"/>
        <v>100</v>
      </c>
      <c r="X8" s="703"/>
      <c r="Y8" s="3700" t="s">
        <v>1683</v>
      </c>
      <c r="Z8" s="370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1" t="s">
        <v>1686</v>
      </c>
      <c r="Q9" s="1341"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1"/>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1"/>
      <c r="Q11" s="1341">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5" t="s">
        <v>14</v>
      </c>
      <c r="S14" s="706">
        <f t="shared" si="0"/>
        <v>100</v>
      </c>
      <c r="T14" s="705" t="s">
        <v>14</v>
      </c>
      <c r="U14" s="706">
        <f t="shared" si="1"/>
        <v>100</v>
      </c>
      <c r="V14" s="705" t="s">
        <v>14</v>
      </c>
      <c r="W14" s="706">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5"/>
      <c r="S15" s="706"/>
      <c r="T15" s="705"/>
      <c r="U15" s="706"/>
      <c r="V15" s="705"/>
      <c r="W15" s="706"/>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5" t="s">
        <v>14</v>
      </c>
      <c r="S16" s="706">
        <f>F16</f>
        <v>100</v>
      </c>
      <c r="T16" s="705" t="s">
        <v>14</v>
      </c>
      <c r="U16" s="706">
        <f>H16</f>
        <v>100</v>
      </c>
      <c r="V16" s="705" t="s">
        <v>14</v>
      </c>
      <c r="W16" s="706">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5"/>
      <c r="S17" s="706"/>
      <c r="T17" s="705"/>
      <c r="U17" s="706"/>
      <c r="V17" s="705"/>
      <c r="W17" s="706"/>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5" t="s">
        <v>14</v>
      </c>
      <c r="S18" s="706">
        <f>F18</f>
        <v>100</v>
      </c>
      <c r="T18" s="705" t="s">
        <v>14</v>
      </c>
      <c r="U18" s="706">
        <f>H18</f>
        <v>100</v>
      </c>
      <c r="V18" s="705" t="s">
        <v>14</v>
      </c>
      <c r="W18" s="706">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669"/>
      <c r="Q19" s="1350"/>
      <c r="R19" s="705"/>
      <c r="S19" s="706"/>
      <c r="T19" s="705"/>
      <c r="U19" s="706"/>
      <c r="V19" s="705"/>
      <c r="W19" s="706"/>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5" t="s">
        <v>14</v>
      </c>
      <c r="S20" s="706">
        <f>F20</f>
        <v>100</v>
      </c>
      <c r="T20" s="705" t="s">
        <v>14</v>
      </c>
      <c r="U20" s="706">
        <f>H20</f>
        <v>100</v>
      </c>
      <c r="V20" s="705" t="s">
        <v>14</v>
      </c>
      <c r="W20" s="706">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5"/>
      <c r="S21" s="706"/>
      <c r="T21" s="705"/>
      <c r="U21" s="706"/>
      <c r="V21" s="705"/>
      <c r="W21" s="706"/>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5" t="s">
        <v>14</v>
      </c>
      <c r="S22" s="706">
        <f>F22</f>
        <v>100</v>
      </c>
      <c r="T22" s="705" t="s">
        <v>14</v>
      </c>
      <c r="U22" s="706">
        <f>H22</f>
        <v>100</v>
      </c>
      <c r="V22" s="705" t="s">
        <v>14</v>
      </c>
      <c r="W22" s="706">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5" t="s">
        <v>14</v>
      </c>
      <c r="S23" s="706">
        <f>F23</f>
        <v>100</v>
      </c>
      <c r="T23" s="705" t="s">
        <v>14</v>
      </c>
      <c r="U23" s="706">
        <f>H23</f>
        <v>100</v>
      </c>
      <c r="V23" s="705" t="s">
        <v>14</v>
      </c>
      <c r="W23" s="706">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5" t="s">
        <v>14</v>
      </c>
      <c r="S24" s="706">
        <f>F24</f>
        <v>100</v>
      </c>
      <c r="T24" s="705" t="s">
        <v>14</v>
      </c>
      <c r="U24" s="706">
        <f>H24</f>
        <v>100</v>
      </c>
      <c r="V24" s="705" t="s">
        <v>14</v>
      </c>
      <c r="W24" s="706">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701" t="s">
        <v>14</v>
      </c>
      <c r="S25" s="702">
        <f>F25</f>
        <v>100</v>
      </c>
      <c r="T25" s="701" t="s">
        <v>14</v>
      </c>
      <c r="U25" s="702">
        <f>H25</f>
        <v>100</v>
      </c>
      <c r="V25" s="701" t="s">
        <v>14</v>
      </c>
      <c r="W25" s="702">
        <f>J25</f>
        <v>100</v>
      </c>
      <c r="X25" s="703"/>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45"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5" t="s">
        <v>14</v>
      </c>
      <c r="S28" s="706">
        <f t="shared" si="12"/>
        <v>100</v>
      </c>
      <c r="T28" s="705" t="s">
        <v>14</v>
      </c>
      <c r="U28" s="706">
        <f t="shared" si="13"/>
        <v>100</v>
      </c>
      <c r="V28" s="705" t="s">
        <v>14</v>
      </c>
      <c r="W28" s="706">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5" t="s">
        <v>14</v>
      </c>
      <c r="S29" s="706" t="e">
        <f t="shared" si="12"/>
        <v>#N/A</v>
      </c>
      <c r="T29" s="705" t="s">
        <v>14</v>
      </c>
      <c r="U29" s="706" t="e">
        <f t="shared" si="13"/>
        <v>#N/A</v>
      </c>
      <c r="V29" s="705" t="s">
        <v>14</v>
      </c>
      <c r="W29" s="706"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5" t="s">
        <v>14</v>
      </c>
      <c r="S30" s="706">
        <f t="shared" si="12"/>
        <v>100</v>
      </c>
      <c r="T30" s="705" t="s">
        <v>14</v>
      </c>
      <c r="U30" s="706">
        <f t="shared" si="13"/>
        <v>100</v>
      </c>
      <c r="V30" s="705" t="s">
        <v>14</v>
      </c>
      <c r="W30" s="706">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5" t="s">
        <v>14</v>
      </c>
      <c r="S32" s="706">
        <f t="shared" si="12"/>
        <v>100</v>
      </c>
      <c r="T32" s="705" t="s">
        <v>14</v>
      </c>
      <c r="U32" s="706">
        <f t="shared" si="13"/>
        <v>100</v>
      </c>
      <c r="V32" s="705" t="s">
        <v>14</v>
      </c>
      <c r="W32" s="706">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5" t="s">
        <v>14</v>
      </c>
      <c r="S33" s="706">
        <f t="shared" si="12"/>
        <v>100</v>
      </c>
      <c r="T33" s="705" t="s">
        <v>14</v>
      </c>
      <c r="U33" s="706">
        <f t="shared" si="13"/>
        <v>100</v>
      </c>
      <c r="V33" s="705" t="s">
        <v>14</v>
      </c>
      <c r="W33" s="706">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5" t="s">
        <v>14</v>
      </c>
      <c r="S34" s="706">
        <f t="shared" si="12"/>
        <v>100</v>
      </c>
      <c r="T34" s="705" t="s">
        <v>14</v>
      </c>
      <c r="U34" s="706">
        <f t="shared" si="13"/>
        <v>100</v>
      </c>
      <c r="V34" s="705" t="s">
        <v>14</v>
      </c>
      <c r="W34" s="706">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5" t="s">
        <v>14</v>
      </c>
      <c r="S36" s="706">
        <f t="shared" si="12"/>
        <v>100</v>
      </c>
      <c r="T36" s="705" t="s">
        <v>14</v>
      </c>
      <c r="U36" s="706">
        <f t="shared" si="13"/>
        <v>100</v>
      </c>
      <c r="V36" s="705" t="s">
        <v>14</v>
      </c>
      <c r="W36" s="706">
        <f t="shared" si="14"/>
        <v>100</v>
      </c>
      <c r="X36" s="1353"/>
      <c r="Y36" s="3673"/>
      <c r="Z36" s="1354">
        <f t="shared" si="15"/>
        <v>111</v>
      </c>
      <c r="AA36" s="1351">
        <f t="shared" si="3"/>
        <v>1</v>
      </c>
      <c r="AB36" s="1351">
        <f t="shared" si="4"/>
        <v>1</v>
      </c>
      <c r="AC36" s="1351">
        <f t="shared" si="5"/>
        <v>1</v>
      </c>
    </row>
    <row r="37" spans="1:29" ht="15">
      <c r="A37" s="430" t="s">
        <v>1844</v>
      </c>
      <c r="B37" s="1971" t="s">
        <v>3353</v>
      </c>
      <c r="C37" s="1153" t="s">
        <v>0</v>
      </c>
      <c r="D37" s="1154"/>
      <c r="E37" s="1155"/>
      <c r="F37" s="1156"/>
      <c r="G37" s="1157"/>
      <c r="H37" s="1158"/>
      <c r="I37" s="1155"/>
      <c r="J37" s="1158"/>
      <c r="K37" s="568"/>
      <c r="L37" s="2722"/>
      <c r="M37" s="2723"/>
      <c r="N37" s="2714"/>
      <c r="O37" s="2723"/>
      <c r="P37" s="3661" t="str">
        <f>A37</f>
        <v>成交单价</v>
      </c>
      <c r="Q37" s="3661"/>
      <c r="R37" s="3662">
        <f>E37</f>
        <v>0</v>
      </c>
      <c r="S37" s="3662"/>
      <c r="T37" s="3662">
        <f>G37</f>
        <v>0</v>
      </c>
      <c r="U37" s="3662"/>
      <c r="V37" s="3662">
        <f>I37</f>
        <v>0</v>
      </c>
      <c r="W37" s="3662"/>
      <c r="X37" s="690"/>
      <c r="Y37" s="712"/>
      <c r="Z37" s="690"/>
      <c r="AA37" s="690"/>
      <c r="AB37" s="690"/>
      <c r="AC37" s="690"/>
    </row>
    <row r="38" spans="1:29" ht="15.75" thickBot="1">
      <c r="A38" s="437" t="s">
        <v>1845</v>
      </c>
      <c r="B38" s="438" t="str">
        <f>B37</f>
        <v>元/平方米</v>
      </c>
      <c r="C38" s="1159" t="e">
        <f>R39</f>
        <v>#DIV/0!</v>
      </c>
      <c r="D38" s="2315" t="s">
        <v>2133</v>
      </c>
      <c r="E38" s="1160" t="e">
        <f>R38</f>
        <v>#DIV/0!</v>
      </c>
      <c r="F38" s="2316"/>
      <c r="G38" s="1159" t="e">
        <f>T38</f>
        <v>#DIV/0!</v>
      </c>
      <c r="H38" s="2316"/>
      <c r="I38" s="1160" t="e">
        <f>V38</f>
        <v>#DIV/0!</v>
      </c>
      <c r="J38" s="2316"/>
      <c r="K38" s="2318">
        <f>F38+H38+J38</f>
        <v>0</v>
      </c>
      <c r="L38" s="2722"/>
      <c r="M38" s="2723"/>
      <c r="N38" s="2723"/>
      <c r="O38" s="2723"/>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663" t="str">
        <f>A39</f>
        <v>估价对象XX用房的比较价值（楼面单价，元/平方米）</v>
      </c>
      <c r="Q39" s="3664"/>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3333</v>
      </c>
      <c r="C1" s="1223" t="s">
        <v>1662</v>
      </c>
      <c r="D1" s="1224"/>
      <c r="E1" s="3431"/>
      <c r="F1" s="1877"/>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ht="15">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29" ht="15.7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9"/>
      <c r="AC6" s="3679"/>
    </row>
    <row r="7" spans="1:29" s="108" customFormat="1" ht="15.75" thickBot="1">
      <c r="A7" s="362" t="s">
        <v>1679</v>
      </c>
      <c r="B7" s="363"/>
      <c r="C7" s="364">
        <f>'数据-取费表'!B2</f>
        <v>45322</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0" t="s">
        <v>1680</v>
      </c>
      <c r="Q7" s="3702"/>
      <c r="R7" s="701" t="s">
        <v>14</v>
      </c>
      <c r="S7" s="702">
        <f t="shared" ref="S7:S14" si="0">F7</f>
        <v>0</v>
      </c>
      <c r="T7" s="701" t="s">
        <v>14</v>
      </c>
      <c r="U7" s="702">
        <f t="shared" ref="U7:U14" si="1">H7</f>
        <v>0</v>
      </c>
      <c r="V7" s="701" t="s">
        <v>14</v>
      </c>
      <c r="W7" s="702">
        <f t="shared" ref="W7:W14" si="2">J7</f>
        <v>0</v>
      </c>
      <c r="X7" s="703"/>
      <c r="Y7" s="3700" t="s">
        <v>1680</v>
      </c>
      <c r="Z7" s="370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0" t="s">
        <v>1683</v>
      </c>
      <c r="Q8" s="3701"/>
      <c r="R8" s="701" t="s">
        <v>14</v>
      </c>
      <c r="S8" s="702">
        <f t="shared" si="0"/>
        <v>100</v>
      </c>
      <c r="T8" s="701" t="s">
        <v>14</v>
      </c>
      <c r="U8" s="702">
        <f t="shared" si="1"/>
        <v>100</v>
      </c>
      <c r="V8" s="701" t="s">
        <v>14</v>
      </c>
      <c r="W8" s="702">
        <f t="shared" si="2"/>
        <v>100</v>
      </c>
      <c r="X8" s="703"/>
      <c r="Y8" s="3700" t="s">
        <v>1683</v>
      </c>
      <c r="Z8" s="370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1" t="s">
        <v>1686</v>
      </c>
      <c r="Q9" s="1341"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1"/>
      <c r="Q10" s="1341"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1"/>
      <c r="Q11" s="1341">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5" t="s">
        <v>14</v>
      </c>
      <c r="S14" s="706">
        <f t="shared" si="0"/>
        <v>100</v>
      </c>
      <c r="T14" s="705" t="s">
        <v>14</v>
      </c>
      <c r="U14" s="706">
        <f t="shared" si="1"/>
        <v>100</v>
      </c>
      <c r="V14" s="705" t="s">
        <v>14</v>
      </c>
      <c r="W14" s="706">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5"/>
      <c r="S15" s="706"/>
      <c r="T15" s="705"/>
      <c r="U15" s="706"/>
      <c r="V15" s="705"/>
      <c r="W15" s="706"/>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5" t="s">
        <v>14</v>
      </c>
      <c r="S16" s="706">
        <f>F16</f>
        <v>100</v>
      </c>
      <c r="T16" s="705" t="s">
        <v>14</v>
      </c>
      <c r="U16" s="706">
        <f>H16</f>
        <v>100</v>
      </c>
      <c r="V16" s="705" t="s">
        <v>14</v>
      </c>
      <c r="W16" s="706">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5"/>
      <c r="S17" s="706"/>
      <c r="T17" s="705"/>
      <c r="U17" s="706"/>
      <c r="V17" s="705"/>
      <c r="W17" s="706"/>
      <c r="X17" s="1353"/>
      <c r="Y17" s="3669"/>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5" t="s">
        <v>14</v>
      </c>
      <c r="S18" s="706">
        <f>F18</f>
        <v>100</v>
      </c>
      <c r="T18" s="705" t="s">
        <v>14</v>
      </c>
      <c r="U18" s="706">
        <f>H18</f>
        <v>100</v>
      </c>
      <c r="V18" s="705" t="s">
        <v>14</v>
      </c>
      <c r="W18" s="706">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669"/>
      <c r="Q19" s="1350"/>
      <c r="R19" s="705"/>
      <c r="S19" s="706"/>
      <c r="T19" s="705"/>
      <c r="U19" s="706"/>
      <c r="V19" s="705"/>
      <c r="W19" s="706"/>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5" t="s">
        <v>14</v>
      </c>
      <c r="S20" s="706">
        <f>F20</f>
        <v>100</v>
      </c>
      <c r="T20" s="705" t="s">
        <v>14</v>
      </c>
      <c r="U20" s="706">
        <f>H20</f>
        <v>100</v>
      </c>
      <c r="V20" s="705" t="s">
        <v>14</v>
      </c>
      <c r="W20" s="706">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5"/>
      <c r="S21" s="706"/>
      <c r="T21" s="705"/>
      <c r="U21" s="706"/>
      <c r="V21" s="705"/>
      <c r="W21" s="706"/>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5" t="s">
        <v>14</v>
      </c>
      <c r="S22" s="706">
        <f>F22</f>
        <v>100</v>
      </c>
      <c r="T22" s="705" t="s">
        <v>14</v>
      </c>
      <c r="U22" s="706">
        <f>H22</f>
        <v>100</v>
      </c>
      <c r="V22" s="705" t="s">
        <v>14</v>
      </c>
      <c r="W22" s="706">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5" t="s">
        <v>14</v>
      </c>
      <c r="S23" s="706">
        <f>F23</f>
        <v>100</v>
      </c>
      <c r="T23" s="705" t="s">
        <v>14</v>
      </c>
      <c r="U23" s="706">
        <f>H23</f>
        <v>100</v>
      </c>
      <c r="V23" s="705" t="s">
        <v>14</v>
      </c>
      <c r="W23" s="706">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5" t="s">
        <v>14</v>
      </c>
      <c r="S24" s="706">
        <f>F24</f>
        <v>100</v>
      </c>
      <c r="T24" s="705" t="s">
        <v>14</v>
      </c>
      <c r="U24" s="706">
        <f>H24</f>
        <v>100</v>
      </c>
      <c r="V24" s="705" t="s">
        <v>14</v>
      </c>
      <c r="W24" s="706">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701" t="s">
        <v>14</v>
      </c>
      <c r="S25" s="702">
        <f>F25</f>
        <v>100</v>
      </c>
      <c r="T25" s="701" t="s">
        <v>14</v>
      </c>
      <c r="U25" s="702">
        <f>H25</f>
        <v>100</v>
      </c>
      <c r="V25" s="701" t="s">
        <v>14</v>
      </c>
      <c r="W25" s="702">
        <f>J25</f>
        <v>100</v>
      </c>
      <c r="X25" s="703"/>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45"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5" t="s">
        <v>14</v>
      </c>
      <c r="S28" s="706">
        <f t="shared" si="12"/>
        <v>100</v>
      </c>
      <c r="T28" s="705" t="s">
        <v>14</v>
      </c>
      <c r="U28" s="706">
        <f t="shared" si="13"/>
        <v>100</v>
      </c>
      <c r="V28" s="705" t="s">
        <v>14</v>
      </c>
      <c r="W28" s="706">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5" t="s">
        <v>14</v>
      </c>
      <c r="S29" s="706">
        <f t="shared" si="12"/>
        <v>100</v>
      </c>
      <c r="T29" s="705" t="s">
        <v>14</v>
      </c>
      <c r="U29" s="706">
        <f t="shared" si="13"/>
        <v>100</v>
      </c>
      <c r="V29" s="705" t="s">
        <v>14</v>
      </c>
      <c r="W29" s="706">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5" t="s">
        <v>14</v>
      </c>
      <c r="S30" s="706" t="e">
        <f t="shared" si="12"/>
        <v>#N/A</v>
      </c>
      <c r="T30" s="705" t="s">
        <v>14</v>
      </c>
      <c r="U30" s="706" t="e">
        <f t="shared" si="13"/>
        <v>#N/A</v>
      </c>
      <c r="V30" s="705" t="s">
        <v>14</v>
      </c>
      <c r="W30" s="706"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5" t="s">
        <v>14</v>
      </c>
      <c r="S32" s="706">
        <f t="shared" si="12"/>
        <v>100</v>
      </c>
      <c r="T32" s="705" t="s">
        <v>14</v>
      </c>
      <c r="U32" s="706">
        <f t="shared" si="13"/>
        <v>100</v>
      </c>
      <c r="V32" s="705" t="s">
        <v>14</v>
      </c>
      <c r="W32" s="706">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5" t="s">
        <v>14</v>
      </c>
      <c r="S33" s="706">
        <f t="shared" si="12"/>
        <v>100</v>
      </c>
      <c r="T33" s="705" t="s">
        <v>14</v>
      </c>
      <c r="U33" s="706">
        <f t="shared" si="13"/>
        <v>100</v>
      </c>
      <c r="V33" s="705" t="s">
        <v>14</v>
      </c>
      <c r="W33" s="706">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5" t="s">
        <v>14</v>
      </c>
      <c r="S34" s="706">
        <f t="shared" si="12"/>
        <v>100</v>
      </c>
      <c r="T34" s="705" t="s">
        <v>14</v>
      </c>
      <c r="U34" s="706">
        <f t="shared" si="13"/>
        <v>100</v>
      </c>
      <c r="V34" s="705" t="s">
        <v>14</v>
      </c>
      <c r="W34" s="706">
        <f t="shared" si="14"/>
        <v>100</v>
      </c>
      <c r="X34" s="1353"/>
      <c r="Y34" s="3673"/>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4"/>
      <c r="L35" s="2722"/>
      <c r="M35" s="2723"/>
      <c r="N35" s="2714"/>
      <c r="O35" s="2723"/>
      <c r="P35" s="3661" t="str">
        <f>A35</f>
        <v>成交单价（元/平方米）</v>
      </c>
      <c r="Q35" s="3661"/>
      <c r="R35" s="3662">
        <f>E35</f>
        <v>0</v>
      </c>
      <c r="S35" s="3662"/>
      <c r="T35" s="3662">
        <f>G35</f>
        <v>0</v>
      </c>
      <c r="U35" s="3662"/>
      <c r="V35" s="3662">
        <f>I35</f>
        <v>0</v>
      </c>
      <c r="W35" s="3662"/>
      <c r="X35" s="690"/>
      <c r="Y35" s="712"/>
      <c r="Z35" s="690"/>
      <c r="AA35" s="690"/>
      <c r="AB35" s="690"/>
      <c r="AC35" s="690"/>
    </row>
    <row r="36" spans="1:30" ht="15.75" thickBot="1">
      <c r="A36" s="437" t="s">
        <v>1793</v>
      </c>
      <c r="B36" s="438"/>
      <c r="C36" s="1159" t="e">
        <f>R37</f>
        <v>#DIV/0!</v>
      </c>
      <c r="D36" s="2315" t="s">
        <v>2133</v>
      </c>
      <c r="E36" s="1160" t="e">
        <f>R36</f>
        <v>#DIV/0!</v>
      </c>
      <c r="F36" s="2316"/>
      <c r="G36" s="1159" t="e">
        <f>T36</f>
        <v>#DIV/0!</v>
      </c>
      <c r="H36" s="2316"/>
      <c r="I36" s="1160" t="e">
        <f>V36</f>
        <v>#DIV/0!</v>
      </c>
      <c r="J36" s="2316"/>
      <c r="K36" s="2318">
        <f>F36+H36+J36</f>
        <v>0</v>
      </c>
      <c r="L36" s="2722"/>
      <c r="M36" s="2723"/>
      <c r="N36" s="2714"/>
      <c r="O36" s="2723"/>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663" t="str">
        <f>A37</f>
        <v>估价对象XX用房的比较价值（楼面单价，元/平方米）</v>
      </c>
      <c r="Q37" s="3664"/>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30" ht="15">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30" ht="15.75" thickBot="1">
      <c r="A6" s="360"/>
      <c r="B6" s="361"/>
      <c r="C6" s="3696" t="s">
        <v>1677</v>
      </c>
      <c r="D6" s="3697"/>
      <c r="E6" s="3704" t="s">
        <v>1677</v>
      </c>
      <c r="F6" s="3705"/>
      <c r="G6" s="3696" t="s">
        <v>1677</v>
      </c>
      <c r="H6" s="3697"/>
      <c r="I6" s="3696" t="s">
        <v>1677</v>
      </c>
      <c r="J6" s="3697"/>
      <c r="K6" s="559" t="s">
        <v>1678</v>
      </c>
      <c r="L6" s="2713"/>
      <c r="M6" s="2714"/>
      <c r="N6" s="2714"/>
      <c r="O6" s="2714"/>
      <c r="P6" s="3688"/>
      <c r="Q6" s="3689"/>
      <c r="R6" s="3692"/>
      <c r="S6" s="3693"/>
      <c r="T6" s="3694"/>
      <c r="U6" s="3695"/>
      <c r="V6" s="3675"/>
      <c r="W6" s="3675"/>
      <c r="X6" s="1353"/>
      <c r="Y6" s="3694"/>
      <c r="Z6" s="3695"/>
      <c r="AA6" s="3679"/>
      <c r="AB6" s="3679"/>
      <c r="AC6" s="3679"/>
    </row>
    <row r="7" spans="1:30" s="108" customFormat="1" ht="15.75" thickBot="1">
      <c r="A7" s="362" t="s">
        <v>1679</v>
      </c>
      <c r="B7" s="363"/>
      <c r="C7" s="364">
        <f>'数据-取费表'!B2</f>
        <v>45322</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0" t="s">
        <v>1683</v>
      </c>
      <c r="Q8" s="3701"/>
      <c r="R8" s="701" t="s">
        <v>14</v>
      </c>
      <c r="S8" s="702">
        <f t="shared" si="0"/>
        <v>0</v>
      </c>
      <c r="T8" s="701" t="s">
        <v>14</v>
      </c>
      <c r="U8" s="702">
        <f t="shared" si="1"/>
        <v>0</v>
      </c>
      <c r="V8" s="701" t="s">
        <v>14</v>
      </c>
      <c r="W8" s="702">
        <f t="shared" si="2"/>
        <v>0</v>
      </c>
      <c r="X8" s="703"/>
      <c r="Y8" s="3700" t="s">
        <v>1683</v>
      </c>
      <c r="Z8" s="3701"/>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1"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661"/>
      <c r="Q10" s="1341" t="str">
        <f t="shared" si="6"/>
        <v>土地使用年限（年）</v>
      </c>
      <c r="R10" s="701" t="s">
        <v>14</v>
      </c>
      <c r="S10" s="702">
        <f t="shared" si="0"/>
        <v>110</v>
      </c>
      <c r="T10" s="701" t="s">
        <v>14</v>
      </c>
      <c r="U10" s="702">
        <f t="shared" si="1"/>
        <v>110</v>
      </c>
      <c r="V10" s="701" t="s">
        <v>14</v>
      </c>
      <c r="W10" s="702">
        <f t="shared" si="2"/>
        <v>110</v>
      </c>
      <c r="X10" s="703"/>
      <c r="Y10" s="3554"/>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1"/>
      <c r="Q11" s="1341"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1"/>
      <c r="Q12" s="1341"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1"/>
      <c r="Q14" s="1341">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5" t="s">
        <v>14</v>
      </c>
      <c r="S15" s="706">
        <f t="shared" si="0"/>
        <v>100</v>
      </c>
      <c r="T15" s="705" t="s">
        <v>14</v>
      </c>
      <c r="U15" s="706">
        <f t="shared" si="1"/>
        <v>100</v>
      </c>
      <c r="V15" s="705" t="s">
        <v>14</v>
      </c>
      <c r="W15" s="706">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5"/>
      <c r="S16" s="706"/>
      <c r="T16" s="705"/>
      <c r="U16" s="706"/>
      <c r="V16" s="705"/>
      <c r="W16" s="706"/>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5" t="s">
        <v>14</v>
      </c>
      <c r="S17" s="706">
        <f>F17</f>
        <v>100</v>
      </c>
      <c r="T17" s="705" t="s">
        <v>14</v>
      </c>
      <c r="U17" s="706">
        <f>H17</f>
        <v>100</v>
      </c>
      <c r="V17" s="705" t="s">
        <v>14</v>
      </c>
      <c r="W17" s="706">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5"/>
      <c r="S18" s="706"/>
      <c r="T18" s="705"/>
      <c r="U18" s="706"/>
      <c r="V18" s="705"/>
      <c r="W18" s="706"/>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5" t="s">
        <v>14</v>
      </c>
      <c r="S19" s="706">
        <f>F19</f>
        <v>100</v>
      </c>
      <c r="T19" s="705" t="s">
        <v>14</v>
      </c>
      <c r="U19" s="706">
        <f>H19</f>
        <v>100</v>
      </c>
      <c r="V19" s="705" t="s">
        <v>14</v>
      </c>
      <c r="W19" s="706">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5"/>
      <c r="S20" s="706"/>
      <c r="T20" s="705"/>
      <c r="U20" s="706"/>
      <c r="V20" s="705"/>
      <c r="W20" s="706"/>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5" t="s">
        <v>14</v>
      </c>
      <c r="S21" s="706">
        <f>F21</f>
        <v>100</v>
      </c>
      <c r="T21" s="705" t="s">
        <v>14</v>
      </c>
      <c r="U21" s="706">
        <f>H21</f>
        <v>100</v>
      </c>
      <c r="V21" s="705" t="s">
        <v>14</v>
      </c>
      <c r="W21" s="706">
        <f>J21</f>
        <v>100</v>
      </c>
      <c r="X21" s="1353"/>
      <c r="Y21" s="3669"/>
      <c r="Z21" s="1354" t="str">
        <f>Q21</f>
        <v>交通便捷度</v>
      </c>
      <c r="AA21" s="1351">
        <f t="shared" si="3"/>
        <v>1</v>
      </c>
      <c r="AB21" s="1351">
        <f t="shared" si="4"/>
        <v>1</v>
      </c>
      <c r="AC21" s="1351">
        <f t="shared" si="5"/>
        <v>1</v>
      </c>
    </row>
    <row r="22" spans="1:29" ht="15">
      <c r="A22" s="379"/>
      <c r="B22" s="1130"/>
      <c r="C22" s="398"/>
      <c r="D22" s="401"/>
      <c r="E22" s="1896"/>
      <c r="F22" s="399"/>
      <c r="G22" s="1896"/>
      <c r="H22" s="399"/>
      <c r="I22" s="1895"/>
      <c r="J22" s="399"/>
      <c r="K22" s="620"/>
      <c r="L22" s="2720"/>
      <c r="M22" s="2714"/>
      <c r="N22" s="2714"/>
      <c r="O22" s="2772"/>
      <c r="P22" s="3669"/>
      <c r="Q22" s="1350"/>
      <c r="R22" s="705"/>
      <c r="S22" s="706"/>
      <c r="T22" s="705"/>
      <c r="U22" s="706"/>
      <c r="V22" s="705"/>
      <c r="W22" s="706"/>
      <c r="X22" s="1353"/>
      <c r="Y22" s="3669"/>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5" t="s">
        <v>14</v>
      </c>
      <c r="S23" s="706">
        <f>F23</f>
        <v>100</v>
      </c>
      <c r="T23" s="705" t="s">
        <v>14</v>
      </c>
      <c r="U23" s="706">
        <f>H23</f>
        <v>100</v>
      </c>
      <c r="V23" s="705" t="s">
        <v>14</v>
      </c>
      <c r="W23" s="706">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669"/>
      <c r="Q24" s="1350"/>
      <c r="R24" s="705"/>
      <c r="S24" s="706"/>
      <c r="T24" s="705"/>
      <c r="U24" s="706"/>
      <c r="V24" s="705"/>
      <c r="W24" s="706"/>
      <c r="X24" s="1353"/>
      <c r="Y24" s="3669"/>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5" t="s">
        <v>14</v>
      </c>
      <c r="S25" s="706">
        <f>F25</f>
        <v>100</v>
      </c>
      <c r="T25" s="705" t="s">
        <v>14</v>
      </c>
      <c r="U25" s="706">
        <f>H25</f>
        <v>100</v>
      </c>
      <c r="V25" s="705" t="s">
        <v>14</v>
      </c>
      <c r="W25" s="706">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5"/>
      <c r="S26" s="706"/>
      <c r="T26" s="705"/>
      <c r="U26" s="706"/>
      <c r="V26" s="705"/>
      <c r="W26" s="706"/>
      <c r="X26" s="1353"/>
      <c r="Y26" s="3669"/>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701" t="s">
        <v>14</v>
      </c>
      <c r="S27" s="702">
        <f>F27</f>
        <v>100</v>
      </c>
      <c r="T27" s="701" t="s">
        <v>14</v>
      </c>
      <c r="U27" s="702">
        <f>H27</f>
        <v>100</v>
      </c>
      <c r="V27" s="701" t="s">
        <v>14</v>
      </c>
      <c r="W27" s="702">
        <f>J27</f>
        <v>100</v>
      </c>
      <c r="X27" s="703"/>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701"/>
      <c r="S28" s="702"/>
      <c r="T28" s="701"/>
      <c r="U28" s="702"/>
      <c r="V28" s="701"/>
      <c r="W28" s="702"/>
      <c r="X28" s="703"/>
      <c r="Y28" s="3669"/>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701"/>
      <c r="S30" s="702"/>
      <c r="T30" s="701"/>
      <c r="U30" s="702"/>
      <c r="V30" s="701"/>
      <c r="W30" s="702"/>
      <c r="X30" s="703"/>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669"/>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5" t="s">
        <v>14</v>
      </c>
      <c r="S32" s="706">
        <f t="shared" si="10"/>
        <v>100</v>
      </c>
      <c r="T32" s="705" t="s">
        <v>14</v>
      </c>
      <c r="U32" s="706">
        <f t="shared" si="11"/>
        <v>100</v>
      </c>
      <c r="V32" s="705" t="s">
        <v>14</v>
      </c>
      <c r="W32" s="706">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5"/>
      <c r="S33" s="706"/>
      <c r="T33" s="705"/>
      <c r="U33" s="706"/>
      <c r="V33" s="705"/>
      <c r="W33" s="706"/>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5" t="s">
        <v>14</v>
      </c>
      <c r="S34" s="706">
        <f t="shared" si="10"/>
        <v>100</v>
      </c>
      <c r="T34" s="705" t="s">
        <v>14</v>
      </c>
      <c r="U34" s="706">
        <f t="shared" si="11"/>
        <v>100</v>
      </c>
      <c r="V34" s="705" t="s">
        <v>14</v>
      </c>
      <c r="W34" s="706">
        <f t="shared" si="12"/>
        <v>100</v>
      </c>
      <c r="X34" s="1353"/>
      <c r="Y34" s="3669"/>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5" t="s">
        <v>14</v>
      </c>
      <c r="S35" s="706">
        <f t="shared" si="10"/>
        <v>100</v>
      </c>
      <c r="T35" s="705" t="s">
        <v>14</v>
      </c>
      <c r="U35" s="706">
        <f t="shared" si="11"/>
        <v>100</v>
      </c>
      <c r="V35" s="705" t="s">
        <v>14</v>
      </c>
      <c r="W35" s="706">
        <f t="shared" si="12"/>
        <v>100</v>
      </c>
      <c r="X35" s="1353"/>
      <c r="Y35" s="3669"/>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45" t="s">
        <v>1696</v>
      </c>
      <c r="Q36" s="1350">
        <f t="shared" si="8"/>
        <v>111</v>
      </c>
      <c r="R36" s="705" t="s">
        <v>14</v>
      </c>
      <c r="S36" s="706">
        <f t="shared" si="10"/>
        <v>100</v>
      </c>
      <c r="T36" s="705" t="s">
        <v>14</v>
      </c>
      <c r="U36" s="706">
        <f t="shared" si="11"/>
        <v>100</v>
      </c>
      <c r="V36" s="705" t="s">
        <v>14</v>
      </c>
      <c r="W36" s="706">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8" t="s">
        <v>14</v>
      </c>
      <c r="S37" s="709">
        <f t="shared" si="10"/>
        <v>100</v>
      </c>
      <c r="T37" s="708" t="s">
        <v>14</v>
      </c>
      <c r="U37" s="709">
        <f t="shared" si="11"/>
        <v>100</v>
      </c>
      <c r="V37" s="708" t="s">
        <v>14</v>
      </c>
      <c r="W37" s="709">
        <f t="shared" si="12"/>
        <v>100</v>
      </c>
      <c r="X37" s="710"/>
      <c r="Y37" s="3673"/>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5" t="s">
        <v>14</v>
      </c>
      <c r="S38" s="706" t="e">
        <f t="shared" si="10"/>
        <v>#N/A</v>
      </c>
      <c r="T38" s="705" t="s">
        <v>14</v>
      </c>
      <c r="U38" s="706" t="e">
        <f t="shared" si="11"/>
        <v>#N/A</v>
      </c>
      <c r="V38" s="705" t="s">
        <v>14</v>
      </c>
      <c r="W38" s="706"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5" t="s">
        <v>14</v>
      </c>
      <c r="S39" s="706">
        <f t="shared" si="10"/>
        <v>100</v>
      </c>
      <c r="T39" s="705" t="s">
        <v>14</v>
      </c>
      <c r="U39" s="706">
        <f t="shared" si="11"/>
        <v>100</v>
      </c>
      <c r="V39" s="705" t="s">
        <v>14</v>
      </c>
      <c r="W39" s="706">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5" t="s">
        <v>14</v>
      </c>
      <c r="S40" s="706">
        <f t="shared" si="10"/>
        <v>100</v>
      </c>
      <c r="T40" s="705" t="s">
        <v>14</v>
      </c>
      <c r="U40" s="706">
        <f t="shared" si="11"/>
        <v>100</v>
      </c>
      <c r="V40" s="705" t="s">
        <v>14</v>
      </c>
      <c r="W40" s="706">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5" t="s">
        <v>14</v>
      </c>
      <c r="S42" s="706">
        <f t="shared" si="10"/>
        <v>100</v>
      </c>
      <c r="T42" s="705" t="s">
        <v>14</v>
      </c>
      <c r="U42" s="706">
        <f t="shared" si="11"/>
        <v>100</v>
      </c>
      <c r="V42" s="705" t="s">
        <v>14</v>
      </c>
      <c r="W42" s="706">
        <f t="shared" si="12"/>
        <v>100</v>
      </c>
      <c r="X42" s="1353"/>
      <c r="Y42" s="3673"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5" t="s">
        <v>14</v>
      </c>
      <c r="S43" s="706">
        <f t="shared" si="10"/>
        <v>100</v>
      </c>
      <c r="T43" s="705" t="s">
        <v>14</v>
      </c>
      <c r="U43" s="706">
        <f t="shared" si="11"/>
        <v>100</v>
      </c>
      <c r="V43" s="705" t="s">
        <v>14</v>
      </c>
      <c r="W43" s="706">
        <f t="shared" si="12"/>
        <v>100</v>
      </c>
      <c r="X43" s="1353"/>
      <c r="Y43" s="3673"/>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5" t="s">
        <v>14</v>
      </c>
      <c r="S44" s="706">
        <f t="shared" si="10"/>
        <v>100</v>
      </c>
      <c r="T44" s="705" t="s">
        <v>14</v>
      </c>
      <c r="U44" s="706">
        <f t="shared" si="11"/>
        <v>100</v>
      </c>
      <c r="V44" s="705" t="s">
        <v>14</v>
      </c>
      <c r="W44" s="706">
        <f t="shared" si="12"/>
        <v>100</v>
      </c>
      <c r="X44" s="1353"/>
      <c r="Y44" s="3673"/>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8" t="s">
        <v>14</v>
      </c>
      <c r="S45" s="709">
        <f t="shared" si="10"/>
        <v>100</v>
      </c>
      <c r="T45" s="708" t="s">
        <v>14</v>
      </c>
      <c r="U45" s="709">
        <f t="shared" si="11"/>
        <v>100</v>
      </c>
      <c r="V45" s="708" t="s">
        <v>14</v>
      </c>
      <c r="W45" s="709">
        <f t="shared" si="12"/>
        <v>100</v>
      </c>
      <c r="X45" s="710"/>
      <c r="Y45" s="3673"/>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2"/>
      <c r="M46" s="2723"/>
      <c r="N46" s="2714"/>
      <c r="O46" s="2723"/>
      <c r="P46" s="3661" t="str">
        <f>A46</f>
        <v>成交单价</v>
      </c>
      <c r="Q46" s="3661"/>
      <c r="R46" s="3675">
        <f>E46</f>
        <v>0</v>
      </c>
      <c r="S46" s="3675"/>
      <c r="T46" s="3675">
        <f>G46</f>
        <v>0</v>
      </c>
      <c r="U46" s="3675"/>
      <c r="V46" s="3675">
        <f>I46</f>
        <v>0</v>
      </c>
      <c r="W46" s="3675"/>
      <c r="X46" s="690"/>
      <c r="Y46" s="712"/>
      <c r="Z46" s="690"/>
      <c r="AA46" s="690"/>
      <c r="AB46" s="690"/>
      <c r="AC46" s="690"/>
    </row>
    <row r="47" spans="1:29" ht="15.75" thickBot="1">
      <c r="A47" s="437" t="s">
        <v>1793</v>
      </c>
      <c r="B47" s="631"/>
      <c r="C47" s="440" t="e">
        <f>R48</f>
        <v>#DIV/0!</v>
      </c>
      <c r="D47" s="2315" t="s">
        <v>2133</v>
      </c>
      <c r="E47" s="440" t="e">
        <f>R47</f>
        <v>#DIV/0!</v>
      </c>
      <c r="F47" s="2316"/>
      <c r="G47" s="439" t="e">
        <f>T47</f>
        <v>#DIV/0!</v>
      </c>
      <c r="H47" s="2316"/>
      <c r="I47" s="440" t="e">
        <f>V47</f>
        <v>#DIV/0!</v>
      </c>
      <c r="J47" s="2316"/>
      <c r="K47" s="2318">
        <f>F47+H47+J47</f>
        <v>0</v>
      </c>
      <c r="L47" s="2722"/>
      <c r="M47" s="2723"/>
      <c r="N47" s="2723"/>
      <c r="O47" s="2723"/>
      <c r="P47" s="3661" t="str">
        <f>A47</f>
        <v>比较价值（元/平方米）</v>
      </c>
      <c r="Q47" s="3661"/>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3" t="str">
        <f>A48</f>
        <v>估价对象XX用房的比较价值（楼面单价，元/平方米）</v>
      </c>
      <c r="Q48" s="3664"/>
      <c r="R48" s="3748" t="e">
        <f>ROUND(IF(D47="简单平均",AVERAGE(R47:W47),R47*F47+T47*H47+V47*J47),0)</f>
        <v>#DIV/0!</v>
      </c>
      <c r="S48" s="3748"/>
      <c r="T48" s="3748"/>
      <c r="U48" s="3748"/>
      <c r="V48" s="3748"/>
      <c r="W48" s="3748"/>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80" t="s">
        <v>1887</v>
      </c>
      <c r="H55" s="374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87.01</v>
      </c>
      <c r="F56" s="886" t="e">
        <f t="shared" ref="F56:F64" si="15">ROUND(B56*E56/10000,0)</f>
        <v>#DIV/0!</v>
      </c>
      <c r="G56" s="3676"/>
      <c r="H56" s="3661"/>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3"/>
      <c r="M4" s="2714"/>
      <c r="N4" s="2714"/>
      <c r="O4" s="2714"/>
      <c r="P4" s="3684" t="s">
        <v>1775</v>
      </c>
      <c r="Q4" s="3685"/>
      <c r="R4" s="3690" t="s">
        <v>1771</v>
      </c>
      <c r="S4" s="3691"/>
      <c r="T4" s="3690" t="s">
        <v>1772</v>
      </c>
      <c r="U4" s="3691"/>
      <c r="V4" s="3675" t="s">
        <v>1773</v>
      </c>
      <c r="W4" s="3675"/>
      <c r="X4" s="1353"/>
      <c r="Y4" s="3690" t="s">
        <v>1775</v>
      </c>
      <c r="Z4" s="3691"/>
      <c r="AA4" s="3677" t="s">
        <v>1771</v>
      </c>
      <c r="AB4" s="3678" t="s">
        <v>1772</v>
      </c>
      <c r="AC4" s="3677" t="s">
        <v>1773</v>
      </c>
    </row>
    <row r="5" spans="1:29" ht="15">
      <c r="A5" s="358"/>
      <c r="B5" s="359"/>
      <c r="C5" s="3698" t="s">
        <v>1673</v>
      </c>
      <c r="D5" s="3699"/>
      <c r="E5" s="3729" t="s">
        <v>1674</v>
      </c>
      <c r="F5" s="3707"/>
      <c r="G5" s="3698" t="s">
        <v>1675</v>
      </c>
      <c r="H5" s="3699"/>
      <c r="I5" s="3698" t="s">
        <v>1676</v>
      </c>
      <c r="J5" s="3699"/>
      <c r="K5" s="559"/>
      <c r="L5" s="2713"/>
      <c r="M5" s="2714"/>
      <c r="N5" s="2714"/>
      <c r="O5" s="2714"/>
      <c r="P5" s="3686"/>
      <c r="Q5" s="3687"/>
      <c r="R5" s="3692"/>
      <c r="S5" s="3693"/>
      <c r="T5" s="3692"/>
      <c r="U5" s="3693"/>
      <c r="V5" s="3675"/>
      <c r="W5" s="3675"/>
      <c r="X5" s="1353"/>
      <c r="Y5" s="3692"/>
      <c r="Z5" s="3693"/>
      <c r="AA5" s="3678"/>
      <c r="AB5" s="3678"/>
      <c r="AC5" s="3678"/>
    </row>
    <row r="6" spans="1:29" ht="15.75" thickBot="1">
      <c r="A6" s="360"/>
      <c r="B6" s="361"/>
      <c r="C6" s="3750" t="s">
        <v>1919</v>
      </c>
      <c r="D6" s="3751"/>
      <c r="E6" s="3752" t="s">
        <v>1919</v>
      </c>
      <c r="F6" s="3753"/>
      <c r="G6" s="3750" t="s">
        <v>1919</v>
      </c>
      <c r="H6" s="3751"/>
      <c r="I6" s="3750" t="s">
        <v>1919</v>
      </c>
      <c r="J6" s="3751"/>
      <c r="K6" s="559" t="s">
        <v>1678</v>
      </c>
      <c r="L6" s="2713"/>
      <c r="M6" s="2714"/>
      <c r="N6" s="2714"/>
      <c r="O6" s="2714"/>
      <c r="P6" s="3688"/>
      <c r="Q6" s="3689"/>
      <c r="R6" s="3692"/>
      <c r="S6" s="3693"/>
      <c r="T6" s="3694"/>
      <c r="U6" s="3695"/>
      <c r="V6" s="3675"/>
      <c r="W6" s="3675"/>
      <c r="X6" s="1353"/>
      <c r="Y6" s="3694"/>
      <c r="Z6" s="3695"/>
      <c r="AA6" s="3679"/>
      <c r="AB6" s="3679"/>
      <c r="AC6" s="3679"/>
    </row>
    <row r="7" spans="1:29" s="108" customFormat="1" ht="15.75" thickBot="1">
      <c r="A7" s="362" t="s">
        <v>1679</v>
      </c>
      <c r="B7" s="363"/>
      <c r="C7" s="364">
        <f>'数据-取费表'!B2</f>
        <v>45322</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0" t="s">
        <v>1680</v>
      </c>
      <c r="Q7" s="3702"/>
      <c r="R7" s="701" t="s">
        <v>14</v>
      </c>
      <c r="S7" s="702">
        <f t="shared" ref="S7:S15" si="0">F7</f>
        <v>0</v>
      </c>
      <c r="T7" s="701" t="s">
        <v>14</v>
      </c>
      <c r="U7" s="702">
        <f t="shared" ref="U7:U15" si="1">H7</f>
        <v>0</v>
      </c>
      <c r="V7" s="701" t="s">
        <v>14</v>
      </c>
      <c r="W7" s="702">
        <f t="shared" ref="W7:W15" si="2">J7</f>
        <v>0</v>
      </c>
      <c r="X7" s="703"/>
      <c r="Y7" s="3700" t="s">
        <v>1680</v>
      </c>
      <c r="Z7" s="370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0" t="s">
        <v>1683</v>
      </c>
      <c r="Q8" s="3701"/>
      <c r="R8" s="701" t="s">
        <v>14</v>
      </c>
      <c r="S8" s="702">
        <f t="shared" si="0"/>
        <v>0</v>
      </c>
      <c r="T8" s="701" t="s">
        <v>14</v>
      </c>
      <c r="U8" s="702">
        <f t="shared" si="1"/>
        <v>0</v>
      </c>
      <c r="V8" s="701" t="s">
        <v>14</v>
      </c>
      <c r="W8" s="702">
        <f t="shared" si="2"/>
        <v>0</v>
      </c>
      <c r="X8" s="703"/>
      <c r="Y8" s="3700" t="s">
        <v>1683</v>
      </c>
      <c r="Z8" s="3701"/>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1" t="s">
        <v>1686</v>
      </c>
      <c r="Q9" s="1341"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661"/>
      <c r="Q10" s="1341" t="str">
        <f t="shared" si="6"/>
        <v>土地使用年限（年）</v>
      </c>
      <c r="R10" s="701" t="s">
        <v>14</v>
      </c>
      <c r="S10" s="702">
        <f t="shared" si="0"/>
        <v>110</v>
      </c>
      <c r="T10" s="701" t="s">
        <v>14</v>
      </c>
      <c r="U10" s="702">
        <f t="shared" si="1"/>
        <v>110</v>
      </c>
      <c r="V10" s="701" t="s">
        <v>14</v>
      </c>
      <c r="W10" s="702">
        <f t="shared" si="2"/>
        <v>110</v>
      </c>
      <c r="X10" s="703"/>
      <c r="Y10" s="3554"/>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1"/>
      <c r="Q11" s="1341"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1"/>
      <c r="Q12" s="1341">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1"/>
      <c r="Q13" s="1341">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1"/>
      <c r="Q14" s="1341">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5" t="s">
        <v>14</v>
      </c>
      <c r="S15" s="706">
        <f t="shared" si="0"/>
        <v>100</v>
      </c>
      <c r="T15" s="705" t="s">
        <v>14</v>
      </c>
      <c r="U15" s="706">
        <f t="shared" si="1"/>
        <v>100</v>
      </c>
      <c r="V15" s="705" t="s">
        <v>14</v>
      </c>
      <c r="W15" s="706">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5"/>
      <c r="S16" s="706"/>
      <c r="T16" s="705"/>
      <c r="U16" s="706"/>
      <c r="V16" s="705"/>
      <c r="W16" s="706"/>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5" t="s">
        <v>14</v>
      </c>
      <c r="S17" s="706">
        <f>F17</f>
        <v>100</v>
      </c>
      <c r="T17" s="705" t="s">
        <v>14</v>
      </c>
      <c r="U17" s="706">
        <f>H17</f>
        <v>100</v>
      </c>
      <c r="V17" s="705" t="s">
        <v>14</v>
      </c>
      <c r="W17" s="706">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5"/>
      <c r="S18" s="706"/>
      <c r="T18" s="705"/>
      <c r="U18" s="706"/>
      <c r="V18" s="705"/>
      <c r="W18" s="706"/>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5" t="s">
        <v>14</v>
      </c>
      <c r="S19" s="706">
        <f>F19</f>
        <v>100</v>
      </c>
      <c r="T19" s="705" t="s">
        <v>14</v>
      </c>
      <c r="U19" s="706">
        <f>H19</f>
        <v>100</v>
      </c>
      <c r="V19" s="705" t="s">
        <v>14</v>
      </c>
      <c r="W19" s="706">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669"/>
      <c r="Q20" s="1350"/>
      <c r="R20" s="705"/>
      <c r="S20" s="706"/>
      <c r="T20" s="705"/>
      <c r="U20" s="706"/>
      <c r="V20" s="705"/>
      <c r="W20" s="706"/>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5" t="s">
        <v>14</v>
      </c>
      <c r="S21" s="706">
        <f>F21</f>
        <v>100</v>
      </c>
      <c r="T21" s="705" t="s">
        <v>14</v>
      </c>
      <c r="U21" s="706">
        <f>H21</f>
        <v>100</v>
      </c>
      <c r="V21" s="705" t="s">
        <v>14</v>
      </c>
      <c r="W21" s="706">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5"/>
      <c r="S22" s="706"/>
      <c r="T22" s="705"/>
      <c r="U22" s="706"/>
      <c r="V22" s="705"/>
      <c r="W22" s="706"/>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701" t="s">
        <v>14</v>
      </c>
      <c r="S23" s="702">
        <f>F23</f>
        <v>100</v>
      </c>
      <c r="T23" s="701" t="s">
        <v>14</v>
      </c>
      <c r="U23" s="702">
        <f>H23</f>
        <v>100</v>
      </c>
      <c r="V23" s="701" t="s">
        <v>14</v>
      </c>
      <c r="W23" s="702">
        <f>J23</f>
        <v>100</v>
      </c>
      <c r="X23" s="703"/>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701"/>
      <c r="S24" s="702"/>
      <c r="T24" s="701"/>
      <c r="U24" s="702"/>
      <c r="V24" s="701"/>
      <c r="W24" s="702"/>
      <c r="X24" s="703"/>
      <c r="Y24" s="3669"/>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5" t="s">
        <v>14</v>
      </c>
      <c r="S28" s="706">
        <f t="shared" si="10"/>
        <v>100</v>
      </c>
      <c r="T28" s="705" t="s">
        <v>14</v>
      </c>
      <c r="U28" s="706">
        <f t="shared" si="11"/>
        <v>100</v>
      </c>
      <c r="V28" s="705" t="s">
        <v>14</v>
      </c>
      <c r="W28" s="706">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5"/>
      <c r="S29" s="706"/>
      <c r="T29" s="705"/>
      <c r="U29" s="706"/>
      <c r="V29" s="705"/>
      <c r="W29" s="706"/>
      <c r="X29" s="1353"/>
      <c r="Y29" s="3669"/>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5" t="s">
        <v>14</v>
      </c>
      <c r="S30" s="706">
        <f t="shared" si="10"/>
        <v>100</v>
      </c>
      <c r="T30" s="705" t="s">
        <v>14</v>
      </c>
      <c r="U30" s="706">
        <f t="shared" si="11"/>
        <v>100</v>
      </c>
      <c r="V30" s="705" t="s">
        <v>14</v>
      </c>
      <c r="W30" s="706">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5" t="s">
        <v>14</v>
      </c>
      <c r="S31" s="706">
        <f t="shared" si="10"/>
        <v>100</v>
      </c>
      <c r="T31" s="705" t="s">
        <v>14</v>
      </c>
      <c r="U31" s="706">
        <f t="shared" si="11"/>
        <v>100</v>
      </c>
      <c r="V31" s="705" t="s">
        <v>14</v>
      </c>
      <c r="W31" s="706">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45" t="s">
        <v>1696</v>
      </c>
      <c r="Q32" s="1350">
        <f t="shared" si="8"/>
        <v>111</v>
      </c>
      <c r="R32" s="705" t="s">
        <v>14</v>
      </c>
      <c r="S32" s="706">
        <f t="shared" si="10"/>
        <v>100</v>
      </c>
      <c r="T32" s="705" t="s">
        <v>14</v>
      </c>
      <c r="U32" s="706">
        <f t="shared" si="11"/>
        <v>100</v>
      </c>
      <c r="V32" s="705" t="s">
        <v>14</v>
      </c>
      <c r="W32" s="706">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8" t="s">
        <v>14</v>
      </c>
      <c r="S33" s="709">
        <f t="shared" si="10"/>
        <v>100</v>
      </c>
      <c r="T33" s="708" t="s">
        <v>14</v>
      </c>
      <c r="U33" s="709">
        <f t="shared" si="11"/>
        <v>100</v>
      </c>
      <c r="V33" s="708" t="s">
        <v>14</v>
      </c>
      <c r="W33" s="709">
        <f t="shared" si="12"/>
        <v>100</v>
      </c>
      <c r="X33" s="710"/>
      <c r="Y33" s="3673"/>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5" t="s">
        <v>14</v>
      </c>
      <c r="S34" s="706" t="e">
        <f t="shared" si="10"/>
        <v>#N/A</v>
      </c>
      <c r="T34" s="705" t="s">
        <v>14</v>
      </c>
      <c r="U34" s="706" t="e">
        <f t="shared" si="11"/>
        <v>#N/A</v>
      </c>
      <c r="V34" s="705" t="s">
        <v>14</v>
      </c>
      <c r="W34" s="706"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5" t="s">
        <v>14</v>
      </c>
      <c r="S35" s="706">
        <f t="shared" si="10"/>
        <v>100</v>
      </c>
      <c r="T35" s="705" t="s">
        <v>14</v>
      </c>
      <c r="U35" s="706">
        <f t="shared" si="11"/>
        <v>100</v>
      </c>
      <c r="V35" s="705" t="s">
        <v>14</v>
      </c>
      <c r="W35" s="706">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5" t="s">
        <v>14</v>
      </c>
      <c r="S37" s="706">
        <f t="shared" si="10"/>
        <v>100</v>
      </c>
      <c r="T37" s="705" t="s">
        <v>14</v>
      </c>
      <c r="U37" s="706">
        <f t="shared" si="11"/>
        <v>100</v>
      </c>
      <c r="V37" s="705" t="s">
        <v>14</v>
      </c>
      <c r="W37" s="706">
        <f t="shared" si="12"/>
        <v>100</v>
      </c>
      <c r="X37" s="1353"/>
      <c r="Y37" s="3673"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5" t="s">
        <v>14</v>
      </c>
      <c r="S38" s="706">
        <f t="shared" si="10"/>
        <v>100</v>
      </c>
      <c r="T38" s="705" t="s">
        <v>14</v>
      </c>
      <c r="U38" s="706">
        <f t="shared" si="11"/>
        <v>100</v>
      </c>
      <c r="V38" s="705" t="s">
        <v>14</v>
      </c>
      <c r="W38" s="706">
        <f t="shared" si="12"/>
        <v>100</v>
      </c>
      <c r="X38" s="1353"/>
      <c r="Y38" s="3673"/>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5" t="s">
        <v>14</v>
      </c>
      <c r="S39" s="706">
        <f t="shared" si="10"/>
        <v>100</v>
      </c>
      <c r="T39" s="705" t="s">
        <v>14</v>
      </c>
      <c r="U39" s="706">
        <f t="shared" si="11"/>
        <v>100</v>
      </c>
      <c r="V39" s="705" t="s">
        <v>14</v>
      </c>
      <c r="W39" s="706">
        <f t="shared" si="12"/>
        <v>100</v>
      </c>
      <c r="X39" s="1353"/>
      <c r="Y39" s="3673"/>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8" t="s">
        <v>14</v>
      </c>
      <c r="S40" s="709">
        <f t="shared" si="10"/>
        <v>100</v>
      </c>
      <c r="T40" s="708" t="s">
        <v>14</v>
      </c>
      <c r="U40" s="709">
        <f t="shared" si="11"/>
        <v>100</v>
      </c>
      <c r="V40" s="708" t="s">
        <v>14</v>
      </c>
      <c r="W40" s="709">
        <f t="shared" si="12"/>
        <v>100</v>
      </c>
      <c r="X40" s="710"/>
      <c r="Y40" s="3673"/>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2"/>
      <c r="M41" s="2714"/>
      <c r="N41" s="2714"/>
      <c r="O41" s="2723"/>
      <c r="P41" s="3661" t="str">
        <f>A41</f>
        <v>成交单价</v>
      </c>
      <c r="Q41" s="3661"/>
      <c r="R41" s="3675">
        <f>E41</f>
        <v>0</v>
      </c>
      <c r="S41" s="3675"/>
      <c r="T41" s="3675">
        <f>G41</f>
        <v>0</v>
      </c>
      <c r="U41" s="3675"/>
      <c r="V41" s="3675">
        <f>I41</f>
        <v>0</v>
      </c>
      <c r="W41" s="3675"/>
      <c r="X41" s="690"/>
      <c r="Y41" s="712"/>
      <c r="Z41" s="690"/>
      <c r="AA41" s="690"/>
      <c r="AB41" s="690"/>
      <c r="AC41" s="690"/>
    </row>
    <row r="42" spans="1:31" ht="15.75" thickBot="1">
      <c r="A42" s="437" t="s">
        <v>1793</v>
      </c>
      <c r="B42" s="631"/>
      <c r="C42" s="440" t="e">
        <f>R43</f>
        <v>#DIV/0!</v>
      </c>
      <c r="D42" s="2315" t="s">
        <v>2133</v>
      </c>
      <c r="E42" s="440" t="e">
        <f>R42</f>
        <v>#DIV/0!</v>
      </c>
      <c r="F42" s="2316"/>
      <c r="G42" s="439" t="e">
        <f>T42</f>
        <v>#DIV/0!</v>
      </c>
      <c r="H42" s="2316"/>
      <c r="I42" s="440" t="e">
        <f>V42</f>
        <v>#DIV/0!</v>
      </c>
      <c r="J42" s="2316"/>
      <c r="K42" s="2318">
        <f>F42+H42+J42</f>
        <v>0</v>
      </c>
      <c r="L42" s="2722"/>
      <c r="M42" s="2714"/>
      <c r="N42" s="2714"/>
      <c r="O42" s="2723"/>
      <c r="P42" s="3661" t="str">
        <f>A42</f>
        <v>比较价值（元/平方米）</v>
      </c>
      <c r="Q42" s="3661"/>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3" t="str">
        <f>A43</f>
        <v>估价对象XX用房的比较价值（楼面单价，元/平方米）</v>
      </c>
      <c r="Q43" s="3664"/>
      <c r="R43" s="3748" t="e">
        <f>ROUND(IF(D42="简单平均",AVERAGE(R42:W42),R42*F42+T42*H42+V42*J42),0)</f>
        <v>#DIV/0!</v>
      </c>
      <c r="S43" s="3748"/>
      <c r="T43" s="3748"/>
      <c r="U43" s="3748"/>
      <c r="V43" s="3748"/>
      <c r="W43" s="3748"/>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0" t="s">
        <v>1887</v>
      </c>
      <c r="H50" s="374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87.01</v>
      </c>
      <c r="F51" s="639" t="e">
        <f t="shared" ref="F51:F60" si="15">ROUND(B51*E51/10000,0)</f>
        <v>#DIV/0!</v>
      </c>
      <c r="G51" s="3676"/>
      <c r="H51" s="3661"/>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59">
        <f>ROUND(SUMPRODUCT((B106:B110=R2)*(C105:N105=G2)*(C106:N110)),4)</f>
        <v>0</v>
      </c>
      <c r="T2" s="3359" t="e">
        <f t="shared" ref="T2:T16" si="0">ROUND($C$5*$C$22*$C$23*$C$24*S2*$C$28,0)</f>
        <v>#DIV/0!</v>
      </c>
      <c r="U2" s="1212"/>
      <c r="V2" s="3359"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18"/>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59">
        <f>ROUND(SUMPRODUCT((B106:B110=R3)*(C105:N105=G2)*(C106:N110)),4)</f>
        <v>0</v>
      </c>
      <c r="T3" s="3359" t="e">
        <f t="shared" si="0"/>
        <v>#DIV/0!</v>
      </c>
      <c r="U3" s="1212"/>
      <c r="V3" s="3359" t="e">
        <f t="shared" ref="V3:V16" si="1">ROUND(T3*U3/10000,0)</f>
        <v>#DIV/0!</v>
      </c>
      <c r="W3" s="1215"/>
      <c r="X3" s="1215"/>
      <c r="Y3" s="1215"/>
      <c r="Z3" s="1215"/>
      <c r="AA3" s="1215"/>
      <c r="AB3" s="1215"/>
      <c r="AC3" s="1216"/>
      <c r="AD3" s="1217"/>
      <c r="AE3" s="1217"/>
      <c r="AF3" s="1217"/>
      <c r="AG3" s="1217"/>
      <c r="AH3" s="1217"/>
      <c r="AI3" s="1217"/>
      <c r="AJ3" s="1218"/>
    </row>
    <row r="4" spans="1:36" ht="15.75">
      <c r="A4" s="3761"/>
      <c r="B4" s="3762"/>
      <c r="C4" s="3762"/>
      <c r="D4" s="3763"/>
      <c r="E4" s="3763"/>
      <c r="F4" s="3763"/>
      <c r="G4" s="3763"/>
      <c r="H4" s="3763"/>
      <c r="I4" s="3763"/>
      <c r="J4" s="3764"/>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59">
        <f>ROUND(SUMPRODUCT((B106:B110=R4)*(C105:N105=G2)*(C106:N110)),4)</f>
        <v>0</v>
      </c>
      <c r="T4" s="3359" t="e">
        <f t="shared" si="0"/>
        <v>#DIV/0!</v>
      </c>
      <c r="U4" s="1212"/>
      <c r="V4" s="3359"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59">
        <f>ROUND(SUMPRODUCT((B106:B110=R5)*(C105:N105=G2)*(C106:N110)),4)</f>
        <v>0</v>
      </c>
      <c r="T5" s="3359" t="e">
        <f t="shared" si="0"/>
        <v>#DIV/0!</v>
      </c>
      <c r="U5" s="1212"/>
      <c r="V5" s="3359"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8"/>
      <c r="P6" s="1118"/>
      <c r="Q6" s="1118"/>
      <c r="R6" s="1211">
        <v>5</v>
      </c>
      <c r="S6" s="3359">
        <f>ROUND(SUMPRODUCT((B106:B110=R6)*(C105:N105=G2)*(C106:N110)),4)</f>
        <v>0</v>
      </c>
      <c r="T6" s="3359" t="e">
        <f t="shared" si="0"/>
        <v>#DIV/0!</v>
      </c>
      <c r="U6" s="1212"/>
      <c r="V6" s="3359" t="e">
        <f t="shared" si="1"/>
        <v>#DIV/0!</v>
      </c>
      <c r="W6" s="1215"/>
      <c r="X6" s="1215"/>
      <c r="Y6" s="1215"/>
      <c r="Z6" s="1215"/>
      <c r="AA6" s="1215"/>
      <c r="AB6" s="1215"/>
      <c r="AC6" s="2009"/>
      <c r="AD6" s="2010"/>
      <c r="AE6" s="2010"/>
      <c r="AF6" s="2010"/>
      <c r="AG6" s="2010"/>
      <c r="AH6" s="2010"/>
      <c r="AI6" s="2010"/>
      <c r="AJ6" s="2011"/>
    </row>
    <row r="7" spans="1:36" ht="24.75" thickBot="1">
      <c r="A7" s="3302" t="s">
        <v>3236</v>
      </c>
      <c r="B7" s="2019" t="s">
        <v>1952</v>
      </c>
      <c r="C7" s="755" t="e">
        <f>IF(C8="不临65条商业街",1,ROUND(1+(1.6*E8+1.2*E9+0.8*E10+0.4*E11)*C9,4))</f>
        <v>#DIV/0!</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8"/>
      <c r="P7" s="1118"/>
      <c r="Q7" s="1118"/>
      <c r="R7" s="1211">
        <v>6</v>
      </c>
      <c r="S7" s="3417"/>
      <c r="T7" s="3359" t="e">
        <f t="shared" si="0"/>
        <v>#DIV/0!</v>
      </c>
      <c r="U7" s="1212"/>
      <c r="V7" s="3359" t="e">
        <f t="shared" si="1"/>
        <v>#DIV/0!</v>
      </c>
      <c r="W7" s="1356" t="s">
        <v>1955</v>
      </c>
      <c r="X7" s="1213">
        <f>G2</f>
        <v>0</v>
      </c>
      <c r="Y7" s="1213" t="s">
        <v>1956</v>
      </c>
      <c r="Z7" s="1214">
        <f>G3</f>
        <v>0</v>
      </c>
      <c r="AA7" s="1215"/>
      <c r="AB7" s="1215"/>
      <c r="AC7" s="1216"/>
      <c r="AD7" s="1217"/>
      <c r="AE7" s="1217"/>
      <c r="AF7" s="1217"/>
      <c r="AG7" s="1217"/>
      <c r="AH7" s="1217"/>
      <c r="AI7" s="1217"/>
      <c r="AJ7" s="1218"/>
    </row>
    <row r="8" spans="1:36" ht="15">
      <c r="A8" s="3297"/>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59" t="e">
        <f t="shared" si="0"/>
        <v>#DIV/0!</v>
      </c>
      <c r="U8" s="1212"/>
      <c r="V8" s="3359" t="e">
        <f t="shared" si="1"/>
        <v>#DIV/0!</v>
      </c>
      <c r="W8" s="3758" t="s">
        <v>1960</v>
      </c>
      <c r="X8" s="375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7"/>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59" t="e">
        <f t="shared" si="0"/>
        <v>#DIV/0!</v>
      </c>
      <c r="U9" s="1212"/>
      <c r="V9" s="3359" t="e">
        <f t="shared" si="1"/>
        <v>#DIV/0!</v>
      </c>
      <c r="W9" s="3760"/>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59" t="e">
        <f t="shared" si="0"/>
        <v>#DIV/0!</v>
      </c>
      <c r="U10" s="1212"/>
      <c r="V10" s="3359" t="e">
        <f t="shared" si="1"/>
        <v>#DIV/0!</v>
      </c>
      <c r="W10" s="3760"/>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59" t="e">
        <f t="shared" si="0"/>
        <v>#DIV/0!</v>
      </c>
      <c r="U11" s="1212"/>
      <c r="V11" s="3359" t="e">
        <f t="shared" si="1"/>
        <v>#DIV/0!</v>
      </c>
      <c r="W11" s="1215"/>
      <c r="X11" s="1215"/>
      <c r="Y11" s="1215"/>
      <c r="Z11" s="1215"/>
      <c r="AA11" s="1215"/>
      <c r="AB11" s="1215"/>
      <c r="AC11" s="1216"/>
      <c r="AD11" s="2787"/>
      <c r="AE11" s="2787"/>
      <c r="AF11" s="2787"/>
      <c r="AG11" s="2787"/>
      <c r="AH11" s="2787"/>
      <c r="AI11" s="2787"/>
      <c r="AJ11" s="2788"/>
    </row>
    <row r="12" spans="1:36" ht="25.5" thickBot="1">
      <c r="A12" s="3302" t="s">
        <v>3237</v>
      </c>
      <c r="B12" s="3303" t="s">
        <v>3238</v>
      </c>
      <c r="C12" s="3304"/>
      <c r="D12" s="3305" t="s">
        <v>3239</v>
      </c>
      <c r="E12" s="3306" t="s">
        <v>3240</v>
      </c>
      <c r="F12" s="3307"/>
      <c r="G12" s="3308"/>
      <c r="H12" s="3308"/>
      <c r="I12" s="3308"/>
      <c r="J12" s="3309"/>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59" t="e">
        <f t="shared" si="0"/>
        <v>#DIV/0!</v>
      </c>
      <c r="U12" s="1212"/>
      <c r="V12" s="3359" t="e">
        <f t="shared" si="1"/>
        <v>#DIV/0!</v>
      </c>
      <c r="W12" s="1215"/>
      <c r="X12" s="1215"/>
      <c r="Y12" s="1215"/>
      <c r="Z12" s="1215"/>
      <c r="AA12" s="1215"/>
      <c r="AB12" s="1215"/>
      <c r="AC12" s="1216"/>
      <c r="AD12" s="2787"/>
      <c r="AE12" s="2787"/>
      <c r="AF12" s="2787"/>
      <c r="AG12" s="2787"/>
      <c r="AH12" s="2787"/>
      <c r="AI12" s="2787"/>
      <c r="AJ12" s="2788"/>
    </row>
    <row r="13" spans="1:36" ht="15.75" thickBot="1">
      <c r="A13" s="3302" t="s">
        <v>3241</v>
      </c>
      <c r="B13" s="2032" t="s">
        <v>1982</v>
      </c>
      <c r="C13" s="755">
        <f>ROUND(C16*D16*E16*F16*G16*H16*I16*J16,4)</f>
        <v>0</v>
      </c>
      <c r="D13" s="2033" t="s">
        <v>1983</v>
      </c>
      <c r="E13" s="2034"/>
      <c r="F13" s="2034"/>
      <c r="G13" s="2035"/>
      <c r="H13" s="2035"/>
      <c r="I13" s="2035"/>
      <c r="J13" s="2036"/>
      <c r="K13" s="1118"/>
      <c r="L13" s="3298"/>
      <c r="M13" s="3299"/>
      <c r="N13" s="3300"/>
      <c r="O13" s="1118"/>
      <c r="P13" s="1118"/>
      <c r="Q13" s="1118"/>
      <c r="R13" s="1211">
        <v>12</v>
      </c>
      <c r="S13" s="1212"/>
      <c r="T13" s="3359" t="e">
        <f t="shared" si="0"/>
        <v>#DIV/0!</v>
      </c>
      <c r="U13" s="1212"/>
      <c r="V13" s="3359" t="e">
        <f t="shared" si="1"/>
        <v>#DIV/0!</v>
      </c>
      <c r="W13" s="1215"/>
      <c r="X13" s="1215"/>
      <c r="Y13" s="1215"/>
      <c r="Z13" s="1215"/>
      <c r="AA13" s="1215"/>
      <c r="AB13" s="1215"/>
      <c r="AC13" s="1216"/>
      <c r="AD13" s="2787"/>
      <c r="AE13" s="2787"/>
      <c r="AF13" s="2787"/>
      <c r="AG13" s="2787"/>
      <c r="AH13" s="2787"/>
      <c r="AI13" s="2787"/>
      <c r="AJ13" s="2788"/>
    </row>
    <row r="14" spans="1:36" ht="15">
      <c r="A14" s="3296"/>
      <c r="B14" s="2038" t="s">
        <v>1985</v>
      </c>
      <c r="C14" s="2039" t="s">
        <v>1986</v>
      </c>
      <c r="D14" s="1348" t="s">
        <v>1987</v>
      </c>
      <c r="E14" s="27" t="s">
        <v>1988</v>
      </c>
      <c r="F14" s="3310" t="s">
        <v>3242</v>
      </c>
      <c r="G14" s="3310" t="s">
        <v>3242</v>
      </c>
      <c r="H14" s="3310" t="s">
        <v>3242</v>
      </c>
      <c r="I14" s="3310" t="s">
        <v>3242</v>
      </c>
      <c r="J14" s="3310" t="s">
        <v>3242</v>
      </c>
      <c r="K14" s="1118"/>
      <c r="L14" s="1118"/>
      <c r="M14" s="1118"/>
      <c r="N14" s="1118"/>
      <c r="O14" s="1118"/>
      <c r="P14" s="1118"/>
      <c r="Q14" s="1118"/>
      <c r="R14" s="1211">
        <v>13</v>
      </c>
      <c r="S14" s="1212"/>
      <c r="T14" s="3359" t="e">
        <f t="shared" si="0"/>
        <v>#DIV/0!</v>
      </c>
      <c r="U14" s="1212"/>
      <c r="V14" s="3359" t="e">
        <f t="shared" si="1"/>
        <v>#DIV/0!</v>
      </c>
      <c r="W14" s="1215"/>
      <c r="X14" s="1215"/>
      <c r="Y14" s="1215"/>
      <c r="Z14" s="1215"/>
      <c r="AA14" s="1215"/>
      <c r="AB14" s="1215"/>
      <c r="AC14" s="1216"/>
      <c r="AD14" s="2787"/>
      <c r="AE14" s="2787"/>
      <c r="AF14" s="2787"/>
      <c r="AG14" s="2787"/>
      <c r="AH14" s="2787"/>
      <c r="AI14" s="2787"/>
      <c r="AJ14" s="2788"/>
    </row>
    <row r="15" spans="1:36" ht="15">
      <c r="A15" s="3296"/>
      <c r="B15" s="2040"/>
      <c r="C15" s="2041"/>
      <c r="D15" s="2042"/>
      <c r="E15" s="2043"/>
      <c r="F15" s="3311" t="s">
        <v>3243</v>
      </c>
      <c r="G15" s="3312"/>
      <c r="H15" s="3313"/>
      <c r="I15" s="3314"/>
      <c r="J15" s="3315"/>
      <c r="K15" s="1118"/>
      <c r="L15" s="1118"/>
      <c r="M15" s="1118"/>
      <c r="N15" s="1118"/>
      <c r="O15" s="1118"/>
      <c r="P15" s="1118"/>
      <c r="Q15" s="1118"/>
      <c r="R15" s="1211">
        <v>14</v>
      </c>
      <c r="S15" s="1212"/>
      <c r="T15" s="3359" t="e">
        <f t="shared" si="0"/>
        <v>#DIV/0!</v>
      </c>
      <c r="U15" s="1212"/>
      <c r="V15" s="3359" t="e">
        <f t="shared" si="1"/>
        <v>#DIV/0!</v>
      </c>
      <c r="W15" s="1215"/>
      <c r="X15" s="1215"/>
      <c r="Y15" s="1215"/>
      <c r="Z15" s="1215"/>
      <c r="AA15" s="1215"/>
      <c r="AB15" s="1215"/>
      <c r="AC15" s="1216"/>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8"/>
      <c r="L16" s="1995"/>
      <c r="M16" s="1995"/>
      <c r="N16" s="1995"/>
      <c r="O16" s="1995"/>
      <c r="P16" s="1995"/>
      <c r="Q16" s="1118"/>
      <c r="R16" s="1211">
        <v>15</v>
      </c>
      <c r="S16" s="1212"/>
      <c r="T16" s="3359" t="e">
        <f t="shared" si="0"/>
        <v>#DIV/0!</v>
      </c>
      <c r="U16" s="1212"/>
      <c r="V16" s="3359" t="e">
        <f t="shared" si="1"/>
        <v>#DIV/0!</v>
      </c>
      <c r="W16" s="1215"/>
      <c r="X16" s="1215"/>
      <c r="Y16" s="1215"/>
      <c r="Z16" s="1215"/>
      <c r="AA16" s="1215"/>
      <c r="AB16" s="1215"/>
      <c r="AC16" s="1216"/>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3247</v>
      </c>
      <c r="E18" s="3327"/>
      <c r="F18" s="3322" t="s">
        <v>3250</v>
      </c>
      <c r="G18" s="3326">
        <f>ROUND(1-(1/(POWER(1+G24,E18))),4)</f>
        <v>0</v>
      </c>
      <c r="H18" s="3322" t="s">
        <v>3252</v>
      </c>
      <c r="I18" s="3326">
        <f>ROUND(1-(1/(POWER(1+G24,J24))),4)</f>
        <v>0</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3248</v>
      </c>
      <c r="E19" s="3336"/>
      <c r="F19" s="3337" t="s">
        <v>3251</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65" t="s">
        <v>3253</v>
      </c>
      <c r="B20" s="167" t="s">
        <v>1994</v>
      </c>
      <c r="C20" s="3323" t="e">
        <f>ROUND(IF(F21="与级别开发程度一致",0,(G21-E21)/C21),0)</f>
        <v>#DIV/0!</v>
      </c>
      <c r="D20" s="3339" t="s">
        <v>1998</v>
      </c>
      <c r="E20" s="3340"/>
      <c r="F20" s="3771" t="s">
        <v>1995</v>
      </c>
      <c r="G20" s="3772"/>
      <c r="H20" s="3324"/>
      <c r="I20" s="3324"/>
      <c r="J20" s="3325"/>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66"/>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2" t="s">
        <v>2002</v>
      </c>
      <c r="E23" s="761">
        <v>44197</v>
      </c>
      <c r="F23" s="2052" t="s">
        <v>2003</v>
      </c>
      <c r="G23" s="762">
        <f>'数据-取费表'!B2</f>
        <v>45322</v>
      </c>
      <c r="H23" s="3341" t="s">
        <v>3255</v>
      </c>
      <c r="I23" s="3342" t="str">
        <f>IF(H23="季度增幅（自定义）",SUMIF(N25:N28,E2,O25:O28),"")</f>
        <v/>
      </c>
      <c r="J23" s="3444" t="s">
        <v>3254</v>
      </c>
      <c r="K23" s="1124"/>
      <c r="L23" s="2053" t="s">
        <v>2004</v>
      </c>
      <c r="M23" s="1327">
        <f>ROUND(SUMIF(地价!B2:G2,E2,地价!B16:G16),0)</f>
        <v>0</v>
      </c>
      <c r="N23" s="2054" t="s">
        <v>2005</v>
      </c>
      <c r="O23" s="763">
        <f>ROUNDDOWN(DATEDIF(E23,G23,"M")/3,0)</f>
        <v>12</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存贷款利率!E24/100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3334</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3256</v>
      </c>
      <c r="D26" s="1350">
        <f>IF(E26=G26,F26,IF(G3&lt;10,ROUND(F26+(H26-F26)*(G3-E26)/(G26-E26),4),"——"))</f>
        <v>0</v>
      </c>
      <c r="E26" s="752">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2"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49" t="s">
        <v>1936</v>
      </c>
      <c r="M30" s="3350" t="s">
        <v>1990</v>
      </c>
      <c r="N30" s="3350" t="s">
        <v>1991</v>
      </c>
      <c r="O30" s="3350" t="s">
        <v>1992</v>
      </c>
      <c r="P30" s="3350" t="s">
        <v>1993</v>
      </c>
      <c r="Q30" s="3353" t="s">
        <v>3261</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4" t="s">
        <v>3259</v>
      </c>
      <c r="G33" s="2097"/>
      <c r="H33" s="2097"/>
      <c r="I33" s="2097"/>
      <c r="J33" s="2098"/>
      <c r="K33" s="1118"/>
      <c r="L33" s="3347" t="s">
        <v>3262</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7" t="s">
        <v>3263</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3260</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69"/>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70"/>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70"/>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2117</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3268</v>
      </c>
      <c r="B52" s="2132">
        <f>估价对象房地状况!C19</f>
        <v>0</v>
      </c>
      <c r="C52" s="2042"/>
      <c r="D52" s="1064">
        <f t="shared" si="7"/>
        <v>0</v>
      </c>
      <c r="E52" s="745"/>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3268</v>
      </c>
      <c r="B63" s="2132">
        <f>估价对象房地状况!C19</f>
        <v>0</v>
      </c>
      <c r="C63" s="2042"/>
      <c r="D63" s="1064">
        <f t="shared" si="12"/>
        <v>0</v>
      </c>
      <c r="E63" s="745"/>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2" t="str">
        <f>IF(E2="住宅",SUMIF(L1:L12,G2,N1:N12),"——")</f>
        <v>——</v>
      </c>
      <c r="G72" s="1062"/>
      <c r="H72" s="1065" t="str">
        <f t="shared" ref="H72:H80" si="18">IFERROR(ROUNDDOWN($F$72*I72/2,4),"——")</f>
        <v>——</v>
      </c>
      <c r="I72" s="3365">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2"/>
      <c r="G73" s="1062"/>
      <c r="H73" s="1065" t="str">
        <f t="shared" si="18"/>
        <v>——</v>
      </c>
      <c r="I73" s="3365">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7" t="s">
        <v>3268</v>
      </c>
      <c r="B74" s="2132">
        <f>估价对象房地状况!C19</f>
        <v>0</v>
      </c>
      <c r="C74" s="2042"/>
      <c r="D74" s="1064">
        <f t="shared" si="17"/>
        <v>0</v>
      </c>
      <c r="E74" s="747"/>
      <c r="F74" s="1812"/>
      <c r="G74" s="1062"/>
      <c r="H74" s="1065" t="str">
        <f t="shared" si="18"/>
        <v>——</v>
      </c>
      <c r="I74" s="3365">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2"/>
      <c r="G75" s="1062"/>
      <c r="H75" s="1065" t="str">
        <f t="shared" si="18"/>
        <v>——</v>
      </c>
      <c r="I75" s="3365">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2"/>
      <c r="G76" s="1062"/>
      <c r="H76" s="1065" t="str">
        <f t="shared" si="18"/>
        <v>——</v>
      </c>
      <c r="I76" s="3365">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2"/>
      <c r="G77" s="1062"/>
      <c r="H77" s="1065" t="str">
        <f t="shared" si="18"/>
        <v>——</v>
      </c>
      <c r="I77" s="3365">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2"/>
      <c r="G78" s="1062"/>
      <c r="H78" s="1065" t="str">
        <f t="shared" si="18"/>
        <v>——</v>
      </c>
      <c r="I78" s="3365">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2"/>
      <c r="G79" s="1062"/>
      <c r="H79" s="1065" t="str">
        <f t="shared" si="18"/>
        <v>——</v>
      </c>
      <c r="I79" s="3365">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2"/>
      <c r="G80" s="1062"/>
      <c r="H80" s="1065" t="str">
        <f t="shared" si="18"/>
        <v>——</v>
      </c>
      <c r="I80" s="3366">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2" t="str">
        <f>IF(E2="工业",SUMIF(L1:L12,G2,N1:N12),"——")</f>
        <v>——</v>
      </c>
      <c r="G83" s="1062"/>
      <c r="H83" s="1065" t="str">
        <f t="shared" ref="H83:H90" si="23">IFERROR(ROUNDDOWN($F$83*I83/2,4),"——")</f>
        <v>——</v>
      </c>
      <c r="I83" s="3365">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2"/>
      <c r="G84" s="1062"/>
      <c r="H84" s="1065" t="str">
        <f t="shared" si="23"/>
        <v>——</v>
      </c>
      <c r="I84" s="3365">
        <v>0.3</v>
      </c>
      <c r="J84" s="1063">
        <f t="shared" si="24"/>
        <v>0</v>
      </c>
      <c r="K84" s="1063">
        <f t="shared" si="25"/>
        <v>0</v>
      </c>
      <c r="L84" s="1063">
        <v>0</v>
      </c>
      <c r="M84" s="1063">
        <f t="shared" si="26"/>
        <v>0</v>
      </c>
      <c r="N84" s="1063">
        <f t="shared" si="26"/>
        <v>0</v>
      </c>
      <c r="Z84" s="1996"/>
      <c r="AA84" s="2051"/>
      <c r="AG84" s="1120"/>
      <c r="AK84" s="2051"/>
    </row>
    <row r="85" spans="1:37" ht="36">
      <c r="A85" s="3367" t="s">
        <v>3269</v>
      </c>
      <c r="B85" s="2132">
        <f>估价对象房地状况!G17</f>
        <v>0</v>
      </c>
      <c r="C85" s="2042"/>
      <c r="D85" s="1064">
        <f t="shared" si="22"/>
        <v>0</v>
      </c>
      <c r="E85" s="747"/>
      <c r="F85" s="1812"/>
      <c r="G85" s="1062"/>
      <c r="H85" s="1065" t="str">
        <f t="shared" si="23"/>
        <v>——</v>
      </c>
      <c r="I85" s="3365">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2"/>
      <c r="G86" s="1062"/>
      <c r="H86" s="1065" t="str">
        <f t="shared" si="23"/>
        <v>——</v>
      </c>
      <c r="I86" s="3365">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2"/>
      <c r="G87" s="1062"/>
      <c r="H87" s="1065" t="str">
        <f t="shared" si="23"/>
        <v>——</v>
      </c>
      <c r="I87" s="3365">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2"/>
      <c r="G88" s="1062"/>
      <c r="H88" s="1065" t="str">
        <f t="shared" si="23"/>
        <v>——</v>
      </c>
      <c r="I88" s="3365">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2"/>
      <c r="G89" s="1062"/>
      <c r="H89" s="1065" t="str">
        <f t="shared" si="23"/>
        <v>——</v>
      </c>
      <c r="I89" s="3365">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2"/>
      <c r="G90" s="1062"/>
      <c r="H90" s="1065" t="str">
        <f t="shared" si="23"/>
        <v>——</v>
      </c>
      <c r="I90" s="3366">
        <v>0.05</v>
      </c>
      <c r="J90" s="1063">
        <f t="shared" si="24"/>
        <v>0</v>
      </c>
      <c r="K90" s="1063">
        <f t="shared" si="25"/>
        <v>0</v>
      </c>
      <c r="L90" s="1063">
        <v>0</v>
      </c>
      <c r="M90" s="1063">
        <f t="shared" si="26"/>
        <v>0</v>
      </c>
      <c r="N90" s="1063">
        <f t="shared" si="26"/>
        <v>0</v>
      </c>
    </row>
    <row r="91" spans="1:37" ht="15">
      <c r="A91" s="3375" t="s">
        <v>2611</v>
      </c>
      <c r="B91" s="3376">
        <f>1+E93</f>
        <v>1</v>
      </c>
      <c r="C91" s="3369"/>
      <c r="D91" s="3370"/>
      <c r="E91" s="1812"/>
      <c r="F91" s="1812"/>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5"/>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7" t="s">
        <v>3293</v>
      </c>
      <c r="B103" s="3767"/>
      <c r="C103" s="3767"/>
      <c r="D103" s="3767"/>
      <c r="E103" s="3767"/>
      <c r="F103" s="3767"/>
      <c r="G103" s="3767"/>
      <c r="H103" s="3767"/>
      <c r="I103" s="3767"/>
      <c r="J103" s="3767"/>
      <c r="K103" s="3388"/>
      <c r="L103" s="3388"/>
      <c r="M103" s="3388"/>
      <c r="N103" s="3388"/>
    </row>
    <row r="104" spans="1:14">
      <c r="A104" s="3768" t="s">
        <v>3294</v>
      </c>
      <c r="B104" s="3768" t="s">
        <v>3295</v>
      </c>
      <c r="C104" s="3389" t="s">
        <v>3296</v>
      </c>
      <c r="D104" s="3390"/>
      <c r="E104" s="3390"/>
      <c r="F104" s="3390"/>
      <c r="G104" s="3390"/>
      <c r="H104" s="3390"/>
      <c r="I104" s="3390"/>
      <c r="J104" s="3391"/>
      <c r="K104" s="3392"/>
      <c r="L104" s="3392"/>
      <c r="M104" s="3392"/>
      <c r="N104" s="3392"/>
    </row>
    <row r="105" spans="1:14">
      <c r="A105" s="3768"/>
      <c r="B105" s="3768"/>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54"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5"/>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5"/>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5"/>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5"/>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5"/>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6"/>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7" t="s">
        <v>3310</v>
      </c>
      <c r="B113" s="3757"/>
      <c r="C113" s="3757"/>
      <c r="D113" s="3757"/>
      <c r="E113" s="3757"/>
      <c r="F113" s="3757"/>
      <c r="G113" s="3757"/>
      <c r="H113" s="3757"/>
      <c r="I113" s="3757"/>
      <c r="J113" s="3757"/>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82" t="s">
        <v>2606</v>
      </c>
      <c r="B20" s="3777" t="s">
        <v>2627</v>
      </c>
      <c r="C20" s="3101" t="s">
        <v>2438</v>
      </c>
      <c r="D20" s="3102"/>
      <c r="E20" s="3103">
        <v>1</v>
      </c>
      <c r="F20" s="3104" t="s">
        <v>2439</v>
      </c>
      <c r="G20" s="3104"/>
    </row>
    <row r="21" spans="1:13" ht="19.5" customHeight="1">
      <c r="A21" s="3783"/>
      <c r="B21" s="3776"/>
      <c r="C21" s="3105" t="s">
        <v>2440</v>
      </c>
      <c r="D21" s="3106"/>
      <c r="E21" s="3107">
        <v>1</v>
      </c>
      <c r="F21" s="3104" t="s">
        <v>2441</v>
      </c>
      <c r="G21" s="3104"/>
    </row>
    <row r="22" spans="1:13" ht="19.5" customHeight="1">
      <c r="A22" s="3783"/>
      <c r="B22" s="3776"/>
      <c r="C22" s="3105" t="s">
        <v>2442</v>
      </c>
      <c r="D22" s="3106"/>
      <c r="E22" s="3107">
        <v>0.9</v>
      </c>
      <c r="F22" s="3104" t="s">
        <v>2443</v>
      </c>
      <c r="G22" s="3104"/>
    </row>
    <row r="23" spans="1:13" ht="19.5" customHeight="1">
      <c r="A23" s="3783"/>
      <c r="B23" s="3776"/>
      <c r="C23" s="3105" t="s">
        <v>2444</v>
      </c>
      <c r="D23" s="3106"/>
      <c r="E23" s="3107">
        <v>0.9</v>
      </c>
      <c r="F23" s="3104" t="s">
        <v>2445</v>
      </c>
      <c r="G23" s="3104"/>
    </row>
    <row r="24" spans="1:13" ht="19.5" customHeight="1">
      <c r="A24" s="3783"/>
      <c r="B24" s="3776"/>
      <c r="C24" s="3105" t="s">
        <v>2446</v>
      </c>
      <c r="D24" s="3106"/>
      <c r="E24" s="3107">
        <v>0.8</v>
      </c>
      <c r="F24" s="3104" t="s">
        <v>2447</v>
      </c>
      <c r="G24" s="3104"/>
    </row>
    <row r="25" spans="1:13" ht="19.5" customHeight="1" thickBot="1">
      <c r="A25" s="3784"/>
      <c r="B25" s="3778"/>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79" t="s">
        <v>2630</v>
      </c>
      <c r="B27" s="3777" t="s">
        <v>2611</v>
      </c>
      <c r="C27" s="3101" t="s">
        <v>2451</v>
      </c>
      <c r="D27" s="3102"/>
      <c r="E27" s="3103">
        <v>1</v>
      </c>
      <c r="F27" s="3104" t="s">
        <v>2452</v>
      </c>
      <c r="G27" s="3104"/>
    </row>
    <row r="28" spans="1:13" ht="19.5" customHeight="1">
      <c r="A28" s="3780"/>
      <c r="B28" s="3776"/>
      <c r="C28" s="3105" t="s">
        <v>2453</v>
      </c>
      <c r="D28" s="3106"/>
      <c r="E28" s="3107">
        <v>1</v>
      </c>
      <c r="F28" s="3104" t="s">
        <v>2454</v>
      </c>
      <c r="G28" s="3104"/>
    </row>
    <row r="29" spans="1:13" ht="19.5" customHeight="1">
      <c r="A29" s="3780"/>
      <c r="B29" s="3776"/>
      <c r="C29" s="3105" t="s">
        <v>2455</v>
      </c>
      <c r="D29" s="3106"/>
      <c r="E29" s="3107">
        <v>0.8</v>
      </c>
      <c r="F29" s="3104" t="s">
        <v>2456</v>
      </c>
      <c r="G29" s="3104"/>
    </row>
    <row r="30" spans="1:13" ht="19.5" customHeight="1">
      <c r="A30" s="3780"/>
      <c r="B30" s="3776"/>
      <c r="C30" s="3105" t="s">
        <v>2457</v>
      </c>
      <c r="D30" s="3106"/>
      <c r="E30" s="3107">
        <v>0.8</v>
      </c>
      <c r="F30" s="3104" t="s">
        <v>2458</v>
      </c>
      <c r="G30" s="3104"/>
    </row>
    <row r="31" spans="1:13" ht="19.5" customHeight="1">
      <c r="A31" s="3780"/>
      <c r="B31" s="3776"/>
      <c r="C31" s="3105" t="s">
        <v>2459</v>
      </c>
      <c r="D31" s="3106"/>
      <c r="E31" s="3107">
        <v>0.8</v>
      </c>
      <c r="F31" s="3104" t="s">
        <v>2460</v>
      </c>
      <c r="G31" s="3104"/>
    </row>
    <row r="32" spans="1:13" ht="19.5" customHeight="1">
      <c r="A32" s="3780"/>
      <c r="B32" s="3776"/>
      <c r="C32" s="3105" t="s">
        <v>2461</v>
      </c>
      <c r="D32" s="3106"/>
      <c r="E32" s="3107">
        <v>0.7</v>
      </c>
      <c r="F32" s="3104" t="s">
        <v>2462</v>
      </c>
      <c r="G32" s="3104"/>
    </row>
    <row r="33" spans="1:7" ht="19.5" customHeight="1">
      <c r="A33" s="3780"/>
      <c r="B33" s="3776"/>
      <c r="C33" s="3105" t="s">
        <v>2463</v>
      </c>
      <c r="D33" s="3106"/>
      <c r="E33" s="3107">
        <v>0.8</v>
      </c>
      <c r="F33" s="3104" t="s">
        <v>2464</v>
      </c>
      <c r="G33" s="3104"/>
    </row>
    <row r="34" spans="1:7" ht="19.5" customHeight="1">
      <c r="A34" s="3780"/>
      <c r="B34" s="3776"/>
      <c r="C34" s="3105" t="s">
        <v>2465</v>
      </c>
      <c r="D34" s="3106"/>
      <c r="E34" s="3107">
        <v>0.6</v>
      </c>
      <c r="F34" s="3104" t="s">
        <v>2466</v>
      </c>
      <c r="G34" s="3104"/>
    </row>
    <row r="35" spans="1:7" ht="19.5" customHeight="1">
      <c r="A35" s="3780"/>
      <c r="B35" s="3776"/>
      <c r="C35" s="3105" t="s">
        <v>2467</v>
      </c>
      <c r="D35" s="3106"/>
      <c r="E35" s="3107">
        <v>0.2</v>
      </c>
      <c r="F35" s="3104" t="s">
        <v>2468</v>
      </c>
      <c r="G35" s="3104"/>
    </row>
    <row r="36" spans="1:7" ht="19.5" customHeight="1">
      <c r="A36" s="3780"/>
      <c r="B36" s="3776"/>
      <c r="C36" s="3105" t="s">
        <v>2469</v>
      </c>
      <c r="D36" s="3106"/>
      <c r="E36" s="3107">
        <v>0.2</v>
      </c>
      <c r="F36" s="3104" t="s">
        <v>2470</v>
      </c>
      <c r="G36" s="3104"/>
    </row>
    <row r="37" spans="1:7" ht="19.5" customHeight="1">
      <c r="A37" s="3780"/>
      <c r="B37" s="3774" t="s">
        <v>2631</v>
      </c>
      <c r="C37" s="3105" t="s">
        <v>2471</v>
      </c>
      <c r="D37" s="3106"/>
      <c r="E37" s="3107">
        <v>0.6</v>
      </c>
      <c r="F37" s="3104" t="s">
        <v>2472</v>
      </c>
      <c r="G37" s="3104"/>
    </row>
    <row r="38" spans="1:7" ht="19.5" customHeight="1">
      <c r="A38" s="3780"/>
      <c r="B38" s="3776"/>
      <c r="C38" s="3105" t="s">
        <v>2473</v>
      </c>
      <c r="D38" s="3106"/>
      <c r="E38" s="3107">
        <v>0.6</v>
      </c>
      <c r="F38" s="3104" t="s">
        <v>2474</v>
      </c>
      <c r="G38" s="3104"/>
    </row>
    <row r="39" spans="1:7" ht="19.5" customHeight="1" thickBot="1">
      <c r="A39" s="3781"/>
      <c r="B39" s="3778"/>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82" t="s">
        <v>2609</v>
      </c>
      <c r="B41" s="3777" t="s">
        <v>2633</v>
      </c>
      <c r="C41" s="3101" t="s">
        <v>2478</v>
      </c>
      <c r="D41" s="3102"/>
      <c r="E41" s="3103">
        <v>1</v>
      </c>
      <c r="F41" s="3104" t="s">
        <v>2479</v>
      </c>
      <c r="G41" s="3104"/>
    </row>
    <row r="42" spans="1:7" ht="19.5" customHeight="1">
      <c r="A42" s="3783"/>
      <c r="B42" s="3776"/>
      <c r="C42" s="3105" t="s">
        <v>2480</v>
      </c>
      <c r="D42" s="3106"/>
      <c r="E42" s="3107">
        <v>1</v>
      </c>
      <c r="F42" s="3104" t="s">
        <v>2481</v>
      </c>
      <c r="G42" s="3104"/>
    </row>
    <row r="43" spans="1:7" ht="19.5" customHeight="1">
      <c r="A43" s="3783"/>
      <c r="B43" s="3775"/>
      <c r="C43" s="3105" t="s">
        <v>2482</v>
      </c>
      <c r="D43" s="3106"/>
      <c r="E43" s="3107">
        <v>1.5</v>
      </c>
      <c r="F43" s="3104" t="s">
        <v>2483</v>
      </c>
      <c r="G43" s="3104"/>
    </row>
    <row r="44" spans="1:7" ht="19.5" customHeight="1">
      <c r="A44" s="3783"/>
      <c r="B44" s="3116" t="s">
        <v>2634</v>
      </c>
      <c r="C44" s="3105" t="s">
        <v>2635</v>
      </c>
      <c r="D44" s="3106"/>
      <c r="E44" s="3107">
        <v>2</v>
      </c>
      <c r="F44" s="3104" t="s">
        <v>2484</v>
      </c>
      <c r="G44" s="3104"/>
    </row>
    <row r="45" spans="1:7" ht="19.5" customHeight="1">
      <c r="A45" s="3783"/>
      <c r="B45" s="3774" t="s">
        <v>2636</v>
      </c>
      <c r="C45" s="3105" t="s">
        <v>2485</v>
      </c>
      <c r="D45" s="3106"/>
      <c r="E45" s="3107">
        <v>1</v>
      </c>
      <c r="F45" s="3104" t="s">
        <v>2486</v>
      </c>
      <c r="G45" s="3104"/>
    </row>
    <row r="46" spans="1:7" ht="19.5" customHeight="1">
      <c r="A46" s="3783"/>
      <c r="B46" s="3776"/>
      <c r="C46" s="3105" t="s">
        <v>2487</v>
      </c>
      <c r="D46" s="3106"/>
      <c r="E46" s="3107">
        <v>1</v>
      </c>
      <c r="F46" s="3104" t="s">
        <v>2488</v>
      </c>
      <c r="G46" s="3104"/>
    </row>
    <row r="47" spans="1:7" ht="19.5" customHeight="1">
      <c r="A47" s="3783"/>
      <c r="B47" s="3776"/>
      <c r="C47" s="3105" t="s">
        <v>2489</v>
      </c>
      <c r="D47" s="3106"/>
      <c r="E47" s="3107">
        <v>1</v>
      </c>
      <c r="F47" s="3104" t="s">
        <v>2490</v>
      </c>
      <c r="G47" s="3104"/>
    </row>
    <row r="48" spans="1:7" ht="19.5" customHeight="1">
      <c r="A48" s="3783"/>
      <c r="B48" s="3776"/>
      <c r="C48" s="3105" t="s">
        <v>2491</v>
      </c>
      <c r="D48" s="3106"/>
      <c r="E48" s="3107">
        <v>1</v>
      </c>
      <c r="F48" s="3104" t="s">
        <v>2492</v>
      </c>
      <c r="G48" s="3104"/>
    </row>
    <row r="49" spans="1:7" ht="19.5" customHeight="1">
      <c r="A49" s="3783"/>
      <c r="B49" s="3776"/>
      <c r="C49" s="3105" t="s">
        <v>2493</v>
      </c>
      <c r="D49" s="3106"/>
      <c r="E49" s="3107">
        <v>1</v>
      </c>
      <c r="F49" s="3104" t="s">
        <v>2494</v>
      </c>
      <c r="G49" s="3104"/>
    </row>
    <row r="50" spans="1:7" ht="19.5" customHeight="1">
      <c r="A50" s="3783"/>
      <c r="B50" s="3776"/>
      <c r="C50" s="3105" t="s">
        <v>2495</v>
      </c>
      <c r="D50" s="3106"/>
      <c r="E50" s="3107">
        <v>1</v>
      </c>
      <c r="F50" s="3104" t="s">
        <v>2496</v>
      </c>
      <c r="G50" s="3104"/>
    </row>
    <row r="51" spans="1:7" ht="19.5" customHeight="1" thickBot="1">
      <c r="A51" s="3784"/>
      <c r="B51" s="3778"/>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74" t="s">
        <v>2650</v>
      </c>
      <c r="C73" s="3090" t="s">
        <v>2651</v>
      </c>
      <c r="D73" s="3090" t="s">
        <v>2652</v>
      </c>
      <c r="E73" s="3116">
        <v>0.2</v>
      </c>
      <c r="F73" s="3116">
        <v>25</v>
      </c>
    </row>
    <row r="74" spans="1:7" ht="24">
      <c r="A74" s="3116">
        <v>2</v>
      </c>
      <c r="B74" s="3776"/>
      <c r="C74" s="3090" t="s">
        <v>2653</v>
      </c>
      <c r="D74" s="3090" t="s">
        <v>2654</v>
      </c>
      <c r="E74" s="3116">
        <v>0.2</v>
      </c>
      <c r="F74" s="3116">
        <v>25</v>
      </c>
    </row>
    <row r="75" spans="1:7" ht="24">
      <c r="A75" s="3116">
        <v>3</v>
      </c>
      <c r="B75" s="3776"/>
      <c r="C75" s="3090" t="s">
        <v>2655</v>
      </c>
      <c r="D75" s="3090" t="s">
        <v>2656</v>
      </c>
      <c r="E75" s="3116">
        <v>0.2</v>
      </c>
      <c r="F75" s="3116">
        <v>25</v>
      </c>
    </row>
    <row r="76" spans="1:7" ht="13.5">
      <c r="A76" s="3116">
        <v>4</v>
      </c>
      <c r="B76" s="3776"/>
      <c r="C76" s="3090" t="s">
        <v>2657</v>
      </c>
      <c r="D76" s="3090" t="s">
        <v>2658</v>
      </c>
      <c r="E76" s="3116">
        <v>0.15</v>
      </c>
      <c r="F76" s="3116">
        <v>20</v>
      </c>
    </row>
    <row r="77" spans="1:7" ht="24">
      <c r="A77" s="3116">
        <v>5</v>
      </c>
      <c r="B77" s="3776"/>
      <c r="C77" s="3090" t="s">
        <v>2659</v>
      </c>
      <c r="D77" s="3090" t="s">
        <v>2660</v>
      </c>
      <c r="E77" s="3116">
        <v>0.15</v>
      </c>
      <c r="F77" s="3116">
        <v>20</v>
      </c>
    </row>
    <row r="78" spans="1:7" ht="24">
      <c r="A78" s="3116">
        <v>6</v>
      </c>
      <c r="B78" s="3776"/>
      <c r="C78" s="3090" t="s">
        <v>2661</v>
      </c>
      <c r="D78" s="3090" t="s">
        <v>2662</v>
      </c>
      <c r="E78" s="3116">
        <v>0.15</v>
      </c>
      <c r="F78" s="3116">
        <v>20</v>
      </c>
    </row>
    <row r="79" spans="1:7" ht="24">
      <c r="A79" s="3116">
        <v>7</v>
      </c>
      <c r="B79" s="3776"/>
      <c r="C79" s="3090" t="s">
        <v>2663</v>
      </c>
      <c r="D79" s="3090" t="s">
        <v>2664</v>
      </c>
      <c r="E79" s="3116">
        <v>0.15</v>
      </c>
      <c r="F79" s="3116">
        <v>20</v>
      </c>
    </row>
    <row r="80" spans="1:7" ht="24">
      <c r="A80" s="3116">
        <v>8</v>
      </c>
      <c r="B80" s="3776"/>
      <c r="C80" s="3090" t="s">
        <v>2665</v>
      </c>
      <c r="D80" s="3090" t="s">
        <v>2666</v>
      </c>
      <c r="E80" s="3116">
        <v>0.1</v>
      </c>
      <c r="F80" s="3116">
        <v>15</v>
      </c>
    </row>
    <row r="81" spans="1:6" ht="24">
      <c r="A81" s="3116">
        <v>9</v>
      </c>
      <c r="B81" s="3776"/>
      <c r="C81" s="3090" t="s">
        <v>2667</v>
      </c>
      <c r="D81" s="3090" t="s">
        <v>2668</v>
      </c>
      <c r="E81" s="3116">
        <v>0.1</v>
      </c>
      <c r="F81" s="3116">
        <v>15</v>
      </c>
    </row>
    <row r="82" spans="1:6" ht="24">
      <c r="A82" s="3116">
        <v>10</v>
      </c>
      <c r="B82" s="3776"/>
      <c r="C82" s="3090" t="s">
        <v>2669</v>
      </c>
      <c r="D82" s="3090" t="s">
        <v>2670</v>
      </c>
      <c r="E82" s="3116">
        <v>0.1</v>
      </c>
      <c r="F82" s="3116">
        <v>15</v>
      </c>
    </row>
    <row r="83" spans="1:6" ht="24">
      <c r="A83" s="3116">
        <v>11</v>
      </c>
      <c r="B83" s="3776"/>
      <c r="C83" s="3090" t="s">
        <v>2671</v>
      </c>
      <c r="D83" s="3090" t="s">
        <v>2672</v>
      </c>
      <c r="E83" s="3116">
        <v>0.1</v>
      </c>
      <c r="F83" s="3116">
        <v>15</v>
      </c>
    </row>
    <row r="84" spans="1:6" ht="24">
      <c r="A84" s="3116">
        <v>12</v>
      </c>
      <c r="B84" s="3776"/>
      <c r="C84" s="3090" t="s">
        <v>2673</v>
      </c>
      <c r="D84" s="3090" t="s">
        <v>2674</v>
      </c>
      <c r="E84" s="3116">
        <v>0.1</v>
      </c>
      <c r="F84" s="3116">
        <v>15</v>
      </c>
    </row>
    <row r="85" spans="1:6" ht="13.5">
      <c r="A85" s="3116">
        <v>13</v>
      </c>
      <c r="B85" s="3776"/>
      <c r="C85" s="3090" t="s">
        <v>2675</v>
      </c>
      <c r="D85" s="3090" t="s">
        <v>2676</v>
      </c>
      <c r="E85" s="3116">
        <v>0.1</v>
      </c>
      <c r="F85" s="3116">
        <v>15</v>
      </c>
    </row>
    <row r="86" spans="1:6" ht="13.5">
      <c r="A86" s="3116">
        <v>14</v>
      </c>
      <c r="B86" s="3776"/>
      <c r="C86" s="3090" t="s">
        <v>2677</v>
      </c>
      <c r="D86" s="3090" t="s">
        <v>2678</v>
      </c>
      <c r="E86" s="3116">
        <v>0.1</v>
      </c>
      <c r="F86" s="3116">
        <v>15</v>
      </c>
    </row>
    <row r="87" spans="1:6" ht="13.5">
      <c r="A87" s="3116">
        <v>15</v>
      </c>
      <c r="B87" s="3776"/>
      <c r="C87" s="3090" t="s">
        <v>2679</v>
      </c>
      <c r="D87" s="3090" t="s">
        <v>2680</v>
      </c>
      <c r="E87" s="3116">
        <v>0.1</v>
      </c>
      <c r="F87" s="3116">
        <v>15</v>
      </c>
    </row>
    <row r="88" spans="1:6" ht="24">
      <c r="A88" s="3116">
        <v>16</v>
      </c>
      <c r="B88" s="3776"/>
      <c r="C88" s="3090" t="s">
        <v>2681</v>
      </c>
      <c r="D88" s="3090" t="s">
        <v>2682</v>
      </c>
      <c r="E88" s="3116">
        <v>0.1</v>
      </c>
      <c r="F88" s="3116">
        <v>15</v>
      </c>
    </row>
    <row r="89" spans="1:6" ht="24">
      <c r="A89" s="3116">
        <v>17</v>
      </c>
      <c r="B89" s="3775"/>
      <c r="C89" s="3090" t="s">
        <v>2683</v>
      </c>
      <c r="D89" s="3090" t="s">
        <v>2684</v>
      </c>
      <c r="E89" s="3116">
        <v>0.1</v>
      </c>
      <c r="F89" s="3116">
        <v>15</v>
      </c>
    </row>
    <row r="90" spans="1:6" ht="13.5">
      <c r="A90" s="3116">
        <v>18</v>
      </c>
      <c r="B90" s="3774" t="s">
        <v>2685</v>
      </c>
      <c r="C90" s="3090" t="s">
        <v>2686</v>
      </c>
      <c r="D90" s="3090" t="s">
        <v>2687</v>
      </c>
      <c r="E90" s="3116">
        <v>0.2</v>
      </c>
      <c r="F90" s="3116">
        <v>25</v>
      </c>
    </row>
    <row r="91" spans="1:6" ht="24">
      <c r="A91" s="3116">
        <v>19</v>
      </c>
      <c r="B91" s="3776"/>
      <c r="C91" s="3090" t="s">
        <v>2688</v>
      </c>
      <c r="D91" s="3090" t="s">
        <v>2689</v>
      </c>
      <c r="E91" s="3116">
        <v>0.2</v>
      </c>
      <c r="F91" s="3116">
        <v>25</v>
      </c>
    </row>
    <row r="92" spans="1:6" ht="13.5">
      <c r="A92" s="3116">
        <v>20</v>
      </c>
      <c r="B92" s="3776"/>
      <c r="C92" s="3090" t="s">
        <v>2690</v>
      </c>
      <c r="D92" s="3090" t="s">
        <v>2691</v>
      </c>
      <c r="E92" s="3116">
        <v>0.15</v>
      </c>
      <c r="F92" s="3116">
        <v>20</v>
      </c>
    </row>
    <row r="93" spans="1:6" ht="13.5">
      <c r="A93" s="3116">
        <v>21</v>
      </c>
      <c r="B93" s="3776"/>
      <c r="C93" s="3090" t="s">
        <v>2692</v>
      </c>
      <c r="D93" s="3090" t="s">
        <v>2693</v>
      </c>
      <c r="E93" s="3116">
        <v>0.15</v>
      </c>
      <c r="F93" s="3116">
        <v>20</v>
      </c>
    </row>
    <row r="94" spans="1:6" ht="13.5">
      <c r="A94" s="3116">
        <v>22</v>
      </c>
      <c r="B94" s="3776"/>
      <c r="C94" s="3090" t="s">
        <v>2694</v>
      </c>
      <c r="D94" s="3090" t="s">
        <v>2695</v>
      </c>
      <c r="E94" s="3116">
        <v>0.15</v>
      </c>
      <c r="F94" s="3116">
        <v>20</v>
      </c>
    </row>
    <row r="95" spans="1:6" ht="36">
      <c r="A95" s="3116">
        <v>23</v>
      </c>
      <c r="B95" s="3776"/>
      <c r="C95" s="3090" t="s">
        <v>2696</v>
      </c>
      <c r="D95" s="3090" t="s">
        <v>2697</v>
      </c>
      <c r="E95" s="3116">
        <v>0.15</v>
      </c>
      <c r="F95" s="3116">
        <v>20</v>
      </c>
    </row>
    <row r="96" spans="1:6" ht="13.5">
      <c r="A96" s="3116">
        <v>24</v>
      </c>
      <c r="B96" s="3776"/>
      <c r="C96" s="3090" t="s">
        <v>2698</v>
      </c>
      <c r="D96" s="3090" t="s">
        <v>2699</v>
      </c>
      <c r="E96" s="3116">
        <v>0.1</v>
      </c>
      <c r="F96" s="3116">
        <v>15</v>
      </c>
    </row>
    <row r="97" spans="1:6" ht="13.5">
      <c r="A97" s="3116">
        <v>25</v>
      </c>
      <c r="B97" s="3776"/>
      <c r="C97" s="3090" t="s">
        <v>2700</v>
      </c>
      <c r="D97" s="3090" t="s">
        <v>2701</v>
      </c>
      <c r="E97" s="3116">
        <v>0.1</v>
      </c>
      <c r="F97" s="3116">
        <v>15</v>
      </c>
    </row>
    <row r="98" spans="1:6" ht="24">
      <c r="A98" s="3116">
        <v>26</v>
      </c>
      <c r="B98" s="3776"/>
      <c r="C98" s="3090" t="s">
        <v>2702</v>
      </c>
      <c r="D98" s="3090" t="s">
        <v>2703</v>
      </c>
      <c r="E98" s="3116">
        <v>0.1</v>
      </c>
      <c r="F98" s="3116">
        <v>15</v>
      </c>
    </row>
    <row r="99" spans="1:6" ht="24">
      <c r="A99" s="3116">
        <v>27</v>
      </c>
      <c r="B99" s="3776"/>
      <c r="C99" s="3090" t="s">
        <v>2704</v>
      </c>
      <c r="D99" s="3090" t="s">
        <v>2705</v>
      </c>
      <c r="E99" s="3116">
        <v>0.1</v>
      </c>
      <c r="F99" s="3116">
        <v>15</v>
      </c>
    </row>
    <row r="100" spans="1:6" ht="13.5">
      <c r="A100" s="3116">
        <v>28</v>
      </c>
      <c r="B100" s="3776"/>
      <c r="C100" s="3090" t="s">
        <v>2706</v>
      </c>
      <c r="D100" s="3090" t="s">
        <v>2707</v>
      </c>
      <c r="E100" s="3116">
        <v>0.1</v>
      </c>
      <c r="F100" s="3116">
        <v>15</v>
      </c>
    </row>
    <row r="101" spans="1:6" ht="13.5">
      <c r="A101" s="3116">
        <v>29</v>
      </c>
      <c r="B101" s="3776"/>
      <c r="C101" s="3090" t="s">
        <v>2708</v>
      </c>
      <c r="D101" s="3090" t="s">
        <v>2709</v>
      </c>
      <c r="E101" s="3116">
        <v>0.1</v>
      </c>
      <c r="F101" s="3116">
        <v>15</v>
      </c>
    </row>
    <row r="102" spans="1:6" ht="13.5">
      <c r="A102" s="3116">
        <v>30</v>
      </c>
      <c r="B102" s="3776"/>
      <c r="C102" s="3090" t="s">
        <v>2710</v>
      </c>
      <c r="D102" s="3090" t="s">
        <v>2711</v>
      </c>
      <c r="E102" s="3116">
        <v>0.1</v>
      </c>
      <c r="F102" s="3116">
        <v>15</v>
      </c>
    </row>
    <row r="103" spans="1:6" ht="24">
      <c r="A103" s="3116">
        <v>31</v>
      </c>
      <c r="B103" s="3776"/>
      <c r="C103" s="3090" t="s">
        <v>2712</v>
      </c>
      <c r="D103" s="3090" t="s">
        <v>2713</v>
      </c>
      <c r="E103" s="3116">
        <v>0.1</v>
      </c>
      <c r="F103" s="3116">
        <v>15</v>
      </c>
    </row>
    <row r="104" spans="1:6" ht="24">
      <c r="A104" s="3116">
        <v>32</v>
      </c>
      <c r="B104" s="3776"/>
      <c r="C104" s="3090" t="s">
        <v>2714</v>
      </c>
      <c r="D104" s="3090" t="s">
        <v>2715</v>
      </c>
      <c r="E104" s="3116">
        <v>0.1</v>
      </c>
      <c r="F104" s="3116">
        <v>15</v>
      </c>
    </row>
    <row r="105" spans="1:6" ht="24">
      <c r="A105" s="3116">
        <v>33</v>
      </c>
      <c r="B105" s="3776"/>
      <c r="C105" s="3090" t="s">
        <v>2716</v>
      </c>
      <c r="D105" s="3090" t="s">
        <v>2717</v>
      </c>
      <c r="E105" s="3116">
        <v>0.1</v>
      </c>
      <c r="F105" s="3116">
        <v>15</v>
      </c>
    </row>
    <row r="106" spans="1:6" ht="24">
      <c r="A106" s="3116">
        <v>34</v>
      </c>
      <c r="B106" s="3775"/>
      <c r="C106" s="3090" t="s">
        <v>2718</v>
      </c>
      <c r="D106" s="3090" t="s">
        <v>2719</v>
      </c>
      <c r="E106" s="3116">
        <v>0.1</v>
      </c>
      <c r="F106" s="3116">
        <v>15</v>
      </c>
    </row>
    <row r="107" spans="1:6" ht="24">
      <c r="A107" s="3116">
        <v>35</v>
      </c>
      <c r="B107" s="3774" t="s">
        <v>2720</v>
      </c>
      <c r="C107" s="3116" t="s">
        <v>2721</v>
      </c>
      <c r="D107" s="3090" t="s">
        <v>2722</v>
      </c>
      <c r="E107" s="3116">
        <v>0.15</v>
      </c>
      <c r="F107" s="3116">
        <v>20</v>
      </c>
    </row>
    <row r="108" spans="1:6" ht="13.5">
      <c r="A108" s="3116">
        <v>36</v>
      </c>
      <c r="B108" s="3776"/>
      <c r="C108" s="3116" t="s">
        <v>2723</v>
      </c>
      <c r="D108" s="3090" t="s">
        <v>2724</v>
      </c>
      <c r="E108" s="3116">
        <v>0.15</v>
      </c>
      <c r="F108" s="3116">
        <v>20</v>
      </c>
    </row>
    <row r="109" spans="1:6" ht="13.5">
      <c r="A109" s="3116">
        <v>37</v>
      </c>
      <c r="B109" s="3776"/>
      <c r="C109" s="3116" t="s">
        <v>2725</v>
      </c>
      <c r="D109" s="3090" t="s">
        <v>2726</v>
      </c>
      <c r="E109" s="3116">
        <v>0.15</v>
      </c>
      <c r="F109" s="3116">
        <v>20</v>
      </c>
    </row>
    <row r="110" spans="1:6" ht="13.5">
      <c r="A110" s="3116">
        <v>38</v>
      </c>
      <c r="B110" s="3776"/>
      <c r="C110" s="3116" t="s">
        <v>2727</v>
      </c>
      <c r="D110" s="3090" t="s">
        <v>2728</v>
      </c>
      <c r="E110" s="3116">
        <v>0.1</v>
      </c>
      <c r="F110" s="3116">
        <v>15</v>
      </c>
    </row>
    <row r="111" spans="1:6" ht="24">
      <c r="A111" s="3116">
        <v>39</v>
      </c>
      <c r="B111" s="3776"/>
      <c r="C111" s="3116" t="s">
        <v>2729</v>
      </c>
      <c r="D111" s="3090" t="s">
        <v>2730</v>
      </c>
      <c r="E111" s="3116">
        <v>0.1</v>
      </c>
      <c r="F111" s="3116">
        <v>15</v>
      </c>
    </row>
    <row r="112" spans="1:6" ht="24">
      <c r="A112" s="3116">
        <v>40</v>
      </c>
      <c r="B112" s="3775"/>
      <c r="C112" s="3116" t="s">
        <v>2731</v>
      </c>
      <c r="D112" s="3090" t="s">
        <v>2732</v>
      </c>
      <c r="E112" s="3116">
        <v>0.1</v>
      </c>
      <c r="F112" s="3116">
        <v>15</v>
      </c>
    </row>
    <row r="113" spans="1:6" ht="13.5">
      <c r="A113" s="3116">
        <v>41</v>
      </c>
      <c r="B113" s="3773" t="s">
        <v>2733</v>
      </c>
      <c r="C113" s="3116" t="s">
        <v>2734</v>
      </c>
      <c r="D113" s="3090" t="s">
        <v>2735</v>
      </c>
      <c r="E113" s="3116">
        <v>0.1</v>
      </c>
      <c r="F113" s="3116">
        <v>15</v>
      </c>
    </row>
    <row r="114" spans="1:6" ht="13.5">
      <c r="A114" s="3116">
        <v>42</v>
      </c>
      <c r="B114" s="3773"/>
      <c r="C114" s="3116" t="s">
        <v>2736</v>
      </c>
      <c r="D114" s="3090" t="s">
        <v>2737</v>
      </c>
      <c r="E114" s="3116">
        <v>0.1</v>
      </c>
      <c r="F114" s="3116">
        <v>15</v>
      </c>
    </row>
    <row r="115" spans="1:6" ht="24">
      <c r="A115" s="3116">
        <v>43</v>
      </c>
      <c r="B115" s="3773"/>
      <c r="C115" s="3116" t="s">
        <v>2738</v>
      </c>
      <c r="D115" s="3090" t="s">
        <v>2739</v>
      </c>
      <c r="E115" s="3116">
        <v>0.1</v>
      </c>
      <c r="F115" s="3116">
        <v>15</v>
      </c>
    </row>
    <row r="116" spans="1:6" ht="13.5">
      <c r="A116" s="3116">
        <v>44</v>
      </c>
      <c r="B116" s="3774" t="s">
        <v>2740</v>
      </c>
      <c r="C116" s="3116" t="s">
        <v>2741</v>
      </c>
      <c r="D116" s="3090" t="s">
        <v>2742</v>
      </c>
      <c r="E116" s="3116">
        <v>0.1</v>
      </c>
      <c r="F116" s="3116">
        <v>15</v>
      </c>
    </row>
    <row r="117" spans="1:6" ht="24">
      <c r="A117" s="3116">
        <v>45</v>
      </c>
      <c r="B117" s="3775"/>
      <c r="C117" s="3090" t="s">
        <v>2743</v>
      </c>
      <c r="D117" s="3090" t="s">
        <v>2744</v>
      </c>
      <c r="E117" s="3116">
        <v>0.1</v>
      </c>
      <c r="F117" s="3116">
        <v>15</v>
      </c>
    </row>
    <row r="118" spans="1:6" ht="24">
      <c r="A118" s="3116">
        <v>46</v>
      </c>
      <c r="B118" s="3774" t="s">
        <v>2745</v>
      </c>
      <c r="C118" s="3116" t="s">
        <v>2746</v>
      </c>
      <c r="D118" s="3090" t="s">
        <v>2747</v>
      </c>
      <c r="E118" s="3116">
        <v>0.1</v>
      </c>
      <c r="F118" s="3116">
        <v>15</v>
      </c>
    </row>
    <row r="119" spans="1:6" ht="24">
      <c r="A119" s="3116">
        <v>47</v>
      </c>
      <c r="B119" s="3775"/>
      <c r="C119" s="3116" t="s">
        <v>2748</v>
      </c>
      <c r="D119" s="3090" t="s">
        <v>2749</v>
      </c>
      <c r="E119" s="3116">
        <v>0.1</v>
      </c>
      <c r="F119" s="3116">
        <v>15</v>
      </c>
    </row>
    <row r="120" spans="1:6" ht="13.5">
      <c r="A120" s="3116">
        <v>48</v>
      </c>
      <c r="B120" s="3774" t="s">
        <v>2750</v>
      </c>
      <c r="C120" s="3116" t="s">
        <v>2751</v>
      </c>
      <c r="D120" s="3090" t="s">
        <v>2752</v>
      </c>
      <c r="E120" s="3116">
        <v>0.1</v>
      </c>
      <c r="F120" s="3116">
        <v>15</v>
      </c>
    </row>
    <row r="121" spans="1:6" ht="13.5">
      <c r="A121" s="3116">
        <v>49</v>
      </c>
      <c r="B121" s="3775"/>
      <c r="C121" s="3116" t="s">
        <v>2753</v>
      </c>
      <c r="D121" s="3090" t="s">
        <v>2754</v>
      </c>
      <c r="E121" s="3116">
        <v>0.1</v>
      </c>
      <c r="F121" s="3116">
        <v>15</v>
      </c>
    </row>
    <row r="122" spans="1:6" ht="24">
      <c r="A122" s="3116">
        <v>50</v>
      </c>
      <c r="B122" s="3773" t="s">
        <v>2755</v>
      </c>
      <c r="C122" s="3116" t="s">
        <v>2756</v>
      </c>
      <c r="D122" s="3090" t="s">
        <v>2757</v>
      </c>
      <c r="E122" s="3116">
        <v>0.1</v>
      </c>
      <c r="F122" s="3116">
        <v>15</v>
      </c>
    </row>
    <row r="123" spans="1:6" ht="24">
      <c r="A123" s="3116">
        <v>51</v>
      </c>
      <c r="B123" s="3773"/>
      <c r="C123" s="3116" t="s">
        <v>2758</v>
      </c>
      <c r="D123" s="3090" t="s">
        <v>2759</v>
      </c>
      <c r="E123" s="3116">
        <v>0.1</v>
      </c>
      <c r="F123" s="3116">
        <v>15</v>
      </c>
    </row>
    <row r="124" spans="1:6" ht="24">
      <c r="A124" s="3116">
        <v>52</v>
      </c>
      <c r="B124" s="3773" t="s">
        <v>2760</v>
      </c>
      <c r="C124" s="3116" t="s">
        <v>2761</v>
      </c>
      <c r="D124" s="3090" t="s">
        <v>2762</v>
      </c>
      <c r="E124" s="3116">
        <v>0.1</v>
      </c>
      <c r="F124" s="3116">
        <v>15</v>
      </c>
    </row>
    <row r="125" spans="1:6" ht="24">
      <c r="A125" s="3116">
        <v>53</v>
      </c>
      <c r="B125" s="3773"/>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73" t="s">
        <v>2768</v>
      </c>
      <c r="C127" s="3116" t="s">
        <v>2769</v>
      </c>
      <c r="D127" s="3090" t="s">
        <v>2770</v>
      </c>
      <c r="E127" s="3116">
        <v>0.1</v>
      </c>
      <c r="F127" s="3116">
        <v>15</v>
      </c>
    </row>
    <row r="128" spans="1:6" ht="13.5">
      <c r="A128" s="3116">
        <v>56</v>
      </c>
      <c r="B128" s="3773"/>
      <c r="C128" s="3116" t="s">
        <v>2771</v>
      </c>
      <c r="D128" s="3090" t="s">
        <v>2772</v>
      </c>
      <c r="E128" s="3116">
        <v>0.1</v>
      </c>
      <c r="F128" s="3116">
        <v>15</v>
      </c>
    </row>
    <row r="129" spans="1:6" ht="24">
      <c r="A129" s="3116">
        <v>57</v>
      </c>
      <c r="B129" s="3773"/>
      <c r="C129" s="3116" t="s">
        <v>2773</v>
      </c>
      <c r="D129" s="3090" t="s">
        <v>2774</v>
      </c>
      <c r="E129" s="3116">
        <v>0.1</v>
      </c>
      <c r="F129" s="3116">
        <v>15</v>
      </c>
    </row>
    <row r="130" spans="1:6" ht="24">
      <c r="A130" s="3116">
        <v>58</v>
      </c>
      <c r="B130" s="3773" t="s">
        <v>2775</v>
      </c>
      <c r="C130" s="3116" t="s">
        <v>2776</v>
      </c>
      <c r="D130" s="3090" t="s">
        <v>2777</v>
      </c>
      <c r="E130" s="3116">
        <v>0.1</v>
      </c>
      <c r="F130" s="3116">
        <v>15</v>
      </c>
    </row>
    <row r="131" spans="1:6" ht="13.5">
      <c r="A131" s="3116">
        <v>59</v>
      </c>
      <c r="B131" s="3773"/>
      <c r="C131" s="3116" t="s">
        <v>2778</v>
      </c>
      <c r="D131" s="3090" t="s">
        <v>2779</v>
      </c>
      <c r="E131" s="3116">
        <v>0.1</v>
      </c>
      <c r="F131" s="3116">
        <v>15</v>
      </c>
    </row>
    <row r="132" spans="1:6" ht="13.5">
      <c r="A132" s="3116">
        <v>60</v>
      </c>
      <c r="B132" s="3774" t="s">
        <v>2780</v>
      </c>
      <c r="C132" s="3116" t="s">
        <v>2781</v>
      </c>
      <c r="D132" s="3090" t="s">
        <v>2782</v>
      </c>
      <c r="E132" s="3116">
        <v>0.1</v>
      </c>
      <c r="F132" s="3116">
        <v>15</v>
      </c>
    </row>
    <row r="133" spans="1:6" ht="13.5">
      <c r="A133" s="3116">
        <v>61</v>
      </c>
      <c r="B133" s="3775"/>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73" t="s">
        <v>2788</v>
      </c>
      <c r="C135" s="3116" t="s">
        <v>2789</v>
      </c>
      <c r="D135" s="3090" t="s">
        <v>2790</v>
      </c>
      <c r="E135" s="3116">
        <v>0.1</v>
      </c>
      <c r="F135" s="3116">
        <v>15</v>
      </c>
    </row>
    <row r="136" spans="1:6" ht="13.5">
      <c r="A136" s="3116">
        <v>64</v>
      </c>
      <c r="B136" s="3773"/>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v>
      </c>
      <c r="B3" s="3470"/>
      <c r="C3" s="3470"/>
      <c r="D3" s="3470"/>
      <c r="E3" s="3470"/>
    </row>
    <row r="4" spans="1:5" ht="19.5" thickBot="1">
      <c r="A4" s="1491"/>
      <c r="B4" s="3468" t="s">
        <v>917</v>
      </c>
      <c r="C4" s="3468"/>
      <c r="D4" s="3468"/>
      <c r="E4" s="1491"/>
    </row>
    <row r="5" spans="1:5" ht="16.5" thickTop="1">
      <c r="A5" s="1489"/>
      <c r="B5" s="3466" t="s">
        <v>909</v>
      </c>
      <c r="C5" s="1492" t="s">
        <v>910</v>
      </c>
      <c r="D5" s="850" t="e">
        <f ca="1">结果表!H101</f>
        <v>#REF!</v>
      </c>
      <c r="E5" s="1489"/>
    </row>
    <row r="6" spans="1:5" ht="15.75">
      <c r="A6" s="1489"/>
      <c r="B6" s="3466"/>
      <c r="C6" s="1492" t="s">
        <v>911</v>
      </c>
      <c r="D6" s="850" t="e">
        <f ca="1">NUMBERSTRING(INT(D5*10000),2)&amp;"元整"</f>
        <v>#REF!</v>
      </c>
      <c r="E6" s="1489"/>
    </row>
    <row r="7" spans="1:5" ht="15.75">
      <c r="A7" s="1489"/>
      <c r="B7" s="3471"/>
      <c r="C7" s="1493" t="s">
        <v>912</v>
      </c>
      <c r="D7" s="851" t="e">
        <f ca="1">结果表!H102</f>
        <v>#REF!</v>
      </c>
      <c r="E7" s="1489"/>
    </row>
    <row r="8" spans="1:5" ht="15.75">
      <c r="A8" s="1489"/>
      <c r="B8" s="3472" t="str">
        <f>结果表!E103</f>
        <v>2.估价师知悉的法定优先受偿款</v>
      </c>
      <c r="C8" s="1494" t="s">
        <v>913</v>
      </c>
      <c r="D8" s="851">
        <f>结果表!H103</f>
        <v>0</v>
      </c>
      <c r="E8" s="1489"/>
    </row>
    <row r="9" spans="1:5" ht="15.75">
      <c r="A9" s="1489"/>
      <c r="B9" s="3474"/>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65" t="str">
        <f>结果表!E107</f>
        <v>3.房地产抵押价值</v>
      </c>
      <c r="C13" s="1497" t="s">
        <v>910</v>
      </c>
      <c r="D13" s="853" t="e">
        <f ca="1">结果表!H107</f>
        <v>#REF!</v>
      </c>
      <c r="E13" s="1489"/>
    </row>
    <row r="14" spans="1:5" ht="15.75">
      <c r="A14" s="1489"/>
      <c r="B14" s="3466"/>
      <c r="C14" s="1492" t="s">
        <v>911</v>
      </c>
      <c r="D14" s="850" t="e">
        <f ca="1">NUMBERSTRING(INT(D13*10000),2)&amp;"元整"</f>
        <v>#REF!</v>
      </c>
      <c r="E14" s="1489"/>
    </row>
    <row r="15" spans="1:5" ht="15">
      <c r="A15" s="1489"/>
      <c r="B15" s="3471"/>
      <c r="C15" s="1493" t="s">
        <v>921</v>
      </c>
      <c r="D15" s="859" t="e">
        <f ca="1">结果表!H108</f>
        <v>#REF!</v>
      </c>
      <c r="E15" s="1489"/>
    </row>
    <row r="16" spans="1:5" ht="15">
      <c r="A16" s="1489"/>
      <c r="B16" s="3472" t="str">
        <f>结果表!E109</f>
        <v>——</v>
      </c>
      <c r="C16" s="1497" t="s">
        <v>922</v>
      </c>
      <c r="D16" s="1498" t="str">
        <f>结果表!H109</f>
        <v>——</v>
      </c>
      <c r="E16" s="1489"/>
    </row>
    <row r="17" spans="1:5" ht="15.75">
      <c r="A17" s="1489"/>
      <c r="B17" s="3473"/>
      <c r="C17" s="1492" t="s">
        <v>923</v>
      </c>
      <c r="D17" s="850" t="e">
        <f>NUMBERSTRING(INT(D16*10000),2)&amp;"元整"</f>
        <v>#VALUE!</v>
      </c>
      <c r="E17" s="1489"/>
    </row>
    <row r="18" spans="1:5" ht="15">
      <c r="A18" s="1489"/>
      <c r="B18" s="3474"/>
      <c r="C18" s="1493" t="s">
        <v>912</v>
      </c>
      <c r="D18" s="859" t="str">
        <f>结果表!H110</f>
        <v>——</v>
      </c>
      <c r="E18" s="1489"/>
    </row>
    <row r="19" spans="1:5" ht="15.75">
      <c r="A19" s="1489"/>
      <c r="B19" s="3465" t="str">
        <f>结果表!E111</f>
        <v>——</v>
      </c>
      <c r="C19" s="1497" t="s">
        <v>910</v>
      </c>
      <c r="D19" s="851" t="str">
        <f>结果表!H111</f>
        <v>——</v>
      </c>
      <c r="E19" s="1489"/>
    </row>
    <row r="20" spans="1:5" ht="15.75">
      <c r="A20" s="1489"/>
      <c r="B20" s="3466"/>
      <c r="C20" s="1492" t="s">
        <v>923</v>
      </c>
      <c r="D20" s="850" t="e">
        <f>NUMBERSTRING(INT(D19*10000),2)&amp;"元整"</f>
        <v>#VALUE!</v>
      </c>
      <c r="E20" s="1489"/>
    </row>
    <row r="21" spans="1:5" ht="15.75" thickBot="1">
      <c r="A21" s="1489"/>
      <c r="B21" s="3467"/>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6.9999999999999999E-4</v>
      </c>
      <c r="D44" s="238"/>
      <c r="E44" s="238"/>
      <c r="F44" s="239"/>
      <c r="G44" s="3649"/>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7" t="s">
        <v>2838</v>
      </c>
      <c r="B1" s="3787"/>
      <c r="C1" s="3787"/>
      <c r="D1" s="3787"/>
      <c r="E1" s="3787"/>
      <c r="F1" s="3787"/>
      <c r="G1" s="3788"/>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85"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786"/>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9" t="s">
        <v>3180</v>
      </c>
      <c r="B1" s="3789"/>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90" t="s">
        <v>3231</v>
      </c>
      <c r="B1" s="3790"/>
      <c r="C1" s="3790"/>
      <c r="D1" s="3790"/>
      <c r="E1" s="3790"/>
      <c r="F1" s="3791"/>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45322</v>
      </c>
      <c r="B1" s="3208" t="s">
        <v>3370</v>
      </c>
      <c r="C1" s="3209"/>
      <c r="D1" s="3209"/>
      <c r="E1" s="3209"/>
      <c r="F1" s="3209"/>
      <c r="G1" s="3209"/>
      <c r="H1" s="3209"/>
      <c r="I1" s="3209"/>
      <c r="J1" s="3163"/>
      <c r="K1" s="3209" t="s">
        <v>454</v>
      </c>
      <c r="L1" s="3209"/>
      <c r="M1" s="3209"/>
      <c r="N1" s="3209"/>
      <c r="O1" s="3209"/>
      <c r="P1" s="3209"/>
      <c r="Q1" s="3163"/>
      <c r="R1" s="3792" t="s">
        <v>456</v>
      </c>
      <c r="S1" s="3793"/>
      <c r="T1" s="3793"/>
      <c r="U1" s="3793"/>
      <c r="V1" s="3793"/>
      <c r="W1" s="3793"/>
      <c r="X1" s="3163"/>
      <c r="Y1" s="3792" t="s">
        <v>457</v>
      </c>
      <c r="Z1" s="3793"/>
      <c r="AA1" s="3793"/>
      <c r="AB1" s="3793"/>
      <c r="AC1" s="3793"/>
      <c r="AD1" s="3793"/>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3373</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3" t="s">
        <v>3374</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3376</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3377</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3369</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2819</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2820</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2821</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2822</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2823</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3365</v>
      </c>
    </row>
    <row r="21" spans="1:30" s="3007" customFormat="1">
      <c r="I21" s="3206" t="s">
        <v>2824</v>
      </c>
    </row>
    <row r="22" spans="1:30" s="3007" customFormat="1"/>
    <row r="23" spans="1:30" s="3207" customFormat="1" ht="12.75">
      <c r="B23" s="3208" t="s">
        <v>3371</v>
      </c>
      <c r="C23" s="3209"/>
      <c r="D23" s="3209"/>
      <c r="E23" s="3209"/>
      <c r="F23" s="3209"/>
      <c r="G23" s="3209"/>
      <c r="H23" s="3209"/>
      <c r="I23" s="3209"/>
      <c r="J23" s="3163"/>
      <c r="K23" s="3209" t="s">
        <v>2825</v>
      </c>
      <c r="L23" s="3209"/>
      <c r="M23" s="3209"/>
      <c r="N23" s="3209"/>
      <c r="O23" s="3209"/>
      <c r="P23" s="3209"/>
      <c r="Q23" s="3163"/>
      <c r="R23" s="3792" t="s">
        <v>2826</v>
      </c>
      <c r="S23" s="3793"/>
      <c r="T23" s="3793"/>
      <c r="U23" s="3793"/>
      <c r="V23" s="3793"/>
      <c r="W23" s="3793"/>
      <c r="X23" s="3163"/>
      <c r="Y23" s="3792" t="s">
        <v>2827</v>
      </c>
      <c r="Z23" s="3793"/>
      <c r="AA23" s="3793"/>
      <c r="AB23" s="3793"/>
      <c r="AC23" s="3793"/>
      <c r="AD23" s="3793"/>
    </row>
    <row r="24" spans="1:30" s="3141" customFormat="1" ht="14.25" thickBot="1">
      <c r="B24" s="3142"/>
      <c r="C24" s="3143"/>
      <c r="D24" s="3144" t="s">
        <v>2828</v>
      </c>
      <c r="E24" s="3145" t="s">
        <v>2829</v>
      </c>
      <c r="F24" s="3145" t="s">
        <v>2830</v>
      </c>
      <c r="G24" s="3145" t="s">
        <v>2831</v>
      </c>
      <c r="H24" s="3145"/>
      <c r="I24" s="3145" t="s">
        <v>2832</v>
      </c>
      <c r="J24" s="3146"/>
      <c r="K24" s="3144" t="s">
        <v>2828</v>
      </c>
      <c r="L24" s="3145" t="s">
        <v>2829</v>
      </c>
      <c r="M24" s="3145" t="s">
        <v>2830</v>
      </c>
      <c r="N24" s="3145" t="s">
        <v>2831</v>
      </c>
      <c r="O24" s="3145"/>
      <c r="P24" s="3145" t="s">
        <v>2832</v>
      </c>
      <c r="Q24" s="3146"/>
      <c r="R24" s="3144" t="s">
        <v>2828</v>
      </c>
      <c r="S24" s="3145" t="s">
        <v>2829</v>
      </c>
      <c r="T24" s="3145" t="s">
        <v>2830</v>
      </c>
      <c r="U24" s="3145" t="s">
        <v>2831</v>
      </c>
      <c r="V24" s="3145"/>
      <c r="W24" s="3145" t="s">
        <v>2832</v>
      </c>
      <c r="X24" s="3146"/>
      <c r="Y24" s="3144" t="s">
        <v>2828</v>
      </c>
      <c r="Z24" s="3145" t="s">
        <v>2829</v>
      </c>
      <c r="AA24" s="3145" t="s">
        <v>2830</v>
      </c>
      <c r="AB24" s="3145" t="s">
        <v>2831</v>
      </c>
      <c r="AC24" s="3145"/>
      <c r="AD24" s="3145" t="s">
        <v>2832</v>
      </c>
    </row>
    <row r="25" spans="1:30" s="3159" customFormat="1" ht="12.75">
      <c r="A25" s="3147" t="s">
        <v>2833</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3" t="s">
        <v>3373</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3" t="s">
        <v>3374</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3378</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3377</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3372</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2834</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2835</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2836</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2837</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2823</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0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45159</v>
      </c>
      <c r="D13" s="2820">
        <v>3.45</v>
      </c>
      <c r="E13" s="2820">
        <f>D13</f>
        <v>3.45</v>
      </c>
      <c r="F13" s="2820">
        <f>D13</f>
        <v>3.45</v>
      </c>
      <c r="G13" s="2820">
        <f>D13</f>
        <v>3.45</v>
      </c>
      <c r="H13" s="2820">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45097</v>
      </c>
      <c r="D14" s="2815">
        <v>3.55</v>
      </c>
      <c r="E14" s="2815">
        <f>D14</f>
        <v>3.55</v>
      </c>
      <c r="F14" s="2815">
        <f>D14</f>
        <v>3.55</v>
      </c>
      <c r="G14" s="2815">
        <f>D14</f>
        <v>3.55</v>
      </c>
      <c r="H14" s="2815">
        <v>4.2</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44795</v>
      </c>
      <c r="D15" s="2815">
        <v>3.65</v>
      </c>
      <c r="E15" s="2815">
        <v>3.65</v>
      </c>
      <c r="F15" s="2815">
        <v>3.65</v>
      </c>
      <c r="G15" s="2815">
        <v>3.65</v>
      </c>
      <c r="H15" s="2815">
        <v>4.3</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4"/>
      <c r="C16" s="2816">
        <v>44701</v>
      </c>
      <c r="D16" s="2815">
        <v>3.7</v>
      </c>
      <c r="E16" s="2815">
        <f>D16</f>
        <v>3.7</v>
      </c>
      <c r="F16" s="2815">
        <f>D16</f>
        <v>3.7</v>
      </c>
      <c r="G16" s="2815">
        <f>D16</f>
        <v>3.7</v>
      </c>
      <c r="H16" s="2815">
        <v>4.45</v>
      </c>
      <c r="I16" s="2820"/>
      <c r="J16" s="2820"/>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4"/>
      <c r="C17" s="2816">
        <v>44581</v>
      </c>
      <c r="D17" s="2815">
        <v>3.7</v>
      </c>
      <c r="E17" s="2815">
        <f>D17</f>
        <v>3.7</v>
      </c>
      <c r="F17" s="2815">
        <f>D17</f>
        <v>3.7</v>
      </c>
      <c r="G17" s="2815">
        <f>D17</f>
        <v>3.7</v>
      </c>
      <c r="H17" s="2815">
        <v>4.5999999999999996</v>
      </c>
      <c r="I17" s="2820"/>
      <c r="J17" s="2820"/>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43941</v>
      </c>
      <c r="D19" s="2815">
        <v>3.85</v>
      </c>
      <c r="E19" s="2815">
        <v>3.85</v>
      </c>
      <c r="F19" s="2815">
        <v>3.85</v>
      </c>
      <c r="G19" s="2815">
        <v>3.85</v>
      </c>
      <c r="H19" s="2815">
        <v>4.6500000000000004</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43881</v>
      </c>
      <c r="D20" s="2815">
        <v>4.05</v>
      </c>
      <c r="E20" s="2815">
        <v>4.05</v>
      </c>
      <c r="F20" s="2815">
        <v>4.05</v>
      </c>
      <c r="G20" s="2815">
        <v>4.05</v>
      </c>
      <c r="H20" s="2815">
        <v>4.75</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c r="C21" s="2816">
        <v>43789</v>
      </c>
      <c r="D21" s="2815">
        <v>4.1500000000000004</v>
      </c>
      <c r="E21" s="2815">
        <v>4.1500000000000004</v>
      </c>
      <c r="F21" s="2815">
        <v>4.1500000000000004</v>
      </c>
      <c r="G21" s="2815">
        <v>4.1500000000000004</v>
      </c>
      <c r="H21" s="2815">
        <v>4.8</v>
      </c>
      <c r="I21" s="2815"/>
      <c r="J21" s="2815"/>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c r="C22" s="2816">
        <v>43728</v>
      </c>
      <c r="D22" s="2815">
        <v>4.2</v>
      </c>
      <c r="E22" s="2815">
        <v>4.2</v>
      </c>
      <c r="F22" s="2815">
        <v>4.2</v>
      </c>
      <c r="G22" s="2815">
        <v>4.2</v>
      </c>
      <c r="H22" s="2815">
        <v>4.8499999999999996</v>
      </c>
      <c r="I22" s="2815"/>
      <c r="J22" s="2815"/>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1"/>
      <c r="B23" s="2814" t="s">
        <v>2308</v>
      </c>
      <c r="C23" s="2817">
        <v>43697</v>
      </c>
      <c r="D23" s="2818">
        <v>4.25</v>
      </c>
      <c r="E23" s="2818">
        <v>4.25</v>
      </c>
      <c r="F23" s="2818">
        <v>4.25</v>
      </c>
      <c r="G23" s="2818">
        <v>4.25</v>
      </c>
      <c r="H23" s="2818">
        <v>4.8499999999999996</v>
      </c>
      <c r="I23" s="2818"/>
      <c r="J23" s="2818"/>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2"/>
      <c r="C24" s="2823">
        <v>42301</v>
      </c>
      <c r="D24" s="2824">
        <v>4.3499999999999996</v>
      </c>
      <c r="E24" s="2824">
        <v>4.3499999999999996</v>
      </c>
      <c r="F24" s="2824">
        <v>4.75</v>
      </c>
      <c r="G24" s="2824">
        <v>4.75</v>
      </c>
      <c r="H24" s="2824">
        <v>4.9000000000000004</v>
      </c>
      <c r="I24" s="2824"/>
      <c r="J24" s="282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2" t="str">
        <f>IF(项目基本情况!B9="房地产市场价值","估价结果一览表","结果表-2")</f>
        <v>结果表-2</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房地产价值</v>
      </c>
      <c r="I2" s="3483"/>
    </row>
    <row r="3" spans="1:9" ht="15">
      <c r="A3" s="3478"/>
      <c r="B3" s="3478"/>
      <c r="C3" s="3478"/>
      <c r="D3" s="854" t="s">
        <v>925</v>
      </c>
      <c r="E3" s="854" t="s">
        <v>931</v>
      </c>
      <c r="F3" s="854" t="s">
        <v>925</v>
      </c>
      <c r="G3" s="854" t="s">
        <v>926</v>
      </c>
      <c r="H3" s="854" t="s">
        <v>925</v>
      </c>
      <c r="I3" s="854" t="s">
        <v>926</v>
      </c>
    </row>
    <row r="4" spans="1:9" ht="15">
      <c r="A4" s="1503" t="str">
        <f>项目基本情况!S2</f>
        <v>北京市房地产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75">
      <c r="A6" s="3477" t="str">
        <f>结果表!A120</f>
        <v>估价师知悉的法定优先受偿款</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房地产抵押价值</v>
      </c>
      <c r="B8" s="3477"/>
      <c r="C8" s="3477"/>
      <c r="D8" s="3477" t="e">
        <f ca="1">结果表!D122</f>
        <v>#REF!</v>
      </c>
      <c r="E8" s="3477"/>
      <c r="F8" s="3477"/>
      <c r="G8" s="3477"/>
      <c r="H8" s="3477"/>
      <c r="I8" s="3477"/>
    </row>
    <row r="9" spans="1:9" ht="15">
      <c r="A9" s="3478" t="s">
        <v>927</v>
      </c>
      <c r="B9" s="3478"/>
      <c r="C9" s="3478"/>
      <c r="D9" s="3478" t="e">
        <f ca="1">结果表!D123</f>
        <v>#REF!</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0" t="s">
        <v>949</v>
      </c>
      <c r="B1" s="3490"/>
      <c r="C1" s="3490"/>
      <c r="D1" s="3490"/>
    </row>
    <row r="2" spans="1:4" ht="18">
      <c r="A2" s="3491" t="s">
        <v>933</v>
      </c>
      <c r="B2" s="3491"/>
      <c r="C2" s="3491"/>
      <c r="D2" s="349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1" t="s">
        <v>939</v>
      </c>
      <c r="B6" s="3491"/>
      <c r="C6" s="3491"/>
      <c r="D6" s="3491"/>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8" t="s">
        <v>956</v>
      </c>
      <c r="B15" s="3493" t="s">
        <v>109</v>
      </c>
      <c r="C15" s="3494"/>
    </row>
    <row r="16" spans="1:7" ht="13.5">
      <c r="A16" s="3499"/>
      <c r="B16" s="3493" t="s">
        <v>42</v>
      </c>
      <c r="C16" s="3494"/>
    </row>
    <row r="17" spans="1:3" ht="13.5">
      <c r="A17" s="3499"/>
      <c r="B17" s="3496" t="s">
        <v>957</v>
      </c>
      <c r="C17" s="1530" t="s">
        <v>956</v>
      </c>
    </row>
    <row r="18" spans="1:3" ht="13.5">
      <c r="A18" s="3499"/>
      <c r="B18" s="3496"/>
      <c r="C18" s="1530" t="s">
        <v>958</v>
      </c>
    </row>
    <row r="19" spans="1:3" ht="13.5">
      <c r="A19" s="3499"/>
      <c r="B19" s="3496"/>
      <c r="C19" s="1530" t="s">
        <v>959</v>
      </c>
    </row>
    <row r="20" spans="1:3" ht="13.5">
      <c r="A20" s="3500"/>
      <c r="B20" s="3495" t="s">
        <v>960</v>
      </c>
      <c r="C20" s="3494"/>
    </row>
    <row r="21" spans="1:3" ht="13.5">
      <c r="A21" s="1531" t="s">
        <v>961</v>
      </c>
      <c r="B21" s="1532"/>
      <c r="C21" s="1533"/>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0" t="s">
        <v>967</v>
      </c>
    </row>
    <row r="26" spans="1:3" ht="13.5">
      <c r="A26" s="3497"/>
      <c r="B26" s="3496"/>
      <c r="C26" s="1530" t="s">
        <v>968</v>
      </c>
    </row>
    <row r="27" spans="1:3" ht="13.5">
      <c r="A27" s="3497"/>
      <c r="B27" s="3496"/>
      <c r="C27" s="1530" t="s">
        <v>969</v>
      </c>
    </row>
    <row r="28" spans="1:3" ht="13.5">
      <c r="A28" s="3497"/>
      <c r="B28" s="3496"/>
      <c r="C28" s="1530" t="s">
        <v>970</v>
      </c>
    </row>
    <row r="29" spans="1:3" ht="13.5">
      <c r="A29" s="3497"/>
      <c r="B29" s="3496"/>
      <c r="C29" s="1530" t="s">
        <v>971</v>
      </c>
    </row>
    <row r="30" spans="1:3" ht="13.5">
      <c r="A30" s="3497"/>
      <c r="B30" s="3496"/>
      <c r="C30" s="1530" t="s">
        <v>972</v>
      </c>
    </row>
    <row r="31" spans="1:3" ht="13.5">
      <c r="A31" s="3497"/>
      <c r="B31" s="3496"/>
      <c r="C31" s="1530" t="s">
        <v>973</v>
      </c>
    </row>
    <row r="32" spans="1:3" ht="13.5">
      <c r="A32" s="3497"/>
      <c r="B32" s="3496"/>
      <c r="C32" s="1530" t="s">
        <v>974</v>
      </c>
    </row>
    <row r="33" spans="1:3" ht="13.5">
      <c r="A33" s="3497"/>
      <c r="B33" s="3496"/>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45363</v>
      </c>
      <c r="C2" s="2338" t="s">
        <v>2135</v>
      </c>
      <c r="D2" s="2338"/>
      <c r="E2" s="2338"/>
      <c r="F2" s="2334"/>
      <c r="G2" s="2334"/>
      <c r="H2" s="2334"/>
    </row>
    <row r="3" spans="1:8" ht="24" customHeight="1">
      <c r="A3" s="2339" t="s">
        <v>2136</v>
      </c>
      <c r="B3" s="2340" t="s">
        <v>2137</v>
      </c>
      <c r="C3" s="2340" t="s">
        <v>2138</v>
      </c>
      <c r="D3" s="2341" t="s">
        <v>2139</v>
      </c>
      <c r="E3" s="2342" t="s">
        <v>2140</v>
      </c>
      <c r="F3" s="1303" t="s">
        <v>2141</v>
      </c>
      <c r="G3" s="2340" t="s">
        <v>2138</v>
      </c>
      <c r="H3" s="2341" t="s">
        <v>2142</v>
      </c>
    </row>
    <row r="4" spans="1:8" ht="24" customHeight="1">
      <c r="A4" s="1303" t="s">
        <v>2143</v>
      </c>
      <c r="B4" s="1303">
        <f ca="1">IF(C4&lt;B2,"已过期",1119970066)</f>
        <v>1119970066</v>
      </c>
      <c r="C4" s="2343">
        <v>45937</v>
      </c>
      <c r="D4" s="2344" t="str">
        <f ca="1">A4&amp;"（注册号："&amp;B4&amp;"）"</f>
        <v>梁津（注册号：1119970066）</v>
      </c>
      <c r="E4" s="2345" t="s">
        <v>2143</v>
      </c>
      <c r="F4" s="1303">
        <f ca="1">IF(G4&lt;B2,"已过期",96010014)</f>
        <v>96010014</v>
      </c>
      <c r="G4" s="2346">
        <v>47118</v>
      </c>
      <c r="H4" s="2347" t="str">
        <f ca="1">E4&amp;"（注册号："&amp;F4&amp;"）"</f>
        <v>梁津（注册号：96010014）</v>
      </c>
    </row>
    <row r="5" spans="1:8" ht="24" customHeight="1">
      <c r="A5" s="1303" t="s">
        <v>2144</v>
      </c>
      <c r="B5" s="1303">
        <f ca="1">IF(C5&lt;B2,"已过期",1119970111)</f>
        <v>1119970111</v>
      </c>
      <c r="C5" s="2343">
        <v>45937</v>
      </c>
      <c r="D5" s="2344" t="str">
        <f t="shared" ref="D5:D15" ca="1" si="0">A5&amp;"（注册号："&amp;B5&amp;"）"</f>
        <v>叶凌（注册号：1119970111）</v>
      </c>
      <c r="E5" s="2345" t="s">
        <v>2144</v>
      </c>
      <c r="F5" s="1303">
        <f ca="1">IF(G5&lt;B2,"已过期",94010078)</f>
        <v>94010078</v>
      </c>
      <c r="G5" s="2346">
        <v>46387</v>
      </c>
      <c r="H5" s="2347" t="str">
        <f t="shared" ref="H5:H16" ca="1" si="1">E5&amp;"（注册号："&amp;F5&amp;"）"</f>
        <v>叶凌（注册号：94010078）</v>
      </c>
    </row>
    <row r="6" spans="1:8" ht="24" customHeight="1">
      <c r="A6" s="1303" t="s">
        <v>2145</v>
      </c>
      <c r="B6" s="1303">
        <f ca="1">IF(C6&lt;B2,"已过期",1120050019)</f>
        <v>1120050019</v>
      </c>
      <c r="C6" s="2343">
        <v>45410</v>
      </c>
      <c r="D6" s="2344" t="str">
        <f t="shared" ca="1" si="0"/>
        <v>王鹏（注册号：1120050019）</v>
      </c>
      <c r="E6" s="2345" t="s">
        <v>2145</v>
      </c>
      <c r="F6" s="1303">
        <f ca="1">IF(G6&lt;B2,"已过期",2002110030)</f>
        <v>2002110030</v>
      </c>
      <c r="G6" s="2346">
        <v>46387</v>
      </c>
      <c r="H6" s="2347" t="str">
        <f t="shared" ca="1" si="1"/>
        <v>王鹏（注册号：2002110030）</v>
      </c>
    </row>
    <row r="7" spans="1:8" ht="24" customHeight="1">
      <c r="A7" s="1303" t="s">
        <v>2146</v>
      </c>
      <c r="B7" s="1303">
        <f ca="1">IF(C7&lt;B2,"已过期",1120000080)</f>
        <v>1120000080</v>
      </c>
      <c r="C7" s="2343">
        <v>45937</v>
      </c>
      <c r="D7" s="2344" t="str">
        <f t="shared" ca="1" si="0"/>
        <v>欧红伟（注册号：1120000080）</v>
      </c>
      <c r="E7" s="2345" t="s">
        <v>2146</v>
      </c>
      <c r="F7" s="1303">
        <f ca="1">IF(G7&lt;B2,"已过期",2000110082)</f>
        <v>2000110082</v>
      </c>
      <c r="G7" s="2346">
        <v>46387</v>
      </c>
      <c r="H7" s="2347" t="str">
        <f t="shared" ca="1" si="1"/>
        <v>欧红伟（注册号：2000110082）</v>
      </c>
    </row>
    <row r="8" spans="1:8" ht="24" customHeight="1">
      <c r="A8" s="1303" t="s">
        <v>2147</v>
      </c>
      <c r="B8" s="1303">
        <f ca="1">IF(C8&lt;B2,"已过期",1419970001)</f>
        <v>1419970001</v>
      </c>
      <c r="C8" s="2343">
        <v>45937</v>
      </c>
      <c r="D8" s="2344" t="str">
        <f t="shared" ca="1" si="0"/>
        <v>吴薇（注册号：1419970001）</v>
      </c>
      <c r="E8" s="2345" t="s">
        <v>2147</v>
      </c>
      <c r="F8" s="1303">
        <f ca="1">IF(G8&lt;B2,"已过期",2002110125)</f>
        <v>2002110125</v>
      </c>
      <c r="G8" s="2346">
        <v>47118</v>
      </c>
      <c r="H8" s="2347" t="str">
        <f t="shared" ca="1" si="1"/>
        <v>吴薇（注册号：2002110125）</v>
      </c>
    </row>
    <row r="9" spans="1:8" ht="24" customHeight="1">
      <c r="A9" s="1303" t="s">
        <v>2148</v>
      </c>
      <c r="B9" s="1303">
        <f ca="1">IF(C9&lt;B2,"已过期",1120060040)</f>
        <v>1120060040</v>
      </c>
      <c r="C9" s="2348">
        <v>45592</v>
      </c>
      <c r="D9" s="2344" t="str">
        <f t="shared" ca="1" si="0"/>
        <v>陈颖（注册号：1120060040）</v>
      </c>
      <c r="E9" s="2345" t="s">
        <v>2148</v>
      </c>
      <c r="F9" s="1303">
        <f ca="1">IF(G9&lt;B2,"已过期",2004110096)</f>
        <v>2004110096</v>
      </c>
      <c r="G9" s="2346">
        <v>47118</v>
      </c>
      <c r="H9" s="2347" t="str">
        <f t="shared" ca="1" si="1"/>
        <v>陈颖（注册号：2004110096）</v>
      </c>
    </row>
    <row r="10" spans="1:8" ht="24" customHeight="1">
      <c r="A10" s="1303" t="s">
        <v>2149</v>
      </c>
      <c r="B10" s="1303">
        <f ca="1">IF(C10&lt;B2,"已过期",1120100036)</f>
        <v>1120100036</v>
      </c>
      <c r="C10" s="2348">
        <v>45752</v>
      </c>
      <c r="D10" s="2344" t="str">
        <f t="shared" ca="1" si="0"/>
        <v>崔锴（注册号：1120100036）</v>
      </c>
      <c r="E10" s="2345" t="s">
        <v>2149</v>
      </c>
      <c r="F10" s="1303">
        <f ca="1">IF(G10&lt;B2,"已过期",2010110070)</f>
        <v>2010110070</v>
      </c>
      <c r="G10" s="2346">
        <v>47907</v>
      </c>
      <c r="H10" s="2347" t="str">
        <f t="shared" ca="1" si="1"/>
        <v>崔锴（注册号：2010110070）</v>
      </c>
    </row>
    <row r="11" spans="1:8" ht="24" customHeight="1">
      <c r="A11" s="1303" t="s">
        <v>2150</v>
      </c>
      <c r="B11" s="1303">
        <f ca="1">IF(C11&lt;B2,"已过期",1120070131)</f>
        <v>1120070131</v>
      </c>
      <c r="C11" s="2343">
        <v>45937</v>
      </c>
      <c r="D11" s="2344" t="str">
        <f t="shared" ca="1" si="0"/>
        <v>郑燚（注册号：1120070131）</v>
      </c>
      <c r="E11" s="2345" t="s">
        <v>2150</v>
      </c>
      <c r="F11" s="1303">
        <f ca="1">IF(G11&lt;B2,"已过期",2014110011)</f>
        <v>2014110011</v>
      </c>
      <c r="G11" s="2346">
        <v>49302</v>
      </c>
      <c r="H11" s="2347" t="str">
        <f t="shared" ca="1" si="1"/>
        <v>郑燚（注册号：2014110011）</v>
      </c>
    </row>
    <row r="12" spans="1:8" ht="24" customHeight="1">
      <c r="A12" s="1303" t="s">
        <v>2151</v>
      </c>
      <c r="B12" s="1303">
        <f ca="1">IF(C12&lt;B2,"已过期",1120040230)</f>
        <v>1120040230</v>
      </c>
      <c r="C12" s="2348">
        <v>45937</v>
      </c>
      <c r="D12" s="2344" t="str">
        <f t="shared" ca="1" si="0"/>
        <v>苏海（注册号：1120040230）</v>
      </c>
      <c r="E12" s="2345" t="s">
        <v>2151</v>
      </c>
      <c r="F12" s="1303">
        <f ca="1">IF(G12&lt;B2,"已过期",98030020)</f>
        <v>98030020</v>
      </c>
      <c r="G12" s="2346">
        <v>47118</v>
      </c>
      <c r="H12" s="2347" t="str">
        <f t="shared" ca="1" si="1"/>
        <v>苏海（注册号：98030020）</v>
      </c>
    </row>
    <row r="13" spans="1:8" ht="24" customHeight="1">
      <c r="A13" s="1303" t="s">
        <v>2152</v>
      </c>
      <c r="B13" s="1303">
        <f ca="1">IF(C13&lt;B2,"已过期",1120020033)</f>
        <v>1120020033</v>
      </c>
      <c r="C13" s="2343">
        <v>45375</v>
      </c>
      <c r="D13" s="2344" t="str">
        <f t="shared" ca="1" si="0"/>
        <v>刘敬东（注册号：1120020033）</v>
      </c>
      <c r="E13" s="2345" t="s">
        <v>2152</v>
      </c>
      <c r="F13" s="1303">
        <f ca="1">IF(G13&lt;B2,"已过期",2000110137)</f>
        <v>2000110137</v>
      </c>
      <c r="G13" s="2346">
        <v>46387</v>
      </c>
      <c r="H13" s="2347" t="str">
        <f t="shared" ca="1" si="1"/>
        <v>刘敬东（注册号：2000110137）</v>
      </c>
    </row>
    <row r="14" spans="1:8" ht="24" customHeight="1">
      <c r="A14" s="1303" t="s">
        <v>2153</v>
      </c>
      <c r="B14" s="1303" t="str">
        <f ca="1">IF(C14&lt;B2,"已过期",1119980106)</f>
        <v>已过期</v>
      </c>
      <c r="C14" s="2348">
        <v>44969</v>
      </c>
      <c r="D14" s="2344" t="str">
        <f t="shared" ca="1" si="0"/>
        <v>刘俊财（注册号：已过期）</v>
      </c>
      <c r="E14" s="2345" t="s">
        <v>2153</v>
      </c>
      <c r="F14" s="1303">
        <f ca="1">IF(G14&lt;B2,"已过期",96010063)</f>
        <v>96010063</v>
      </c>
      <c r="G14" s="2346">
        <v>47483</v>
      </c>
      <c r="H14" s="2347" t="str">
        <f t="shared" ca="1" si="1"/>
        <v>刘俊财（注册号：96010063）</v>
      </c>
    </row>
    <row r="15" spans="1:8" ht="24" customHeight="1">
      <c r="A15" s="1303" t="s">
        <v>2436</v>
      </c>
      <c r="B15" s="1303">
        <v>1120210056</v>
      </c>
      <c r="C15" s="2348">
        <v>45410</v>
      </c>
      <c r="D15" s="2344" t="str">
        <f t="shared" si="0"/>
        <v>宁小鳗（注册号：1120210056）</v>
      </c>
      <c r="E15" s="2345" t="s">
        <v>2154</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1" t="s">
        <v>2155</v>
      </c>
      <c r="B17" s="3501"/>
      <c r="C17" s="3501"/>
      <c r="D17" s="3501"/>
      <c r="E17" s="3501"/>
      <c r="F17" s="3501"/>
      <c r="G17" s="3501"/>
      <c r="H17" s="3501"/>
    </row>
    <row r="18" spans="1:8" ht="24" customHeight="1">
      <c r="A18" s="3502" t="s">
        <v>2156</v>
      </c>
      <c r="B18" s="3502"/>
      <c r="C18" s="3502"/>
      <c r="D18" s="2341"/>
      <c r="E18" s="3503" t="s">
        <v>2157</v>
      </c>
      <c r="F18" s="3502"/>
      <c r="G18" s="3502"/>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2024-03-12T06:52:58Z</dcterms:modified>
</cp:coreProperties>
</file>