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法院\2022-1-0484 北京市海淀区宝盛北里西区25号楼5层2单元502号\"/>
    </mc:Choice>
  </mc:AlternateContent>
  <xr:revisionPtr revIDLastSave="0" documentId="13_ncr:1_{D77BFD13-7BDC-4B78-93BB-53DDC0B9FD68}" xr6:coauthVersionLast="45" xr6:coauthVersionMax="45" xr10:uidLastSave="{00000000-0000-0000-0000-000000000000}"/>
  <bookViews>
    <workbookView xWindow="-120" yWindow="-120" windowWidth="21840" windowHeight="1314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0" i="9" l="1"/>
  <c r="B27" i="9"/>
  <c r="B23" i="1"/>
  <c r="J59" i="21"/>
  <c r="I59" i="21"/>
  <c r="G59" i="21"/>
  <c r="F59" i="21"/>
  <c r="D59" i="21"/>
  <c r="I37" i="21"/>
  <c r="G37" i="21"/>
  <c r="E37" i="21"/>
  <c r="C33" i="21"/>
  <c r="G44" i="21"/>
  <c r="E44" i="21"/>
  <c r="C90" i="21"/>
  <c r="I28" i="21"/>
  <c r="G28" i="21"/>
  <c r="E28" i="21"/>
  <c r="D5" i="9"/>
  <c r="B42" i="1"/>
  <c r="B3" i="64"/>
  <c r="B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c r="AD25" i="59"/>
  <c r="Q25" i="59"/>
  <c r="P25" i="59"/>
  <c r="O25" i="59"/>
  <c r="N25" i="59"/>
  <c r="Q26" i="59"/>
  <c r="P26" i="59"/>
  <c r="O26" i="59"/>
  <c r="N26" i="59"/>
  <c r="D26" i="59"/>
  <c r="E25" i="59"/>
  <c r="E24" i="59" s="1"/>
  <c r="E23" i="59" s="1"/>
  <c r="E22" i="59" s="1"/>
  <c r="E21" i="59" s="1"/>
  <c r="E20" i="59" s="1"/>
  <c r="E19" i="59" s="1"/>
  <c r="E18" i="59" s="1"/>
  <c r="E17" i="59" s="1"/>
  <c r="A2" i="50"/>
  <c r="B16" i="60" s="1"/>
  <c r="K60" i="15"/>
  <c r="P59" i="15" s="1"/>
  <c r="A127" i="57"/>
  <c r="A123" i="9"/>
  <c r="L106" i="9" s="1"/>
  <c r="A18" i="55" s="1"/>
  <c r="B48" i="60" s="1"/>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A15" i="55"/>
  <c r="B45" i="60" s="1"/>
  <c r="B44" i="60"/>
  <c r="B43" i="60"/>
  <c r="C10" i="50"/>
  <c r="B24" i="60" s="1"/>
  <c r="C7" i="50"/>
  <c r="C15" i="50" s="1"/>
  <c r="C35" i="50"/>
  <c r="C34" i="50"/>
  <c r="C33" i="50"/>
  <c r="B13" i="60"/>
  <c r="B9" i="60"/>
  <c r="C42" i="50"/>
  <c r="C36" i="50"/>
  <c r="C39" i="50"/>
  <c r="I19" i="43"/>
  <c r="A136" i="57"/>
  <c r="F119" i="57"/>
  <c r="D90" i="59"/>
  <c r="F89" i="59"/>
  <c r="E89" i="59"/>
  <c r="E88" i="59"/>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s="1"/>
  <c r="E81" i="59"/>
  <c r="U81" i="59" s="1"/>
  <c r="C81" i="59"/>
  <c r="T81" i="59" s="1"/>
  <c r="B81" i="59"/>
  <c r="S81" i="59" s="1"/>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V69" i="59" s="1"/>
  <c r="E69" i="59"/>
  <c r="U69" i="59" s="1"/>
  <c r="C69" i="59"/>
  <c r="B69" i="59"/>
  <c r="S69" i="59" s="1"/>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P38" i="59"/>
  <c r="AA38" i="59" s="1"/>
  <c r="O38" i="59"/>
  <c r="Y38" i="59" s="1"/>
  <c r="Z38" i="59" s="1"/>
  <c r="C39" i="59"/>
  <c r="N38" i="59"/>
  <c r="B39" i="59"/>
  <c r="B40" i="59" s="1"/>
  <c r="B41" i="59" s="1"/>
  <c r="S41" i="59" s="1"/>
  <c r="D38" i="59"/>
  <c r="Q37" i="59"/>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AB34" i="59" s="1"/>
  <c r="P34" i="59"/>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0" i="59"/>
  <c r="D39" i="59"/>
  <c r="C44" i="59"/>
  <c r="D43" i="59"/>
  <c r="C48" i="59"/>
  <c r="D48" i="59"/>
  <c r="D47" i="59"/>
  <c r="C52" i="59"/>
  <c r="C53" i="59" s="1"/>
  <c r="D51" i="59"/>
  <c r="P29" i="59"/>
  <c r="AA27" i="59" s="1"/>
  <c r="E56" i="59"/>
  <c r="E57" i="59"/>
  <c r="U57" i="59" s="1"/>
  <c r="E60" i="59"/>
  <c r="E61" i="59" s="1"/>
  <c r="U61" i="59" s="1"/>
  <c r="E64" i="59"/>
  <c r="E65" i="59"/>
  <c r="U65" i="59" s="1"/>
  <c r="U73" i="59"/>
  <c r="E72" i="59"/>
  <c r="E71" i="59"/>
  <c r="Q29" i="59"/>
  <c r="C56" i="59"/>
  <c r="D56" i="59" s="1"/>
  <c r="D55" i="59"/>
  <c r="C60" i="59"/>
  <c r="D60" i="59" s="1"/>
  <c r="D59" i="59"/>
  <c r="C64" i="59"/>
  <c r="D64" i="59" s="1"/>
  <c r="D63" i="59"/>
  <c r="N68" i="59"/>
  <c r="B67" i="59"/>
  <c r="T69" i="59"/>
  <c r="O69" i="59"/>
  <c r="D69" i="59"/>
  <c r="C68" i="59"/>
  <c r="C67" i="59" s="1"/>
  <c r="T73" i="59"/>
  <c r="D73" i="59"/>
  <c r="C72" i="59"/>
  <c r="Q69" i="59"/>
  <c r="C76" i="59"/>
  <c r="E76" i="59"/>
  <c r="E75" i="59" s="1"/>
  <c r="D77" i="59"/>
  <c r="C80" i="59"/>
  <c r="E80" i="59"/>
  <c r="E79" i="59" s="1"/>
  <c r="D81" i="59"/>
  <c r="C84" i="59"/>
  <c r="C88" i="59"/>
  <c r="D88" i="59" s="1"/>
  <c r="F29" i="59"/>
  <c r="AB26" i="59"/>
  <c r="AB28" i="59"/>
  <c r="AB29"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5" i="59"/>
  <c r="D65" i="59" s="1"/>
  <c r="C61" i="59"/>
  <c r="D61" i="59" s="1"/>
  <c r="C57" i="59"/>
  <c r="D57" i="59" s="1"/>
  <c r="N66" i="59"/>
  <c r="N67" i="59"/>
  <c r="C45" i="59"/>
  <c r="D45" i="59" s="1"/>
  <c r="D44" i="59"/>
  <c r="C41" i="59"/>
  <c r="D41" i="59" s="1"/>
  <c r="D40" i="59"/>
  <c r="D28" i="59"/>
  <c r="F28" i="59"/>
  <c r="F27" i="59" s="1"/>
  <c r="V29" i="59"/>
  <c r="T41" i="59"/>
  <c r="T45" i="59"/>
  <c r="T57" i="59"/>
  <c r="T61" i="59"/>
  <c r="T65"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c r="H10" i="21"/>
  <c r="AB10" i="21" s="1"/>
  <c r="H36" i="21"/>
  <c r="U36" i="21" s="1"/>
  <c r="F35" i="21"/>
  <c r="AA35" i="21"/>
  <c r="J33" i="21"/>
  <c r="W33" i="21" s="1"/>
  <c r="H33" i="21"/>
  <c r="AB33" i="21" s="1"/>
  <c r="F33" i="21"/>
  <c r="AA33" i="21" s="1"/>
  <c r="J10" i="21"/>
  <c r="AC10" i="21" s="1"/>
  <c r="H26" i="21"/>
  <c r="AB26" i="21" s="1"/>
  <c r="F19" i="21"/>
  <c r="AA19" i="21"/>
  <c r="H19" i="21"/>
  <c r="AB19" i="21"/>
  <c r="J19" i="21"/>
  <c r="W19" i="21"/>
  <c r="J12" i="21"/>
  <c r="AC12" i="21" s="1"/>
  <c r="H12" i="21"/>
  <c r="AB12" i="21" s="1"/>
  <c r="J26" i="21"/>
  <c r="W26" i="21" s="1"/>
  <c r="F26" i="21"/>
  <c r="S26" i="21" s="1"/>
  <c r="AB41" i="21"/>
  <c r="S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H39" i="37"/>
  <c r="AB39" i="37" s="1"/>
  <c r="S27" i="35"/>
  <c r="F11" i="40"/>
  <c r="AA11" i="40" s="1"/>
  <c r="S8" i="40"/>
  <c r="H11" i="40"/>
  <c r="AB11" i="40"/>
  <c r="U9" i="40"/>
  <c r="U34" i="40"/>
  <c r="W39"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AC29" i="33"/>
  <c r="AB28" i="33"/>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W47" i="34"/>
  <c r="AB8" i="34"/>
  <c r="W14" i="33"/>
  <c r="AC31" i="33"/>
  <c r="AA30" i="33"/>
  <c r="AB10" i="33"/>
  <c r="S11" i="33"/>
  <c r="AC33" i="21"/>
  <c r="AA23" i="37"/>
  <c r="W10" i="36"/>
  <c r="W38" i="37"/>
  <c r="H37" i="21"/>
  <c r="U37" i="2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F23" i="21"/>
  <c r="AA23" i="21"/>
  <c r="J23" i="21"/>
  <c r="AC23" i="21"/>
  <c r="H23" i="21"/>
  <c r="U23" i="21"/>
  <c r="F17" i="21"/>
  <c r="AA17" i="21"/>
  <c r="J17" i="21"/>
  <c r="AC17" i="21"/>
  <c r="H17" i="21"/>
  <c r="AB17" i="21"/>
  <c r="J15" i="21"/>
  <c r="W15" i="21" s="1"/>
  <c r="AC35" i="21"/>
  <c r="H103" i="57"/>
  <c r="A131" i="9"/>
  <c r="B103" i="57"/>
  <c r="B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s="1"/>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c r="H39" i="21"/>
  <c r="U39" i="21" s="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S37" i="34"/>
  <c r="H27" i="36"/>
  <c r="AB27" i="36" s="1"/>
  <c r="F27" i="36"/>
  <c r="AA27" i="36" s="1"/>
  <c r="J28" i="34"/>
  <c r="W28" i="34" s="1"/>
  <c r="H11" i="34"/>
  <c r="U11" i="34"/>
  <c r="S17" i="37"/>
  <c r="J11" i="37"/>
  <c r="AC11" i="37" s="1"/>
  <c r="AC36" i="34"/>
  <c r="W12" i="39"/>
  <c r="AC12" i="39"/>
  <c r="W9" i="34"/>
  <c r="AB13" i="21"/>
  <c r="AC37" i="37"/>
  <c r="U38" i="40"/>
  <c r="F23" i="39"/>
  <c r="AA23" i="39" s="1"/>
  <c r="F96" i="39"/>
  <c r="G96" i="39" s="1"/>
  <c r="S26" i="37"/>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AC37" i="21"/>
  <c r="U27" i="21"/>
  <c r="AB23" i="21"/>
  <c r="U19" i="21"/>
  <c r="AB44" i="21"/>
  <c r="U30" i="21"/>
  <c r="S17" i="21"/>
  <c r="AB21" i="21"/>
  <c r="U21" i="21"/>
  <c r="AC19" i="21"/>
  <c r="U17" i="21"/>
  <c r="S13" i="21"/>
  <c r="U12" i="21"/>
  <c r="AB11" i="21"/>
  <c r="U10"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Y25" i="31"/>
  <c r="C36" i="57"/>
  <c r="D125" i="57" s="1"/>
  <c r="V25" i="31"/>
  <c r="H102" i="43"/>
  <c r="D3" i="21"/>
  <c r="M6" i="43"/>
  <c r="M5" i="43"/>
  <c r="F81" i="43"/>
  <c r="H85" i="43" s="1"/>
  <c r="H13" i="44"/>
  <c r="H11" i="44"/>
  <c r="C51" i="10"/>
  <c r="A8" i="54"/>
  <c r="B8" i="60" s="1"/>
  <c r="F2" i="21"/>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G22" i="11"/>
  <c r="G41" i="11"/>
  <c r="E48" i="43"/>
  <c r="H113" i="43"/>
  <c r="X7" i="43"/>
  <c r="E59" i="43"/>
  <c r="B57" i="43"/>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32" i="21"/>
  <c r="W23" i="21"/>
  <c r="AB25" i="21"/>
  <c r="AA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3" i="4"/>
  <c r="B4" i="55" s="1"/>
  <c r="B53"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X3" i="59"/>
  <c r="Y3" i="59"/>
  <c r="Z3" i="59" s="1"/>
  <c r="F48" i="43"/>
  <c r="H50" i="43" s="1"/>
  <c r="G4" i="47"/>
  <c r="S25" i="59"/>
  <c r="B24" i="59"/>
  <c r="B23" i="59"/>
  <c r="B22" i="59" s="1"/>
  <c r="B21" i="59" s="1"/>
  <c r="AC30" i="35"/>
  <c r="AB30" i="35"/>
  <c r="U30" i="35"/>
  <c r="I116" i="57"/>
  <c r="D133" i="57" s="1"/>
  <c r="I14" i="62" s="1"/>
  <c r="B8" i="62" s="1"/>
  <c r="D120" i="57"/>
  <c r="I114" i="9"/>
  <c r="D129" i="9" s="1"/>
  <c r="I112" i="9"/>
  <c r="D39" i="50" s="1"/>
  <c r="D40" i="50" s="1"/>
  <c r="D116" i="9"/>
  <c r="D114" i="9"/>
  <c r="D115" i="9"/>
  <c r="I113" i="9" s="1"/>
  <c r="E2" i="34"/>
  <c r="C19" i="57"/>
  <c r="F6" i="61"/>
  <c r="D19" i="57"/>
  <c r="F4" i="61"/>
  <c r="F3" i="61"/>
  <c r="F7" i="61"/>
  <c r="E2" i="33"/>
  <c r="H23" i="31"/>
  <c r="D6" i="61"/>
  <c r="F5" i="61"/>
  <c r="D5" i="61"/>
  <c r="E2" i="21"/>
  <c r="E2" i="37"/>
  <c r="E2" i="36"/>
  <c r="C20" i="57"/>
  <c r="D20" i="57"/>
  <c r="E2" i="35"/>
  <c r="E2" i="11"/>
  <c r="D3" i="61"/>
  <c r="H43" i="21" l="1"/>
  <c r="AB43" i="21" s="1"/>
  <c r="F43" i="21"/>
  <c r="S43" i="21" s="1"/>
  <c r="J43" i="21"/>
  <c r="S44" i="21"/>
  <c r="U40" i="21"/>
  <c r="W40" i="21"/>
  <c r="W39" i="21"/>
  <c r="AC38" i="21"/>
  <c r="AA38" i="21"/>
  <c r="AB38" i="21"/>
  <c r="AA36" i="21"/>
  <c r="AC32" i="21"/>
  <c r="U35" i="21"/>
  <c r="S33" i="21"/>
  <c r="AB32" i="21"/>
  <c r="W34" i="21"/>
  <c r="AA34" i="21"/>
  <c r="AB34" i="21"/>
  <c r="AB36" i="21"/>
  <c r="AB39" i="21"/>
  <c r="W42" i="21"/>
  <c r="S42" i="21"/>
  <c r="S45" i="21"/>
  <c r="AA43" i="21"/>
  <c r="U43" i="21"/>
  <c r="W44" i="21"/>
  <c r="U26" i="21"/>
  <c r="AA26" i="21"/>
  <c r="S27" i="21"/>
  <c r="AC27" i="21"/>
  <c r="S28" i="21"/>
  <c r="AC28" i="21"/>
  <c r="AC26" i="21"/>
  <c r="AA15" i="21"/>
  <c r="U14" i="21"/>
  <c r="W10" i="21"/>
  <c r="S10" i="21"/>
  <c r="AA9" i="21"/>
  <c r="S9" i="21"/>
  <c r="H9" i="21"/>
  <c r="J9" i="21"/>
  <c r="S8" i="21"/>
  <c r="C19" i="12"/>
  <c r="D42" i="50"/>
  <c r="D43" i="50" s="1"/>
  <c r="D32" i="9"/>
  <c r="G125" i="57"/>
  <c r="C112" i="57"/>
  <c r="B101" i="9"/>
  <c r="B20" i="59"/>
  <c r="B19" i="59" s="1"/>
  <c r="B18" i="59" s="1"/>
  <c r="B17" i="59" s="1"/>
  <c r="S21" i="59"/>
  <c r="U23" i="39"/>
  <c r="S27" i="36"/>
  <c r="S24" i="36"/>
  <c r="AA12" i="21"/>
  <c r="S12" i="21"/>
  <c r="AA13" i="33"/>
  <c r="U42" i="21"/>
  <c r="AC14" i="21"/>
  <c r="AB46" i="21"/>
  <c r="S25" i="33"/>
  <c r="D4" i="47"/>
  <c r="F4" i="47" s="1"/>
  <c r="B2" i="47" s="1"/>
  <c r="D53" i="59"/>
  <c r="T53" i="59"/>
  <c r="F9" i="35"/>
  <c r="H9" i="35"/>
  <c r="F12" i="35"/>
  <c r="H12" i="35"/>
  <c r="J36" i="35"/>
  <c r="H23" i="36"/>
  <c r="F25" i="37"/>
  <c r="J25" i="37"/>
  <c r="F44" i="39"/>
  <c r="O67" i="59"/>
  <c r="O66" i="59"/>
  <c r="D67" i="59"/>
  <c r="S21" i="21"/>
  <c r="S21" i="37"/>
  <c r="C29" i="39"/>
  <c r="C25" i="40"/>
  <c r="B66" i="43"/>
  <c r="F31" i="59"/>
  <c r="F32" i="59" s="1"/>
  <c r="F33" i="59" s="1"/>
  <c r="V33" i="59" s="1"/>
  <c r="AA34" i="59"/>
  <c r="E35" i="59"/>
  <c r="E36" i="59" s="1"/>
  <c r="E37" i="59" s="1"/>
  <c r="U37" i="59" s="1"/>
  <c r="B55" i="43"/>
  <c r="U29" i="59"/>
  <c r="D68" i="59"/>
  <c r="D29" i="59"/>
  <c r="AA26" i="59"/>
  <c r="AA29" i="59"/>
  <c r="AB27" i="59"/>
  <c r="AB3" i="59"/>
  <c r="S29" i="59"/>
  <c r="X26" i="59"/>
  <c r="X29" i="59"/>
  <c r="B31" i="59"/>
  <c r="B32" i="59" s="1"/>
  <c r="B33" i="59" s="1"/>
  <c r="S33" i="59" s="1"/>
  <c r="C31" i="59"/>
  <c r="AA30" i="59"/>
  <c r="X31" i="59"/>
  <c r="AA31" i="59"/>
  <c r="X32" i="59"/>
  <c r="AA32" i="59"/>
  <c r="X33" i="59"/>
  <c r="AA33" i="59"/>
  <c r="B35" i="59"/>
  <c r="B36" i="59" s="1"/>
  <c r="B37" i="59" s="1"/>
  <c r="S37" i="59" s="1"/>
  <c r="C35" i="59"/>
  <c r="F35" i="59"/>
  <c r="F36" i="59" s="1"/>
  <c r="F37" i="59" s="1"/>
  <c r="V37" i="59" s="1"/>
  <c r="AB36" i="59"/>
  <c r="AB37" i="59"/>
  <c r="X38" i="59"/>
  <c r="E39" i="59"/>
  <c r="E40" i="59" s="1"/>
  <c r="E41" i="59" s="1"/>
  <c r="AB38" i="59"/>
  <c r="F39" i="59"/>
  <c r="F40" i="59" s="1"/>
  <c r="F41" i="59" s="1"/>
  <c r="V41" i="59" s="1"/>
  <c r="AB39" i="59"/>
  <c r="Y8" i="59"/>
  <c r="Z8" i="59" s="1"/>
  <c r="Y6" i="59"/>
  <c r="Z6" i="59" s="1"/>
  <c r="Y7" i="59"/>
  <c r="Z7" i="59" s="1"/>
  <c r="Y5" i="59"/>
  <c r="Z5" i="59" s="1"/>
  <c r="Y9" i="59"/>
  <c r="Z9" i="59" s="1"/>
  <c r="Y10" i="59"/>
  <c r="Z10" i="59" s="1"/>
  <c r="Y12" i="59"/>
  <c r="Z12" i="59" s="1"/>
  <c r="AA8" i="59"/>
  <c r="AA6" i="59"/>
  <c r="AA5" i="59"/>
  <c r="AA9" i="59"/>
  <c r="AA11" i="59"/>
  <c r="AA7" i="59"/>
  <c r="F68" i="59"/>
  <c r="E68" i="59"/>
  <c r="N69" i="59"/>
  <c r="B72" i="59"/>
  <c r="B71" i="59" s="1"/>
  <c r="F72" i="59"/>
  <c r="F71" i="59" s="1"/>
  <c r="B80" i="59"/>
  <c r="B79" i="59" s="1"/>
  <c r="F80" i="59"/>
  <c r="F79" i="59" s="1"/>
  <c r="Z12" i="43"/>
  <c r="Z13" i="43" s="1"/>
  <c r="Z10" i="43"/>
  <c r="AD12" i="43"/>
  <c r="AD13" i="43" s="1"/>
  <c r="AD10" i="43"/>
  <c r="AH12" i="43"/>
  <c r="AH13" i="43" s="1"/>
  <c r="AH10" i="43"/>
  <c r="X25" i="59"/>
  <c r="AA25" i="59"/>
  <c r="Y24" i="59"/>
  <c r="Z24" i="59" s="1"/>
  <c r="AB23" i="59"/>
  <c r="AB22" i="59"/>
  <c r="Y22" i="59"/>
  <c r="Z22" i="59" s="1"/>
  <c r="Y20" i="59"/>
  <c r="Z20" i="59" s="1"/>
  <c r="AB18" i="59"/>
  <c r="AA18" i="59"/>
  <c r="X14" i="59"/>
  <c r="X8" i="59"/>
  <c r="X7" i="59"/>
  <c r="X6" i="59"/>
  <c r="X5" i="59"/>
  <c r="X11" i="59"/>
  <c r="X10" i="59"/>
  <c r="X9" i="59"/>
  <c r="AB6" i="59"/>
  <c r="AB8" i="59"/>
  <c r="AB7" i="59"/>
  <c r="AB5" i="59"/>
  <c r="AB9" i="59"/>
  <c r="AB10" i="59"/>
  <c r="AB11" i="59"/>
  <c r="P69" i="59"/>
  <c r="AC12" i="43"/>
  <c r="AC13" i="43" s="1"/>
  <c r="AC10" i="43"/>
  <c r="AG12" i="43"/>
  <c r="AG13" i="43" s="1"/>
  <c r="AG10" i="43"/>
  <c r="Y25" i="59"/>
  <c r="Z25" i="59" s="1"/>
  <c r="E16" i="59"/>
  <c r="E15" i="59" s="1"/>
  <c r="E14" i="59" s="1"/>
  <c r="E13" i="59" s="1"/>
  <c r="U17" i="59"/>
  <c r="X23" i="59"/>
  <c r="AA20" i="59"/>
  <c r="X22" i="59"/>
  <c r="X18" i="59"/>
  <c r="AA17" i="59"/>
  <c r="AB17" i="59"/>
  <c r="Y19" i="59"/>
  <c r="Z19" i="59" s="1"/>
  <c r="AA13" i="59"/>
  <c r="Y18" i="59"/>
  <c r="Z18" i="59" s="1"/>
  <c r="Y16" i="59"/>
  <c r="Z16" i="59" s="1"/>
  <c r="AB16" i="59"/>
  <c r="AB14" i="59"/>
  <c r="AB13" i="59"/>
  <c r="Y14" i="59"/>
  <c r="Z14" i="59" s="1"/>
  <c r="Y15" i="59"/>
  <c r="Z15" i="59" s="1"/>
  <c r="AA10" i="59"/>
  <c r="X13" i="59"/>
  <c r="A8" i="52"/>
  <c r="B65" i="60" s="1"/>
  <c r="P72" i="15"/>
  <c r="C25" i="59"/>
  <c r="F25" i="59"/>
  <c r="AA22" i="59"/>
  <c r="X16" i="59"/>
  <c r="AA16" i="59"/>
  <c r="AB12" i="59"/>
  <c r="AB15" i="59"/>
  <c r="Y13" i="59"/>
  <c r="Z13" i="59" s="1"/>
  <c r="Y11" i="59"/>
  <c r="Z11" i="59" s="1"/>
  <c r="AA12" i="59"/>
  <c r="AA14" i="59"/>
  <c r="AA15" i="59"/>
  <c r="X12"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D19" i="50"/>
  <c r="B32" i="60" s="1"/>
  <c r="C31" i="12"/>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D7" i="61"/>
  <c r="G1" i="61"/>
  <c r="AC43" i="21" l="1"/>
  <c r="W43" i="21"/>
  <c r="AC9" i="21"/>
  <c r="W9" i="21"/>
  <c r="U9" i="21"/>
  <c r="AB9" i="21"/>
  <c r="H107" i="57"/>
  <c r="C114" i="57"/>
  <c r="H109" i="57" s="1"/>
  <c r="C115" i="57"/>
  <c r="H110" i="57" s="1"/>
  <c r="C112" i="9"/>
  <c r="H110" i="9" s="1"/>
  <c r="C114" i="9"/>
  <c r="H112" i="9" s="1"/>
  <c r="C106" i="9"/>
  <c r="H102" i="9" s="1"/>
  <c r="C116" i="9"/>
  <c r="H114" i="9" s="1"/>
  <c r="H7" i="37"/>
  <c r="AB7" i="37" s="1"/>
  <c r="T42" i="37" s="1"/>
  <c r="G42" i="37" s="1"/>
  <c r="G46" i="37" s="1"/>
  <c r="H46" i="37" s="1"/>
  <c r="T25" i="59"/>
  <c r="D25" i="59"/>
  <c r="C24" i="59"/>
  <c r="F67" i="59"/>
  <c r="Q68" i="59"/>
  <c r="C36" i="59"/>
  <c r="D35" i="59"/>
  <c r="AC25" i="37"/>
  <c r="W25" i="37"/>
  <c r="AB23" i="36"/>
  <c r="U23" i="36"/>
  <c r="U12" i="35"/>
  <c r="AB12" i="35"/>
  <c r="AB9" i="35"/>
  <c r="U9" i="35"/>
  <c r="F24" i="59"/>
  <c r="F23" i="59" s="1"/>
  <c r="F22" i="59" s="1"/>
  <c r="F21" i="59" s="1"/>
  <c r="V25" i="59"/>
  <c r="P68" i="59"/>
  <c r="E67" i="59"/>
  <c r="M19" i="43"/>
  <c r="U41" i="59"/>
  <c r="C32" i="59"/>
  <c r="D31" i="59"/>
  <c r="AA44" i="39"/>
  <c r="S44" i="39"/>
  <c r="AA25" i="37"/>
  <c r="S25" i="37"/>
  <c r="AC36" i="35"/>
  <c r="W36" i="35"/>
  <c r="S12" i="35"/>
  <c r="AA12" i="35"/>
  <c r="AA9" i="35"/>
  <c r="S9" i="35"/>
  <c r="B16" i="59"/>
  <c r="B15" i="59" s="1"/>
  <c r="B14" i="59" s="1"/>
  <c r="B13" i="59" s="1"/>
  <c r="S17"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P66" i="59"/>
  <c r="P67" i="59"/>
  <c r="C23" i="59"/>
  <c r="D24" i="59"/>
  <c r="J7" i="36"/>
  <c r="W7" i="36" s="1"/>
  <c r="S13" i="59"/>
  <c r="B12" i="59"/>
  <c r="B11" i="59" s="1"/>
  <c r="B10" i="59" s="1"/>
  <c r="B9" i="59" s="1"/>
  <c r="D32" i="59"/>
  <c r="C33" i="59"/>
  <c r="F20" i="59"/>
  <c r="F19" i="59" s="1"/>
  <c r="F18" i="59" s="1"/>
  <c r="F17" i="59" s="1"/>
  <c r="V21" i="59"/>
  <c r="D36" i="59"/>
  <c r="C37" i="59"/>
  <c r="Q67" i="59"/>
  <c r="Q66" i="59"/>
  <c r="E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D37" i="59"/>
  <c r="T37" i="59"/>
  <c r="D33" i="59"/>
  <c r="T33" i="59"/>
  <c r="S9" i="59"/>
  <c r="B8" i="59"/>
  <c r="B7" i="59" s="1"/>
  <c r="D23" i="59"/>
  <c r="C22" i="59"/>
  <c r="F16" i="59"/>
  <c r="F15" i="59" s="1"/>
  <c r="F14" i="59" s="1"/>
  <c r="F13" i="59" s="1"/>
  <c r="V1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1" i="59" l="1"/>
  <c r="D22" i="59"/>
  <c r="V13" i="59"/>
  <c r="F12" i="59"/>
  <c r="F11" i="59" s="1"/>
  <c r="F10" i="59" s="1"/>
  <c r="F9"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V9" i="59" l="1"/>
  <c r="F8" i="59"/>
  <c r="F7" i="59" s="1"/>
  <c r="F6" i="59" s="1"/>
  <c r="F5" i="59" s="1"/>
  <c r="V5" i="59" s="1"/>
  <c r="C20" i="59"/>
  <c r="T21" i="59"/>
  <c r="D2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9" i="59" l="1"/>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8" i="59"/>
  <c r="D1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D18" i="59" l="1"/>
  <c r="C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C19" i="9"/>
  <c r="C101" i="9" l="1"/>
  <c r="B3" i="21"/>
  <c r="C16" i="59"/>
  <c r="T17" i="59"/>
  <c r="D17" i="59"/>
  <c r="D35" i="9"/>
  <c r="D34" i="9" s="1"/>
  <c r="L64" i="40"/>
  <c r="M62" i="40"/>
  <c r="AA7" i="39"/>
  <c r="R47" i="39" s="1"/>
  <c r="R48" i="39" s="1"/>
  <c r="S7" i="39"/>
  <c r="M59" i="34"/>
  <c r="N59" i="34" s="1"/>
  <c r="O59" i="34" s="1"/>
  <c r="H7" i="34" s="1"/>
  <c r="AB7" i="39"/>
  <c r="U7" i="39"/>
  <c r="AC7" i="39"/>
  <c r="W7" i="39"/>
  <c r="L58" i="15"/>
  <c r="L61" i="15" s="1"/>
  <c r="C20" i="9"/>
  <c r="C102" i="9" l="1"/>
  <c r="D16" i="59"/>
  <c r="C15"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4" i="59" l="1"/>
  <c r="D15"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D22" i="9"/>
  <c r="G19" i="9"/>
  <c r="D102" i="9"/>
  <c r="G20" i="9"/>
  <c r="C27" i="9" s="1"/>
  <c r="C13" i="59"/>
  <c r="D14"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T13" i="59" l="1"/>
  <c r="D13" i="59"/>
  <c r="C12" i="59"/>
  <c r="AC7" i="40"/>
  <c r="V42" i="40" s="1"/>
  <c r="I42" i="40" s="1"/>
  <c r="I46" i="40" s="1"/>
  <c r="J46" i="40" s="1"/>
  <c r="W7" i="40"/>
  <c r="S7" i="40"/>
  <c r="AA7" i="40"/>
  <c r="R42" i="40" s="1"/>
  <c r="R43" i="40" s="1"/>
  <c r="AB7" i="40"/>
  <c r="T42" i="40" s="1"/>
  <c r="G42" i="40" s="1"/>
  <c r="G46" i="40" s="1"/>
  <c r="H46" i="40" s="1"/>
  <c r="U7" i="40"/>
  <c r="D27" i="9" l="1"/>
  <c r="D30" i="9" s="1"/>
  <c r="C24" i="9" s="1"/>
  <c r="C30" i="9"/>
  <c r="C25" i="9" s="1"/>
  <c r="C32" i="9" s="1"/>
  <c r="C35" i="9" s="1"/>
  <c r="C34" i="9" s="1"/>
  <c r="C11" i="59"/>
  <c r="D12" i="59"/>
  <c r="G47" i="40"/>
  <c r="H47" i="40" s="1"/>
  <c r="E42" i="40"/>
  <c r="C10" i="59" l="1"/>
  <c r="D11" i="59"/>
  <c r="I47" i="40"/>
  <c r="J47" i="40" s="1"/>
  <c r="E47" i="40"/>
  <c r="F47" i="40" s="1"/>
  <c r="E46" i="40"/>
  <c r="F46" i="40" s="1"/>
  <c r="C43" i="40"/>
  <c r="C42" i="40"/>
  <c r="D10" i="59" l="1"/>
  <c r="C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C8" i="59" l="1"/>
  <c r="D9" i="59"/>
  <c r="T9" i="59"/>
  <c r="M68" i="9"/>
  <c r="N68" i="9" s="1"/>
  <c r="M67" i="9"/>
  <c r="N67" i="9" s="1"/>
  <c r="M63" i="9"/>
  <c r="N63" i="9" s="1"/>
  <c r="N69" i="9" s="1"/>
  <c r="O69" i="9" s="1"/>
  <c r="M64" i="9"/>
  <c r="N64" i="9" s="1"/>
  <c r="M66" i="9"/>
  <c r="N66" i="9" s="1"/>
  <c r="D8" i="50"/>
  <c r="B22" i="60" s="1"/>
  <c r="C7" i="59" l="1"/>
  <c r="D8" i="59"/>
  <c r="C6" i="59" l="1"/>
  <c r="D7" i="59"/>
  <c r="C5" i="59" l="1"/>
  <c r="D6" i="59"/>
  <c r="T5" i="59" l="1"/>
  <c r="M20" i="43"/>
  <c r="D5" i="59"/>
  <c r="E121" i="9"/>
  <c r="D121" i="9" s="1"/>
  <c r="D122" i="9" s="1"/>
  <c r="G121" i="9"/>
  <c r="F121" i="9" s="1"/>
  <c r="F122" i="9" s="1"/>
  <c r="I121" i="9"/>
  <c r="I103" i="9" s="1"/>
  <c r="H121" i="9" l="1"/>
  <c r="H122" i="9" s="1"/>
  <c r="D107" i="9"/>
  <c r="D14" i="62"/>
  <c r="C104" i="9"/>
  <c r="D106" i="9" l="1"/>
  <c r="D112" i="9" s="1"/>
  <c r="D113" i="9" s="1"/>
  <c r="I111" i="9" s="1"/>
  <c r="D126" i="9" s="1"/>
  <c r="I102" i="9"/>
  <c r="I110" i="9" s="1"/>
  <c r="D125" i="9" s="1"/>
  <c r="G14" i="62" s="1"/>
  <c r="B6" i="62" s="1"/>
  <c r="C103" i="9"/>
  <c r="N48" i="9"/>
  <c r="E14" i="62"/>
  <c r="B5" i="62"/>
  <c r="F14" i="62"/>
  <c r="D45" i="9" l="1"/>
  <c r="C72" i="9" s="1"/>
  <c r="D117" i="9"/>
  <c r="I115" i="9" s="1"/>
  <c r="D6" i="62"/>
  <c r="C6" i="62"/>
  <c r="C5" i="62"/>
  <c r="D5" i="62"/>
  <c r="C64" i="9"/>
  <c r="C63" i="9" s="1"/>
  <c r="C67" i="9" s="1"/>
  <c r="C68" i="9" s="1"/>
  <c r="D54" i="9" s="1"/>
  <c r="C93" i="9" l="1"/>
  <c r="C86" i="9" s="1"/>
  <c r="D52" i="9"/>
  <c r="D53" i="9"/>
  <c r="D48" i="9" s="1"/>
  <c r="N52" i="9" s="1"/>
  <c r="O57" i="9" s="1"/>
  <c r="O59" i="9" s="1"/>
  <c r="C85" i="9"/>
  <c r="C78" i="9"/>
  <c r="C73" i="9" s="1"/>
  <c r="C79" i="9" s="1"/>
  <c r="C95" i="9" l="1"/>
  <c r="C96" i="9" s="1"/>
  <c r="E96" i="9" s="1"/>
  <c r="E97" i="9" s="1"/>
  <c r="Q57" i="9"/>
  <c r="O58" i="9"/>
  <c r="O61" i="9"/>
  <c r="O60" i="9"/>
  <c r="C80" i="9"/>
  <c r="E80" i="9" s="1"/>
  <c r="E81" i="9" s="1"/>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<sst xmlns="http://schemas.openxmlformats.org/spreadsheetml/2006/main" count="6995" uniqueCount="3083">
  <si>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</si>
  <si>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</si>
  <si>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</si>
  <si>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</si>
  <si>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</si>
  <si>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</si>
  <si>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</si>
  <si>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</si>
  <si>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</si>
  <si>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</si>
  <si>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</si>
  <si>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</si>
  <si>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</si>
  <si>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</si>
  <si>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</si>
  <si>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</si>
  <si>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</si>
  <si>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</si>
  <si>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</si>
  <si>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</si>
  <si>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</si>
  <si>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</si>
  <si>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</si>
  <si>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</si>
  <si>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</si>
  <si>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</si>
  <si>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</si>
  <si>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</si>
  <si>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</si>
  <si>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</si>
  <si>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</si>
  <si>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</si>
  <si>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</si>
  <si>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</si>
  <si>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</si>
  <si>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</si>
  <si>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</si>
  <si>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</si>
  <si>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</si>
  <si>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</si>
  <si>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</si>
  <si>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</si>
  <si>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</si>
  <si>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</si>
  <si>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</si>
  <si>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</si>
  <si>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</si>
  <si>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</si>
  <si>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</si>
  <si>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</si>
  <si>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</si>
  <si>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</si>
  <si>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</si>
  <si>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</si>
  <si>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</si>
  <si>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</si>
  <si>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</si>
  <si>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</si>
  <si>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</si>
  <si>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</si>
  <si>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</si>
  <si>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</si>
  <si>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</si>
  <si>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</si>
  <si>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</si>
  <si>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</si>
  <si>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</si>
  <si>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</si>
  <si>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</si>
  <si>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</si>
  <si>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</si>
  <si>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</si>
  <si>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</si>
  <si>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</si>
  <si>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</si>
  <si>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</si>
  <si>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</si>
  <si>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</si>
  <si>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</si>
  <si>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</si>
  <si>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</si>
  <si>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</si>
  <si>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</si>
  <si>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</si>
  <si>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</si>
  <si>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</si>
  <si>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</si>
  <si>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</si>
  <si>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</si>
  <si>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</si>
  <si>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</si>
  <si>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</si>
  <si>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</si>
  <si>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</si>
  <si>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</si>
  <si>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</si>
  <si>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</si>
  <si>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</si>
  <si>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</si>
  <si>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</si>
  <si>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</si>
  <si>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</si>
  <si>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</si>
  <si>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</si>
  <si>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</si>
  <si>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</si>
  <si>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</si>
  <si>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</si>
  <si>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</si>
  <si>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</si>
  <si>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</si>
  <si>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</si>
  <si>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</si>
  <si>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</si>
  <si>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</si>
  <si>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</si>
  <si>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</si>
  <si>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</si>
  <si>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</si>
  <si>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</si>
  <si>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</si>
  <si>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</si>
  <si>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</si>
  <si>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</si>
  <si>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</si>
  <si>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</si>
  <si>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</si>
  <si>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</si>
  <si>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</si>
  <si>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</si>
  <si>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</si>
  <si>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</si>
  <si>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</si>
  <si>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</si>
  <si>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</si>
  <si>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</si>
  <si>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</si>
  <si>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</si>
  <si>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</si>
  <si>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</si>
  <si>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</si>
  <si>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</si>
  <si>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</si>
  <si>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</si>
  <si>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</si>
  <si>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</si>
  <si>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</si>
  <si>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</si>
  <si>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</si>
  <si>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</si>
  <si>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</si>
  <si>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</si>
  <si>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</si>
  <si>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</si>
  <si>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</si>
  <si>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</si>
  <si>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</si>
  <si>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</si>
  <si>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</si>
  <si>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</si>
  <si>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</si>
  <si>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</si>
  <si>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</si>
  <si>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</si>
  <si>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</si>
  <si>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</si>
  <si>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</si>
  <si>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</si>
  <si>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</si>
  <si>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</si>
  <si>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</si>
  <si>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</si>
  <si>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</si>
  <si>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</si>
  <si>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</si>
  <si>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</si>
  <si>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</si>
  <si>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</si>
  <si>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</si>
  <si>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</si>
  <si>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</si>
  <si>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</si>
  <si>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</si>
  <si>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</si>
  <si>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</si>
  <si>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</si>
  <si>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</si>
  <si>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</si>
  <si>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</si>
  <si>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</si>
  <si>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</si>
  <si>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</si>
  <si>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</si>
  <si>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</si>
  <si>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</si>
  <si>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</si>
  <si>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</si>
  <si>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</si>
  <si>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</si>
  <si>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</si>
  <si>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</si>
  <si>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</si>
  <si>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</si>
  <si>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</si>
  <si>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</si>
  <si>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</si>
  <si>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</si>
  <si>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</si>
  <si>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</si>
  <si>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</si>
  <si>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</si>
  <si>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</si>
  <si>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</si>
  <si>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</si>
  <si>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</si>
  <si>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</si>
  <si>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</si>
  <si>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</si>
  <si>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</si>
  <si>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</si>
  <si>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</si>
  <si>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</si>
  <si>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</si>
  <si>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</si>
  <si>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</si>
  <si>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</si>
  <si>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</si>
  <si>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</si>
  <si>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</si>
  <si>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</si>
  <si>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</si>
  <si>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</si>
  <si>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</si>
  <si>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</si>
  <si>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</si>
  <si>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</si>
  <si>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</si>
  <si>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</si>
  <si>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</si>
  <si>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</si>
  <si>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</si>
  <si>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</si>
  <si>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</si>
  <si>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</si>
  <si>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</si>
  <si>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</si>
  <si>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</si>
  <si>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</si>
  <si>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</si>
  <si>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</si>
  <si>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</si>
  <si>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</si>
  <si>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</si>
  <si>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</si>
  <si>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</si>
  <si>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</si>
  <si>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</si>
  <si>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</si>
  <si>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</si>
  <si>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</si>
  <si>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</si>
  <si>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</si>
  <si>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</si>
  <si>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</si>
  <si>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</si>
  <si>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</si>
  <si>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</si>
  <si>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</si>
  <si>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</si>
  <si>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</si>
  <si>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</si>
  <si>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</si>
  <si>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</si>
  <si>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</si>
  <si>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</si>
  <si>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</si>
  <si>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</si>
  <si>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</si>
  <si>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</si>
  <si>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</si>
  <si>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</si>
  <si>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</si>
  <si>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</si>
  <si>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</si>
  <si>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</si>
  <si>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</si>
  <si>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</si>
  <si>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</si>
  <si>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</si>
  <si>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</si>
  <si>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</si>
  <si>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</si>
  <si>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</si>
  <si>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</si>
  <si>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</si>
  <si>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</si>
  <si>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</si>
  <si>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</si>
  <si>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</si>
  <si>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</si>
  <si>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</si>
  <si>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</si>
  <si>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</si>
  <si>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</si>
  <si>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</si>
  <si>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</si>
  <si>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</si>
  <si>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</si>
  <si>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</si>
  <si>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</si>
  <si>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</si>
  <si>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</si>
  <si>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</si>
  <si>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</si>
  <si>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</si>
  <si>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</si>
  <si>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</si>
  <si>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</si>
  <si>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</si>
  <si>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</si>
  <si>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</si>
  <si>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</si>
  <si>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</si>
  <si>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</si>
  <si>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</si>
  <si>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</si>
  <si>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</si>
  <si>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</si>
  <si>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</si>
  <si>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</si>
  <si>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</si>
  <si>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</si>
  <si>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</si>
  <si>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</si>
  <si>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</si>
  <si>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</si>
  <si>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</si>
  <si>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</si>
  <si>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</si>
  <si>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</si>
  <si>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</si>
  <si>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</si>
  <si>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</si>
  <si>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</si>
  <si>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</si>
  <si>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</si>
  <si>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</si>
  <si>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</si>
  <si>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</si>
  <si>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</si>
  <si>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</si>
  <si>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</si>
  <si>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</si>
  <si>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</si>
  <si>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</si>
  <si>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</si>
  <si>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</si>
  <si>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</si>
  <si>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</si>
  <si>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</si>
  <si>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</si>
  <si>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</si>
  <si>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</si>
  <si>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</si>
  <si>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</si>
  <si>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</si>
  <si>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</si>
  <si>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</si>
  <si>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</si>
  <si>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</si>
  <si>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</si>
  <si>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</si>
  <si>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</si>
  <si>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</si>
  <si>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</si>
  <si>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</si>
  <si>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</si>
  <si>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</si>
  <si>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</si>
  <si>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</si>
  <si>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</si>
  <si>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</si>
  <si>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</si>
  <si>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</si>
  <si>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</si>
  <si>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</si>
  <si>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</si>
  <si>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</si>
  <si>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</si>
  <si>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</si>
  <si>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</si>
  <si>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</si>
  <si>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</si>
  <si>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</si>
  <si>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</si>
  <si>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</si>
  <si>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</si>
  <si>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</si>
  <si>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</si>
  <si>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</si>
  <si>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</si>
  <si>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</si>
  <si>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</si>
  <si>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</si>
  <si>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</si>
  <si>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</si>
  <si>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</si>
  <si>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</si>
  <si>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</si>
  <si>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</si>
  <si>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</si>
  <si>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</si>
  <si>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</si>
  <si>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</si>
  <si>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</si>
  <si>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</si>
  <si>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</si>
  <si>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</si>
  <si>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</si>
  <si>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</si>
  <si>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</si>
  <si>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</si>
  <si>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</si>
  <si>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</si>
  <si>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</si>
  <si>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</si>
  <si>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</si>
  <si>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</si>
  <si>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</si>
  <si>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</si>
  <si>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</si>
  <si>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</si>
  <si>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</si>
  <si>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</si>
  <si>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</si>
  <si>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</si>
  <si>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</si>
  <si>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</si>
  <si>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</si>
  <si>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</si>
  <si>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</si>
  <si>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</si>
  <si>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</si>
  <si>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</si>
  <si>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</si>
  <si>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</si>
  <si>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</si>
  <si>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</si>
  <si>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</si>
  <si>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</si>
  <si>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</si>
  <si>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</si>
  <si>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</si>
  <si>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</si>
  <si>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</si>
  <si>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</si>
  <si>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</si>
  <si>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</si>
  <si>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</si>
  <si>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</si>
  <si>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</si>
  <si>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</si>
  <si>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</si>
  <si>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</si>
  <si>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</si>
  <si>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</si>
  <si>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</si>
  <si>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</si>
  <si>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</si>
  <si>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</si>
  <si>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</si>
  <si>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</si>
  <si>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</si>
  <si>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</si>
  <si>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</si>
  <si>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</si>
  <si>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</si>
  <si>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</si>
  <si>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</si>
  <si>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</si>
  <si>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</si>
  <si>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</si>
  <si>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</si>
  <si>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</si>
  <si>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</si>
  <si>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</si>
  <si>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</si>
  <si>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</si>
  <si>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</si>
  <si>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</si>
  <si>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</si>
  <si>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</si>
  <si>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</si>
  <si>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</si>
  <si>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</si>
  <si>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</si>
  <si>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</si>
  <si>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</si>
  <si>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</si>
  <si>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</si>
  <si>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</si>
  <si>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</si>
  <si>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</si>
  <si>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</si>
  <si>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</si>
  <si>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</si>
  <si>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</si>
  <si>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</si>
  <si>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</si>
  <si>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</si>
  <si>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</si>
  <si>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</si>
  <si>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</si>
  <si>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</si>
  <si>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</si>
  <si>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</si>
  <si>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</si>
  <si>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</si>
  <si>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</si>
  <si>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</si>
  <si>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</si>
  <si>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</si>
  <si>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</si>
  <si>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</si>
  <si>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</si>
  <si>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</si>
  <si>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</si>
  <si>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</si>
  <si>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</si>
  <si>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</si>
  <si>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</si>
  <si>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</si>
  <si>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</si>
  <si>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</si>
  <si>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</si>
  <si>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</si>
  <si>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</si>
  <si>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</si>
  <si>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</si>
  <si>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</si>
  <si>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</si>
  <si>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</si>
  <si>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</si>
  <si>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</si>
  <si>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</si>
  <si>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</si>
  <si>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</si>
  <si>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</si>
  <si>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</si>
  <si>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</si>
  <si>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</si>
  <si>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</si>
  <si>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</si>
  <si>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</si>
  <si>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</si>
  <si>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</si>
  <si>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</si>
  <si>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</si>
  <si>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</si>
  <si>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</si>
  <si>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</si>
  <si>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</si>
  <si>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</si>
  <si>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</si>
  <si>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</si>
  <si>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</si>
  <si>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</si>
  <si>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</si>
  <si>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</si>
  <si>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</si>
  <si>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</si>
  <si>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</si>
  <si>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</si>
  <si>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</si>
  <si>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</si>
  <si>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</si>
  <si>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</si>
  <si>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</si>
  <si>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</si>
  <si>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</si>
  <si>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</si>
  <si>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</si>
  <si>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</si>
  <si>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</si>
  <si>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</si>
  <si>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</si>
  <si>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</si>
  <si>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</si>
  <si>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</si>
  <si>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</si>
  <si>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</si>
  <si>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</si>
  <si>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</si>
  <si>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</si>
  <si>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</si>
  <si>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</si>
  <si>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</si>
  <si>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</si>
  <si>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</si>
  <si>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</si>
  <si>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</si>
  <si>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</si>
  <si>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</si>
  <si>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</si>
  <si>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</si>
  <si>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</si>
  <si>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</si>
  <si>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</si>
  <si>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</si>
  <si>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</si>
  <si>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</si>
  <si>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</si>
  <si>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</si>
  <si>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</si>
  <si>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</si>
  <si>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</si>
  <si>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</si>
  <si>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</si>
  <si>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</si>
  <si>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</si>
  <si>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</si>
  <si>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</si>
  <si>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</si>
  <si>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</si>
  <si>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</si>
  <si>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</si>
  <si>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</si>
  <si>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</si>
  <si>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</si>
  <si>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</si>
  <si>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</si>
  <si>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</si>
  <si>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</si>
  <si>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</si>
  <si>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</si>
  <si>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</si>
  <si>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</si>
  <si>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</si>
  <si>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</si>
  <si>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</si>
  <si>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</si>
  <si>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</si>
  <si>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</si>
  <si>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</si>
  <si>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</si>
  <si>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</si>
  <si>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</si>
  <si>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</si>
  <si>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</si>
  <si>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</si>
  <si>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</si>
  <si>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</si>
  <si>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</si>
  <si>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</si>
  <si>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</si>
  <si>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</si>
  <si>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</si>
  <si>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</si>
  <si>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</si>
  <si>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</si>
  <si>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</si>
  <si>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</si>
  <si>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</si>
  <si>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</si>
  <si>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</si>
  <si>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</si>
  <si>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</si>
  <si>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</si>
  <si>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</si>
  <si>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</si>
  <si>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</si>
  <si>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</si>
  <si>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</si>
  <si>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</si>
  <si>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</si>
  <si>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</si>
  <si>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</si>
  <si>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</si>
  <si>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</si>
  <si>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</si>
  <si>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</si>
  <si>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</si>
  <si>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</si>
  <si>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</si>
  <si>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</si>
  <si>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</si>
  <si>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</si>
  <si>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</si>
  <si>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</si>
  <si>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</si>
  <si>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</si>
  <si>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</si>
  <si>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</si>
  <si>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</si>
  <si>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</si>
  <si>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</si>
  <si>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</si>
  <si>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</si>
  <si>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</si>
  <si>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</si>
  <si>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</si>
  <si>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</si>
  <si>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</si>
  <si>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</si>
  <si>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</si>
  <si>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</si>
  <si>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</si>
  <si>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</si>
  <si>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</si>
  <si>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</si>
  <si>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</si>
  <si>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</si>
  <si>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</si>
  <si>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</si>
  <si>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</si>
  <si>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</si>
  <si>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</si>
  <si>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</si>
  <si>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</si>
  <si>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</si>
  <si>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</si>
  <si>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</si>
  <si>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</si>
  <si>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</si>
  <si>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</si>
  <si>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</si>
  <si>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</si>
  <si>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</si>
  <si>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</si>
  <si>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</si>
  <si>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</si>
  <si>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</si>
  <si>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</si>
  <si>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</si>
  <si>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</si>
  <si>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</si>
  <si>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</si>
  <si>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</si>
  <si>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</si>
  <si>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</si>
  <si>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</si>
  <si>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</si>
  <si>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</si>
  <si>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</si>
  <si>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</si>
  <si>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</si>
  <si>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</si>
  <si>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</si>
  <si>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</si>
  <si>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</si>
  <si>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</si>
  <si>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</si>
  <si>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</si>
  <si>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</si>
  <si>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</si>
  <si>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</si>
  <si>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</si>
  <si>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</si>
  <si>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</si>
  <si>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</si>
  <si>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</si>
  <si>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</si>
  <si>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</si>
  <si>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</si>
  <si>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</si>
  <si>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</si>
  <si>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</si>
  <si>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</si>
  <si>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</si>
  <si>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</si>
  <si>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</si>
  <si>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</si>
  <si>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</si>
  <si>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</si>
  <si>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</si>
  <si>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</si>
  <si>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</si>
  <si>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</si>
  <si>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</si>
  <si>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</si>
  <si>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</si>
  <si>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</si>
  <si>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</si>
  <si>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</si>
  <si>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</si>
  <si>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</si>
  <si>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</si>
  <si>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</si>
  <si>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</si>
  <si>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</si>
  <si>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</si>
  <si>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</si>
  <si>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</si>
  <si>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</si>
  <si>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</si>
  <si>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</si>
  <si>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</si>
  <si>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</si>
  <si>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</si>
  <si>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</si>
  <si>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</si>
  <si>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</si>
  <si>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</si>
  <si>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</si>
  <si>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</si>
  <si>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</si>
  <si>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</si>
  <si>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</si>
  <si>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</si>
  <si>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</si>
  <si>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</si>
  <si>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</si>
  <si>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</si>
  <si>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</si>
  <si>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</si>
  <si>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</si>
  <si>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</si>
  <si>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</si>
  <si>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</si>
  <si>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</si>
  <si>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</si>
  <si>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</si>
  <si>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</si>
  <si>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</si>
  <si>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</si>
  <si>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</si>
  <si>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</si>
  <si>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</si>
  <si>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</si>
  <si>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</si>
  <si>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</si>
  <si>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</si>
  <si>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</si>
  <si>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</si>
  <si>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</si>
  <si>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</si>
  <si>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</si>
  <si>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</si>
  <si>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</si>
  <si>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</si>
  <si>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</si>
  <si>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</si>
  <si>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</si>
  <si>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</si>
  <si>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</si>
  <si>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</si>
  <si>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</si>
  <si>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</si>
  <si>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</si>
  <si>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</si>
  <si>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</si>
  <si>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</si>
  <si>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</si>
  <si>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</si>
  <si>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</si>
  <si>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</si>
  <si>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</si>
  <si>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</si>
  <si>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</si>
  <si>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</si>
  <si>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</si>
  <si>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</si>
  <si>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</si>
  <si>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</si>
  <si>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</si>
  <si>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</si>
  <si>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</si>
  <si>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</si>
  <si>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</si>
  <si>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</si>
  <si>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</si>
  <si>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</si>
  <si>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</si>
  <si>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</si>
  <si>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</si>
  <si>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</si>
  <si>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</si>
  <si>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</si>
  <si>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</si>
  <si>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</si>
  <si>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</si>
  <si>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</si>
  <si>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</si>
  <si>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</si>
  <si>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</si>
  <si>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</si>
  <si>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</si>
  <si>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</si>
  <si>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</si>
  <si>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</si>
  <si>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</si>
  <si>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</si>
  <si>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</si>
  <si>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</si>
  <si>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</si>
  <si>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</si>
  <si>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</si>
  <si>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</si>
  <si>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</si>
  <si>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</si>
  <si>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</si>
  <si>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</si>
  <si>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</si>
  <si>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</si>
  <si>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</si>
  <si>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</si>
  <si>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</si>
  <si>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</si>
  <si>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</si>
  <si>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</si>
  <si>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</si>
  <si>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</si>
  <si>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</si>
  <si>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</si>
  <si>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</si>
  <si>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</si>
  <si>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</si>
  <si>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</si>
  <si>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</si>
  <si>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</si>
  <si>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</si>
  <si>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</si>
  <si>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</si>
  <si>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</si>
  <si>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</si>
  <si>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</si>
  <si>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</si>
  <si>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</si>
  <si>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</si>
  <si>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</si>
  <si>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</si>
  <si>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</si>
  <si>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</si>
  <si>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</si>
  <si>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</si>
  <si>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</si>
  <si>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</si>
  <si>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</si>
  <si>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</si>
  <si>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</si>
  <si>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</si>
  <si>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</si>
  <si>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</si>
  <si>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</si>
  <si>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</si>
  <si>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</si>
  <si>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</si>
  <si>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</si>
  <si>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</si>
  <si>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</si>
  <si>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</si>
  <si>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</si>
  <si>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</si>
  <si>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</si>
  <si>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</si>
  <si>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</si>
  <si>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</si>
  <si>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</si>
  <si>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</si>
  <si>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</si>
  <si>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</si>
  <si>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</si>
  <si>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</si>
  <si>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</si>
  <si>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</si>
  <si>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</si>
  <si>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</si>
  <si>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</si>
  <si>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</si>
  <si>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</si>
  <si>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</si>
  <si>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</si>
  <si>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</si>
  <si>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</si>
  <si>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</si>
  <si>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</si>
  <si>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</si>
  <si>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</si>
  <si>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</si>
  <si>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</si>
  <si>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</si>
  <si>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</si>
  <si>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</si>
  <si>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</si>
  <si>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</si>
  <si>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</si>
  <si>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</si>
  <si>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</si>
  <si>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</si>
  <si>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</si>
  <si>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</si>
  <si>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</si>
  <si>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</si>
  <si>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</si>
  <si>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</si>
  <si>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</si>
  <si>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</si>
  <si>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</si>
  <si>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</si>
  <si>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</si>
  <si>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</si>
  <si>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</si>
  <si>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</si>
  <si>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</si>
  <si>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</si>
  <si>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</si>
  <si>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</si>
  <si>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</si>
  <si>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</si>
  <si>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</si>
  <si>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</si>
  <si>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</si>
  <si>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</si>
  <si>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</si>
  <si>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</si>
  <si>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</si>
  <si>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</si>
  <si>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</si>
  <si>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</si>
  <si>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</si>
  <si>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</si>
  <si>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</si>
  <si>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</si>
  <si>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</si>
  <si>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</si>
  <si>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</si>
  <si>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</si>
  <si>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</si>
  <si>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</si>
  <si>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</si>
  <si>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</si>
  <si>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</si>
  <si>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</si>
  <si>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</si>
  <si>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</si>
  <si>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</si>
  <si>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</si>
  <si>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</si>
  <si>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</si>
  <si>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</si>
  <si>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</si>
  <si>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</si>
  <si>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</si>
  <si>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</si>
  <si>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</si>
  <si>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</si>
  <si>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</si>
  <si>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</si>
  <si>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</si>
  <si>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</si>
  <si>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</si>
  <si>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</si>
  <si>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</si>
  <si>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</si>
  <si>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</si>
  <si>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</si>
  <si>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</si>
  <si>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</si>
  <si>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</si>
  <si>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</si>
  <si>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</si>
  <si>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</si>
  <si>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</si>
  <si>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</si>
  <si>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</si>
  <si>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</si>
  <si>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</si>
  <si>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</si>
  <si>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</si>
  <si>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</si>
  <si>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</si>
  <si>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</si>
  <si>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</si>
  <si>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</si>
  <si>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</si>
  <si>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</si>
  <si>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</si>
  <si>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</si>
  <si>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</si>
  <si>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</si>
  <si>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</si>
  <si>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</si>
  <si>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</si>
  <si>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</si>
  <si>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</si>
  <si>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</si>
  <si>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</si>
  <si>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</si>
  <si>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</si>
  <si>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</si>
  <si>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</si>
  <si>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</si>
  <si>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</si>
  <si>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</si>
  <si>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</si>
  <si>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</si>
  <si>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</si>
  <si>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</si>
  <si>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</si>
  <si>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</si>
  <si>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</si>
  <si>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</si>
  <si>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</si>
  <si>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</si>
  <si>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</si>
  <si>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</si>
  <si>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</si>
  <si>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</si>
  <si>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</si>
  <si>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</si>
  <si>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</si>
  <si>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</si>
  <si>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</si>
  <si>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</si>
  <si>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</si>
  <si>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</si>
  <si>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</si>
  <si>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</si>
  <si>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</si>
  <si>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</si>
  <si>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</si>
  <si>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</si>
  <si>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</si>
  <si>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</si>
  <si>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</si>
  <si>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</si>
  <si>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</si>
  <si>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</si>
  <si>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</si>
  <si>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</si>
  <si>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</si>
  <si>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</si>
  <si>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</si>
  <si>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</si>
  <si>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</si>
  <si>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</si>
  <si>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</si>
  <si>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</si>
  <si>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</si>
  <si>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</si>
  <si>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</si>
  <si>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</si>
  <si>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</si>
  <si>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</si>
  <si>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</si>
  <si>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</si>
  <si>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</si>
  <si>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</si>
  <si>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</si>
  <si>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</si>
  <si>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</si>
  <si>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</si>
  <si>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</si>
  <si>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</si>
  <si>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</si>
  <si>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</si>
  <si>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</si>
  <si>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</si>
  <si>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</si>
  <si>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</si>
  <si>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</si>
  <si>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</si>
  <si>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</si>
  <si>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</si>
  <si>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</si>
  <si>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</si>
  <si>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</si>
  <si>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</si>
  <si>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</si>
  <si>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</si>
  <si>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</si>
  <si>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</si>
  <si>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</si>
  <si>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</si>
  <si>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</si>
  <si>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</si>
  <si>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</si>
  <si>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</si>
  <si>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</si>
  <si>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</si>
  <si>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</si>
  <si>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</si>
  <si>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</si>
  <si>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</si>
  <si>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</si>
  <si>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</si>
  <si>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</si>
  <si>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</si>
  <si>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</si>
  <si>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</si>
  <si>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</si>
  <si>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</si>
  <si>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</si>
  <si>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</si>
  <si>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</si>
  <si>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</si>
  <si>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</si>
  <si>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</si>
  <si>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</si>
  <si>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</si>
  <si>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</si>
  <si>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</si>
  <si>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</si>
  <si>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</si>
  <si>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</si>
  <si>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</si>
  <si>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</si>
  <si>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</si>
  <si>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</si>
  <si>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</si>
  <si>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</si>
  <si>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</si>
  <si>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</si>
  <si>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</si>
  <si>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</si>
  <si>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</si>
  <si>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</si>
  <si>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</si>
  <si>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</si>
  <si>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</si>
  <si>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</si>
  <si>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</si>
  <si>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</si>
  <si>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</si>
  <si>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</si>
  <si>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</si>
  <si>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</si>
  <si>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</si>
  <si>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</si>
  <si>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</si>
  <si>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</si>
  <si>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</si>
  <si>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</si>
  <si>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</si>
  <si>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</si>
  <si>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</si>
  <si>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</si>
  <si>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</si>
  <si>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</si>
  <si>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</si>
  <si>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</si>
  <si>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</si>
  <si>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</si>
  <si>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</si>
  <si>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</si>
  <si>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</si>
  <si>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</si>
  <si>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</si>
  <si>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</si>
  <si>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</si>
  <si>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</si>
  <si>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</si>
  <si>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</si>
  <si>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</si>
  <si>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</si>
  <si>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</si>
  <si>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</si>
  <si>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</si>
  <si>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</si>
  <si>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</si>
  <si>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</si>
  <si>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</si>
  <si>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</si>
  <si>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</si>
  <si>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</si>
  <si>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</si>
  <si>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</si>
  <si>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</si>
  <si>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</si>
  <si>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</si>
  <si>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</si>
  <si>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</si>
  <si>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</si>
  <si>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</si>
  <si>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</si>
  <si>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</si>
  <si>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</si>
  <si>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</si>
  <si>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</si>
  <si>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</si>
  <si>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</si>
  <si>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</si>
  <si>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</si>
  <si>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</si>
  <si>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</si>
  <si>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</si>
  <si>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</si>
  <si>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</si>
  <si>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</si>
  <si>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</si>
  <si>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</si>
  <si>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</si>
  <si>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</si>
  <si>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</si>
  <si>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</si>
  <si>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</si>
  <si>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</si>
  <si>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</si>
  <si>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</si>
  <si>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</si>
  <si>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</si>
  <si>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</si>
  <si>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</si>
  <si>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</si>
  <si>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</si>
  <si>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</si>
  <si>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</si>
  <si>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</si>
  <si>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</si>
  <si>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</si>
  <si>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</si>
  <si>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</si>
  <si>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</si>
  <si>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</si>
  <si>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</si>
  <si>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</si>
  <si>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</si>
  <si>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</si>
  <si>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</si>
  <si>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</si>
  <si>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</si>
  <si>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</si>
  <si>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</si>
  <si>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</si>
  <si>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</si>
  <si>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</si>
  <si>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</si>
  <si>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</si>
  <si>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</si>
  <si>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</si>
  <si>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</si>
  <si>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</si>
  <si>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</si>
  <si>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</si>
  <si>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</si>
  <si>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</si>
  <si>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</si>
  <si>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</si>
  <si>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</si>
  <si>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</si>
  <si>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</si>
  <si>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</si>
  <si>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</si>
  <si>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</si>
  <si>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</si>
  <si>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</si>
  <si>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</si>
  <si>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</si>
  <si>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</si>
  <si>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</si>
  <si>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</si>
  <si>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</si>
  <si>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</si>
  <si>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</si>
  <si>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</si>
  <si>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</si>
  <si>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</si>
  <si>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</si>
  <si>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</si>
  <si>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</si>
  <si>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</si>
  <si>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</si>
  <si>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</si>
  <si>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</si>
  <si>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</si>
  <si>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</si>
  <si>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</si>
  <si>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</si>
  <si>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</si>
  <si>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</si>
  <si>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</si>
  <si>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</si>
  <si>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</si>
  <si>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</si>
  <si>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</si>
  <si>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</si>
  <si>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</si>
  <si>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</si>
  <si>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</si>
  <si>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</si>
  <si>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</si>
  <si>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</si>
  <si>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</si>
  <si>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</si>
  <si>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</si>
  <si>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</si>
  <si>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</si>
  <si>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</si>
  <si>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</si>
  <si>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</si>
  <si>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</si>
  <si>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</si>
  <si>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</si>
  <si>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</si>
  <si>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</si>
  <si>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</si>
  <si>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</si>
  <si>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</si>
  <si>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</si>
  <si>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</si>
  <si>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</si>
  <si>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</si>
  <si>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</si>
  <si>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</si>
  <si>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</si>
  <si>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</si>
  <si>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</si>
  <si>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</si>
  <si>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</si>
  <si>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</si>
  <si>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</si>
  <si>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</si>
  <si>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</si>
  <si>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</si>
  <si>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</si>
  <si>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</si>
  <si>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</si>
  <si>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</si>
  <si>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</si>
  <si>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</si>
  <si>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</si>
  <si>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</si>
  <si>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</si>
  <si>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</si>
  <si>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</si>
  <si>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</si>
  <si>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</si>
  <si>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</si>
  <si>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</si>
  <si>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</si>
  <si>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</si>
  <si>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</si>
  <si>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</si>
  <si>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</si>
  <si>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</si>
  <si>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</si>
  <si>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</si>
  <si>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</si>
  <si>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</si>
  <si>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</si>
  <si>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</si>
  <si>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</si>
  <si>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</si>
  <si>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</si>
  <si>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</si>
  <si>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</si>
  <si>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</si>
  <si>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</si>
  <si>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</si>
  <si>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</si>
  <si>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</si>
  <si>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</si>
  <si>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</si>
  <si>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</si>
  <si>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</si>
  <si>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</si>
  <si>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</si>
  <si>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</si>
  <si>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</si>
  <si>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</si>
  <si>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</si>
  <si>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</si>
  <si>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</si>
  <si>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</si>
  <si>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</si>
  <si>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</si>
  <si>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</si>
  <si>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</si>
  <si>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</si>
  <si>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</si>
  <si>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</si>
  <si>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</si>
  <si>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</si>
  <si>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</si>
  <si>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</si>
  <si>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</si>
  <si>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</si>
  <si>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</si>
  <si>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</si>
  <si>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</si>
  <si>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</si>
  <si>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</si>
  <si>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</si>
  <si>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</si>
  <si>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</si>
  <si>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</si>
  <si>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</si>
  <si>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</si>
  <si>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</si>
  <si>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</si>
  <si>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</si>
  <si>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</si>
  <si>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</si>
  <si>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</si>
  <si>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</si>
  <si>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</si>
  <si>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</si>
  <si>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</si>
  <si>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</si>
  <si>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</si>
  <si>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</si>
  <si>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</si>
  <si>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</si>
  <si>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</si>
  <si>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</si>
  <si>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</si>
  <si>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</si>
  <si>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</si>
  <si>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</si>
  <si>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</si>
  <si>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</si>
  <si>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</si>
  <si>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</si>
  <si>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</si>
  <si>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</si>
  <si>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</si>
  <si>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</si>
  <si>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</si>
  <si>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</si>
  <si>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</si>
  <si>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</si>
  <si>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</si>
  <si>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</si>
  <si>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</si>
  <si>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</si>
  <si>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</si>
  <si>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</si>
  <si>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</si>
  <si>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</si>
  <si>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</si>
  <si>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</si>
  <si>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</si>
  <si>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</si>
  <si>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</si>
  <si>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</si>
  <si>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</si>
  <si>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</si>
  <si>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</si>
  <si>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</si>
  <si>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</si>
  <si>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</si>
  <si>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</si>
  <si>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</si>
  <si>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</si>
  <si>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</si>
  <si>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</si>
  <si>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</si>
  <si>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</si>
  <si>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</si>
  <si>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</si>
  <si>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</si>
  <si>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</si>
  <si>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</si>
  <si>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</si>
  <si>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</si>
  <si>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</si>
  <si>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</si>
  <si>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</si>
  <si>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</si>
  <si>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</si>
  <si>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</si>
  <si>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</si>
  <si>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</si>
  <si>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</si>
  <si>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</si>
  <si>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</si>
  <si>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</si>
  <si>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</si>
  <si>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</si>
  <si>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</si>
  <si>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</si>
  <si>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</si>
  <si>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</si>
  <si>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</si>
  <si>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</si>
  <si>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</si>
  <si>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</si>
  <si>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</si>
  <si>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</si>
  <si>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</si>
  <si>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</si>
  <si>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</si>
  <si>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</si>
  <si>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</si>
  <si>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</si>
  <si>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</si>
  <si>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</si>
  <si>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</si>
  <si>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</si>
  <si>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</si>
  <si>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</si>
  <si>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</si>
  <si>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</si>
  <si>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</si>
  <si>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</si>
  <si>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</si>
  <si>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</si>
  <si>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</si>
  <si>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</si>
  <si>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</si>
  <si>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</si>
  <si>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</si>
  <si>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</si>
  <si>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</si>
  <si>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</si>
  <si>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</si>
  <si>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</si>
  <si>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</si>
  <si>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</si>
  <si>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</si>
  <si>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</si>
  <si>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</si>
  <si>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</si>
  <si>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</si>
  <si>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</si>
  <si>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</si>
  <si>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</si>
  <si>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</si>
  <si>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</si>
  <si>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</si>
  <si>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</si>
  <si>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</si>
  <si>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</si>
  <si>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</si>
  <si>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</si>
  <si>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</si>
  <si>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</si>
  <si>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</si>
  <si>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</si>
  <si>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</si>
  <si>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</si>
  <si>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</si>
  <si>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</si>
  <si>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</si>
  <si>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</si>
  <si>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</si>
  <si>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</si>
  <si>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</si>
  <si>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</si>
  <si>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</si>
  <si>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</si>
  <si>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</si>
  <si>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</si>
  <si>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</si>
  <si>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</si>
  <si>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</si>
  <si>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</si>
  <si>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</si>
  <si>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</si>
  <si>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</si>
  <si>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</si>
  <si>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</si>
  <si>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</si>
  <si>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</si>
  <si>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</si>
  <si>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</si>
  <si>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</si>
  <si>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</si>
  <si>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</si>
  <si>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</si>
  <si>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</si>
  <si>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</si>
  <si>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</si>
  <si>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</si>
  <si>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</si>
  <si>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</si>
  <si>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</si>
  <si>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</si>
  <si>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</si>
  <si>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</si>
  <si>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</si>
  <si>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</si>
  <si>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</si>
  <si>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</si>
  <si>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</si>
  <si>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</si>
  <si>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</si>
  <si>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</si>
  <si>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</si>
  <si>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</si>
  <si>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</si>
  <si>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</si>
  <si>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</si>
  <si>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</si>
  <si>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</si>
  <si>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</si>
  <si>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</si>
  <si>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</si>
  <si>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</si>
  <si>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</si>
  <si>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</si>
  <si>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</si>
  <si>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</si>
  <si>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</si>
  <si>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</si>
  <si>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</si>
  <si>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</si>
  <si>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</si>
  <si>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</si>
  <si>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</si>
  <si>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</si>
  <si>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</si>
  <si>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</si>
  <si>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</si>
  <si>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</si>
  <si>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</si>
  <si>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</si>
  <si>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</si>
  <si>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</si>
  <si>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</si>
  <si>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</si>
  <si>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</si>
  <si>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</si>
  <si>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</si>
  <si>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</si>
  <si>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</si>
  <si>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</si>
  <si>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</si>
  <si>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</si>
  <si>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</si>
  <si>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</si>
  <si>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</si>
  <si>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</si>
  <si>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</si>
  <si>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</si>
  <si>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</si>
  <si>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</si>
  <si>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</si>
  <si>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</si>
  <si>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</si>
  <si>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</si>
  <si>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</si>
  <si>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</si>
  <si>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</si>
  <si>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</si>
  <si>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</si>
  <si>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</si>
  <si>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</si>
  <si>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</si>
  <si>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</si>
  <si>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</si>
  <si>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</si>
  <si>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</si>
  <si>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</si>
  <si>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</si>
  <si>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</si>
  <si>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</si>
  <si>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</si>
  <si>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</si>
  <si>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</si>
  <si>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</si>
  <si>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</si>
  <si>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</si>
  <si>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</si>
  <si>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</si>
  <si>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</si>
  <si>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</si>
  <si>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</si>
  <si>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</si>
  <si>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</si>
  <si>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</si>
  <si>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</si>
  <si>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</si>
  <si>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</si>
  <si>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</si>
  <si>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</si>
  <si>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</si>
  <si>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</si>
  <si>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</si>
  <si>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</si>
  <si>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</si>
  <si>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</si>
  <si>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</si>
  <si>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</si>
  <si>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</si>
  <si>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</si>
  <si>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</si>
  <si>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</si>
  <si>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</si>
  <si>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</si>
  <si>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</si>
  <si>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</si>
  <si>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</si>
  <si>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</si>
  <si>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</si>
  <si>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</si>
  <si>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</si>
  <si>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</si>
  <si>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</si>
  <si>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</si>
  <si>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</si>
  <si>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</si>
  <si>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</si>
  <si>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</si>
  <si>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</si>
  <si>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</si>
  <si>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</si>
  <si>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</si>
  <si>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</si>
  <si>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</si>
  <si>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</si>
  <si>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</si>
  <si>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</si>
  <si>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</si>
  <si>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</si>
  <si>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</si>
  <si>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</si>
  <si>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</si>
  <si>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</si>
  <si>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</si>
  <si>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</si>
  <si>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</si>
  <si>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</si>
  <si>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</si>
  <si>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</si>
  <si>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</si>
  <si>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</si>
  <si>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</si>
  <si>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</si>
  <si>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</si>
  <si>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</si>
  <si>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</si>
  <si>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</si>
  <si>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</si>
  <si>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</si>
  <si>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</si>
  <si>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</si>
  <si>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</si>
  <si>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</si>
  <si>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</si>
  <si>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</si>
  <si>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</si>
  <si>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</si>
  <si>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</si>
  <si>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</si>
  <si>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</si>
  <si>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</si>
  <si>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</si>
  <si>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</si>
  <si>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</si>
  <si>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</si>
  <si>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</si>
  <si>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</si>
  <si>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</si>
  <si>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</si>
  <si>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</si>
  <si>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</si>
  <si>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</si>
  <si>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</si>
  <si>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</si>
  <si>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</si>
  <si>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</si>
  <si>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</si>
  <si>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</si>
  <si>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</si>
  <si>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</si>
  <si>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</si>
  <si>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</si>
  <si>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</si>
  <si>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</si>
  <si>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</si>
  <si>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</si>
  <si>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</si>
  <si>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</si>
  <si>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</si>
  <si>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</si>
  <si>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</si>
  <si>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</si>
  <si>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</si>
  <si>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</si>
  <si>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</si>
  <si>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</si>
  <si>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</si>
  <si>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</si>
  <si>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</si>
  <si>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</si>
  <si>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</si>
  <si>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</si>
  <si>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</si>
  <si>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</si>
  <si>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</si>
  <si>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</si>
  <si>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</si>
  <si>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</si>
  <si>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</si>
  <si>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</si>
  <si>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</si>
  <si>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</si>
  <si>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</si>
  <si>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</si>
  <si>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</si>
  <si>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</si>
  <si>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</si>
  <si>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</si>
  <si>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</si>
  <si>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</si>
  <si>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</si>
  <si>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</si>
  <si>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</si>
  <si>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</si>
  <si>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</si>
  <si>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</si>
  <si>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</si>
  <si>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</si>
  <si>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</si>
  <si>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</si>
  <si>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</si>
  <si>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</si>
  <si>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</si>
  <si>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</si>
  <si>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</si>
  <si>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</si>
  <si>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</si>
  <si>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</si>
  <si>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</si>
  <si>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</si>
  <si>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</si>
  <si>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</si>
  <si>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</si>
  <si>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</si>
  <si>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</si>
  <si>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</si>
  <si>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</si>
  <si>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</si>
  <si>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</si>
  <si>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</si>
  <si>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</si>
  <si>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</si>
  <si>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</si>
  <si>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</si>
  <si>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</si>
  <si>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</si>
  <si>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</si>
  <si>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</si>
  <si>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</si>
  <si>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</si>
  <si>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</si>
  <si>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</si>
  <si>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</si>
  <si>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</si>
  <si>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</si>
  <si>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</si>
  <si>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</si>
  <si>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</si>
  <si>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</si>
  <si>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</si>
  <si>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</si>
  <si>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</si>
  <si>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</si>
  <si>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</si>
  <si>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</si>
  <si>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</si>
  <si>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</si>
  <si>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</si>
  <si>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</si>
  <si>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</si>
  <si>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</si>
  <si>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</si>
  <si>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</si>
  <si>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</si>
  <si>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</si>
  <si>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</si>
  <si>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</si>
  <si>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</si>
  <si>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</si>
  <si>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</si>
  <si>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</si>
  <si>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</si>
  <si>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</si>
  <si>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</si>
  <si>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</si>
  <si>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</si>
  <si>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</si>
  <si>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</si>
  <si>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</si>
  <si>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</si>
  <si>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</si>
  <si>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</si>
  <si>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</si>
  <si>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</si>
  <si>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</si>
  <si>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</si>
  <si>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</si>
  <si>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</si>
  <si>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</si>
  <si>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</si>
  <si>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</si>
  <si>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</si>
  <si>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</si>
  <si>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</si>
  <si>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</si>
  <si>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</si>
  <si>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</si>
  <si>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</si>
  <si>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</si>
  <si>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</si>
  <si>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</si>
  <si>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</si>
  <si>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</si>
  <si>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</si>
  <si>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</si>
  <si>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</si>
  <si>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</si>
  <si>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</si>
  <si>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</si>
  <si>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</si>
  <si>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</si>
  <si>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</si>
  <si>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</si>
  <si>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</si>
  <si>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</si>
  <si>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</si>
  <si>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</si>
  <si>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</si>
  <si>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</si>
  <si>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</si>
  <si>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</si>
  <si>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</si>
  <si>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</si>
  <si>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</si>
  <si>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</si>
  <si>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</si>
  <si>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</si>
  <si>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</si>
  <si>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</si>
  <si>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</si>
  <si>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</si>
  <si>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</si>
  <si>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</si>
  <si>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</si>
  <si>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</si>
  <si>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</si>
  <si>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</si>
  <si>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</si>
  <si>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</si>
  <si>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</si>
  <si>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</si>
  <si>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</si>
  <si>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</si>
  <si>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</si>
  <si>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</si>
  <si>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</si>
  <si>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</si>
  <si>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</si>
  <si>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</si>
  <si>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</si>
  <si>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</si>
  <si>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</si>
  <si>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</si>
  <si>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</si>
  <si>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</si>
  <si>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</si>
  <si>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</si>
  <si>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</si>
  <si>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</si>
  <si>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</si>
  <si>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</si>
  <si>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</si>
  <si>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</si>
  <si>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</si>
  <si>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</si>
  <si>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</si>
  <si>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</si>
  <si>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</si>
  <si>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</si>
  <si>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</si>
  <si>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</si>
  <si>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</si>
  <si>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</si>
  <si>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</si>
  <si>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</si>
  <si>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</si>
  <si>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</si>
  <si>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</si>
  <si>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</si>
  <si>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</si>
  <si>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</si>
  <si>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</si>
  <si>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</si>
  <si>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</si>
  <si>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</si>
  <si>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</si>
  <si>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</si>
  <si>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</si>
  <si>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</si>
  <si>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</si>
  <si>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</si>
  <si>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</si>
  <si>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</si>
  <si>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</si>
  <si>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</si>
  <si>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</si>
  <si>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</si>
  <si>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</si>
  <si>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</si>
  <si>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</si>
  <si>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</si>
  <si>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</si>
  <si>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</si>
  <si>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</si>
  <si>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</si>
  <si>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</si>
  <si>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</si>
  <si>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</si>
  <si>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</si>
  <si>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</si>
  <si>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</si>
  <si>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</si>
  <si>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</si>
  <si>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</si>
  <si>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</si>
  <si>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</si>
  <si>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</si>
  <si>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</si>
  <si>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</si>
  <si>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</si>
  <si>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</si>
  <si>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</si>
  <si>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</si>
  <si>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</si>
  <si>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</si>
  <si>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</si>
  <si>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</si>
  <si>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</si>
  <si>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</si>
  <si>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</si>
  <si>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</si>
  <si>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</si>
  <si>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</si>
  <si>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</si>
  <si>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</si>
  <si>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</si>
  <si>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</si>
  <si>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</si>
  <si>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</si>
  <si>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</si>
  <si>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</si>
  <si>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</si>
  <si>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</si>
  <si>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</si>
  <si>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</si>
  <si>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</si>
  <si>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</si>
  <si>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</si>
  <si>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</si>
  <si>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</si>
  <si>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</si>
  <si>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</si>
  <si>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</si>
  <si>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</si>
  <si>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</si>
  <si>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</si>
  <si>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</si>
  <si>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</si>
  <si>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</si>
  <si>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</si>
  <si>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</si>
  <si>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</si>
  <si>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</si>
  <si>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</si>
  <si>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</si>
  <si>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</si>
  <si>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</si>
  <si>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</si>
  <si>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</si>
  <si>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</si>
  <si>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</si>
  <si>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</si>
  <si>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</si>
  <si>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</si>
  <si>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</si>
  <si>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</si>
  <si>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</si>
  <si>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</si>
  <si>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</si>
  <si>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</si>
  <si>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</si>
  <si>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</si>
  <si>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</si>
  <si>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</si>
  <si>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</si>
  <si>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</si>
  <si>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</si>
  <si>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</si>
  <si>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</si>
  <si>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</si>
  <si>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</si>
  <si>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</si>
  <si>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</si>
  <si>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</si>
  <si>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</si>
  <si>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</si>
  <si>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</si>
  <si>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</si>
  <si>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</si>
  <si>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</si>
  <si>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</si>
  <si>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</si>
  <si>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</si>
  <si>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</si>
  <si>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</si>
  <si>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</si>
  <si>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</si>
  <si>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</si>
  <si>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</si>
  <si>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</si>
  <si>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</si>
  <si>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</si>
  <si>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</si>
  <si>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</si>
  <si>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</si>
  <si>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</si>
  <si>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</si>
  <si>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</si>
  <si>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</si>
  <si>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</si>
  <si>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</si>
  <si>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</si>
  <si>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</si>
  <si>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</si>
  <si>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</si>
  <si>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</si>
  <si>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</si>
  <si>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</si>
  <si>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</si>
  <si>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</si>
  <si>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</si>
  <si>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</si>
  <si>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</si>
  <si>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</si>
  <si>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</si>
  <si>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</si>
  <si>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</si>
  <si>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</si>
  <si>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</si>
  <si>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</si>
  <si>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</si>
  <si>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</si>
  <si>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</si>
  <si>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</si>
  <si>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</si>
  <si>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</si>
  <si>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</si>
  <si>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</si>
  <si>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</si>
  <si>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</si>
  <si>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</si>
  <si>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</si>
  <si>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</si>
  <si>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</si>
  <si>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</si>
  <si>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</si>
  <si>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</si>
  <si>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</si>
  <si>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</si>
  <si>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</si>
  <si>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</si>
  <si>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</si>
  <si>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</si>
  <si>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</si>
  <si>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</si>
  <si>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</si>
  <si>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</si>
  <si>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</si>
  <si>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</si>
  <si>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</si>
  <si>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</si>
  <si>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</si>
  <si>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</si>
  <si>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</si>
  <si>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</si>
  <si>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</si>
  <si>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</si>
  <si>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</si>
  <si>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</si>
  <si>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</si>
  <si>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</si>
  <si>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</si>
  <si>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</si>
  <si>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</si>
  <si>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</si>
  <si>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</si>
  <si>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</si>
  <si>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</si>
  <si>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</si>
  <si>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</si>
  <si>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</si>
  <si>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</si>
  <si>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</si>
  <si>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</si>
  <si>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</si>
  <si>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</si>
  <si>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</si>
  <si>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</si>
  <si>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</si>
  <si>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</si>
  <si>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</si>
  <si>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</si>
  <si>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</si>
  <si>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</si>
  <si>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</si>
  <si>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</si>
  <si>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</si>
  <si>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</si>
  <si>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</si>
  <si>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</si>
  <si>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</si>
  <si>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</si>
  <si>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</si>
  <si>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</si>
  <si>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</si>
  <si>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</si>
  <si>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</si>
  <si>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</si>
  <si>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</si>
  <si>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</si>
  <si>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</si>
  <si>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</si>
  <si>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</si>
  <si>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</si>
  <si>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</si>
  <si>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</si>
  <si>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</si>
  <si>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</si>
  <si>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</si>
  <si>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</si>
  <si>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</si>
  <si>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</si>
  <si>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</si>
  <si>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</si>
  <si>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</si>
  <si>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</si>
  <si>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</si>
  <si>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</si>
  <si>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</si>
  <si>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</si>
  <si>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</si>
  <si>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</si>
  <si>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</si>
  <si>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</si>
  <si>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</si>
  <si>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</si>
  <si>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</si>
  <si>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</si>
  <si>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</si>
  <si>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</si>
  <si>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</si>
  <si>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</si>
  <si>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</si>
  <si>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</si>
  <si>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</si>
  <si>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</si>
  <si>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</si>
  <si>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</si>
  <si>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</si>
  <si>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</si>
  <si>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</si>
  <si>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</si>
  <si>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</si>
  <si>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</si>
  <si>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</si>
  <si>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</si>
  <si>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</si>
  <si>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</si>
  <si>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</si>
  <si>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</si>
  <si>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</si>
  <si>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</si>
  <si>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</si>
  <si>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</si>
  <si>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</si>
  <si>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</si>
  <si>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</si>
  <si>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</si>
  <si>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</si>
  <si>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</si>
  <si>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</si>
  <si>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</si>
  <si>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</si>
  <si>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</si>
  <si>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</si>
  <si>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</si>
  <si>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</si>
  <si>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</si>
  <si>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</si>
  <si>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</si>
  <si>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</si>
  <si>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</si>
  <si>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</si>
  <si>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</si>
  <si>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</si>
  <si>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</si>
  <si>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</si>
  <si>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</si>
  <si>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</si>
  <si>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</si>
  <si>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</si>
  <si>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</si>
  <si>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</si>
  <si>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</si>
  <si>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</si>
  <si>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</si>
  <si>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</si>
  <si>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</si>
  <si>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</si>
  <si>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</si>
  <si>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</si>
  <si>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</si>
  <si>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</si>
  <si>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</si>
  <si>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</si>
  <si>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</si>
  <si>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</si>
  <si>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</si>
  <si>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</si>
  <si>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</si>
  <si>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</si>
  <si>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</si>
  <si>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</si>
  <si>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</si>
  <si>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</si>
  <si>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</si>
  <si>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</si>
  <si>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</si>
  <si>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</si>
  <si>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</si>
  <si>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</si>
  <si>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</si>
  <si>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</si>
  <si>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</si>
  <si>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</si>
  <si>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</si>
  <si>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</si>
  <si>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</si>
  <si>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</si>
  <si>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</si>
  <si>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</si>
  <si>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</si>
  <si>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</si>
  <si>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</si>
  <si>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</si>
  <si>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</si>
  <si>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</si>
  <si>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</si>
  <si>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</si>
  <si>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</si>
  <si>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</si>
  <si>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</si>
  <si>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</si>
  <si>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</si>
  <si>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</si>
  <si>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</si>
  <si>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</si>
  <si>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</si>
  <si>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</si>
  <si>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</si>
  <si>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</si>
  <si>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</si>
  <si>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</si>
  <si>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</si>
  <si>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</si>
  <si>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</si>
  <si>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</si>
  <si>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</si>
  <si>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</si>
  <si>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</si>
  <si>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</si>
  <si>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</si>
  <si>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</si>
  <si>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</si>
  <si>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</si>
  <si>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</si>
  <si>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</si>
  <si>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</si>
  <si>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</si>
  <si>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</si>
  <si>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</si>
  <si>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</si>
  <si>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</si>
  <si>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</si>
  <si>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</si>
  <si>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</si>
  <si>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</si>
  <si>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</si>
  <si>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</si>
  <si>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</si>
  <si>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</si>
  <si>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</si>
  <si>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</si>
  <si>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</si>
  <si>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</si>
  <si>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</si>
  <si>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</si>
  <si>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</si>
  <si>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</si>
  <si>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</si>
  <si>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</si>
  <si>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</si>
  <si>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</si>
  <si>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</si>
  <si>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</si>
  <si>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</si>
  <si>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</si>
  <si>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</si>
  <si>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</si>
  <si>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</si>
  <si>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</si>
  <si>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</si>
  <si>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</si>
  <si>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</si>
  <si>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</si>
  <si>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</si>
  <si>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</si>
  <si>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</si>
  <si>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</si>
  <si>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</si>
  <si>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</si>
  <si>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</si>
  <si>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</si>
  <si>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</si>
  <si>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</si>
  <si>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</si>
  <si>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</si>
  <si>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</si>
  <si>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</si>
  <si>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</si>
  <si>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</si>
  <si>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</si>
  <si>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</si>
  <si>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</si>
  <si>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</si>
  <si>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</si>
  <si>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</si>
  <si>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</si>
  <si>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</si>
  <si>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</si>
  <si>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</si>
  <si>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</si>
  <si>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</si>
  <si>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</si>
  <si>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</si>
  <si>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</si>
  <si>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</si>
  <si>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</si>
  <si>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</si>
  <si>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</si>
  <si>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</si>
  <si>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</si>
  <si>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</si>
  <si>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</si>
  <si>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</si>
  <si>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</si>
  <si>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</si>
  <si>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</si>
  <si>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</si>
  <si>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</si>
  <si>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</si>
  <si>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</si>
  <si>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</si>
  <si>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</si>
  <si>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</si>
  <si>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</si>
  <si>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</si>
  <si>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</si>
  <si>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</si>
  <si>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</si>
  <si>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</si>
  <si>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</si>
  <si>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</si>
  <si>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</si>
  <si>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</si>
  <si>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</si>
  <si>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</si>
  <si>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</si>
  <si>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</si>
  <si>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</si>
  <si>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</si>
  <si>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</si>
  <si>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</si>
  <si>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</si>
  <si>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</si>
  <si>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</si>
  <si>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</si>
  <si>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</si>
  <si>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</si>
  <si>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</si>
  <si>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</si>
  <si>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</si>
  <si>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</si>
  <si>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</si>
  <si>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</si>
  <si>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</si>
  <si>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</si>
  <si>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</si>
  <si>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</si>
  <si>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</si>
  <si>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</si>
  <si>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</si>
  <si>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</si>
  <si>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</si>
  <si>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</si>
  <si>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</si>
  <si>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</si>
  <si>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</si>
  <si>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</si>
  <si>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</si>
  <si>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</si>
  <si>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</si>
  <si>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</si>
  <si>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</si>
  <si>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</si>
  <si>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</si>
  <si>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</si>
  <si>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</si>
  <si>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</si>
  <si>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</si>
  <si>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</si>
  <si>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</si>
  <si>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</si>
  <si>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</si>
  <si>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</si>
  <si>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</si>
  <si>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</si>
  <si>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</si>
  <si>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</si>
  <si>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</si>
  <si>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</si>
  <si>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</si>
  <si>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</si>
  <si>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</si>
  <si>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</si>
  <si>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</si>
  <si>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</si>
  <si>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</si>
  <si>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</si>
  <si>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</si>
  <si>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</si>
  <si>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</si>
  <si>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</si>
  <si>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</si>
  <si>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</si>
  <si>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</si>
  <si>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</si>
  <si>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</si>
  <si>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</si>
  <si>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</si>
  <si>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</si>
  <si>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</si>
  <si>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</si>
  <si>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</si>
  <si>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</si>
  <si>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</si>
  <si>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</si>
  <si>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</si>
  <si>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</si>
  <si>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</si>
  <si>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</si>
  <si>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</si>
  <si>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</si>
  <si>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</si>
  <si>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</si>
  <si>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</si>
  <si>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</si>
  <si>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</si>
  <si>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</si>
  <si>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</si>
  <si>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</si>
  <si>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</si>
  <si>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</si>
  <si>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</si>
  <si>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</si>
  <si>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</si>
  <si>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</si>
  <si>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</si>
  <si>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</si>
  <si>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</si>
  <si>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</si>
  <si>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</si>
  <si>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</si>
  <si>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</si>
  <si>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</si>
  <si>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</si>
  <si>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</si>
  <si>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</si>
  <si>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</si>
  <si>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</si>
  <si>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</si>
  <si>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</si>
  <si>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</si>
  <si>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</si>
  <si>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</si>
  <si>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</si>
  <si>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</si>
  <si>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</si>
  <si>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</si>
  <si>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</si>
  <si>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</si>
  <si>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</si>
  <si>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</si>
  <si>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</si>
  <si>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</si>
  <si>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</si>
  <si>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</si>
  <si>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</si>
  <si>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</si>
  <si>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</si>
  <si>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</si>
  <si>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</si>
  <si>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</si>
  <si>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</si>
  <si>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</si>
  <si>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</si>
  <si>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</si>
  <si>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</si>
  <si>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</si>
  <si>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</si>
  <si>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</si>
  <si>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</si>
  <si>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</si>
  <si>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</si>
  <si>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</si>
  <si>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</si>
  <si>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</si>
  <si>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</si>
  <si>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</si>
  <si>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</si>
  <si>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</si>
  <si>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</si>
  <si>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</si>
  <si>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</si>
  <si>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</si>
  <si>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</si>
  <si>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</si>
  <si>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</si>
  <si>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</si>
  <si>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</si>
  <si>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</si>
  <si>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</si>
  <si>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</si>
  <si>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</si>
  <si>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</si>
  <si>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</si>
  <si>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</si>
  <si>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</si>
  <si>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</si>
  <si>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</si>
  <si>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</si>
  <si>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</si>
  <si>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</si>
  <si>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</si>
  <si>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</si>
  <si>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</si>
  <si>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</si>
  <si>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</si>
  <si>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</si>
  <si>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</si>
  <si>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</si>
  <si>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</si>
  <si>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</si>
  <si>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</si>
  <si>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</si>
  <si>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</si>
  <si>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</si>
  <si>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</si>
  <si>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</si>
  <si>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</si>
  <si>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</si>
  <si>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</si>
  <si>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</si>
  <si>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</si>
  <si>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</si>
  <si>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</si>
  <si>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</si>
  <si>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</si>
  <si>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</si>
  <si>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</si>
  <si>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</si>
  <si>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</si>
  <si>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</si>
  <si>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</si>
  <si>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</si>
  <si>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</si>
  <si>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</si>
  <si>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</si>
  <si>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</si>
  <si>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</si>
  <si>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</si>
  <si>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</si>
  <si>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</si>
  <si>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</si>
  <si>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</si>
  <si>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</si>
  <si>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</si>
  <si>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</si>
  <si>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</si>
  <si>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</si>
  <si>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</si>
  <si>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</si>
  <si>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</si>
  <si>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</si>
  <si>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</si>
  <si>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</si>
  <si>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</si>
  <si>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</si>
  <si>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</si>
  <si>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</si>
  <si>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</si>
  <si>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</si>
  <si>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</si>
  <si>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</si>
  <si>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</si>
  <si>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</si>
  <si>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</si>
  <si>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</si>
  <si>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</si>
  <si>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</si>
  <si>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</si>
  <si>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</si>
  <si>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</si>
  <si>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</si>
  <si>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</si>
  <si>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</si>
  <si>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</si>
  <si>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</si>
  <si>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</si>
  <si>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</si>
  <si>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</si>
  <si>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</si>
  <si>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</si>
  <si>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</si>
  <si>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</si>
  <si>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</si>
  <si>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</si>
  <si>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</si>
  <si>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</si>
  <si>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</si>
  <si>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</si>
  <si>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</si>
  <si>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</si>
  <si>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</si>
  <si>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</si>
  <si>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</si>
  <si>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</si>
  <si>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</si>
  <si>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</si>
  <si>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</si>
  <si>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</si>
  <si>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</si>
  <si>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</si>
  <si>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</si>
  <si>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</si>
  <si>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</si>
  <si>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</si>
  <si>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</si>
  <si>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</si>
  <si>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</si>
  <si>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</si>
  <si>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</si>
  <si>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</si>
  <si>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</si>
  <si>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</si>
  <si>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</si>
  <si>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</si>
  <si>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</si>
  <si>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</si>
  <si>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</si>
  <si>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</si>
  <si>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</si>
  <si>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</si>
  <si>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</si>
  <si>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</si>
  <si>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</si>
  <si>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</si>
  <si>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</si>
  <si>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</si>
  <si>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</si>
  <si>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</si>
  <si>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</si>
  <si>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</si>
  <si>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</si>
  <si>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</si>
  <si>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</si>
  <si>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</si>
  <si>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</si>
  <si>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</si>
  <si>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</si>
  <si>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</si>
  <si>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</si>
  <si>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</si>
  <si>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</si>
  <si>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</si>
  <si>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</si>
  <si>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</si>
  <si>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</si>
  <si>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</si>
  <si>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</si>
  <si>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</si>
  <si>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</si>
  <si>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</si>
  <si>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</si>
  <si>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</si>
  <si>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</si>
  <si>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</si>
  <si>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</si>
  <si>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</si>
  <si>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</si>
  <si>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</si>
  <si>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</si>
  <si>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</si>
  <si>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</si>
  <si>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</si>
  <si>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</si>
  <si>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</si>
  <si>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</si>
  <si>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</si>
  <si>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</si>
  <si>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</si>
  <si>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</si>
  <si>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</si>
  <si>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</si>
  <si>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</si>
  <si>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</si>
  <si>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</si>
  <si>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</si>
  <si>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</si>
  <si>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</si>
  <si>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</si>
  <si>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</si>
  <si>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</si>
  <si>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</si>
  <si>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</si>
  <si>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</si>
  <si>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</si>
  <si>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</si>
  <si>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</si>
  <si>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</si>
  <si>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</si>
  <si>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</si>
  <si>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</si>
  <si>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</si>
  <si>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</si>
  <si>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</si>
  <si>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</si>
  <si>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</si>
  <si>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</si>
  <si>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</si>
  <si>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</si>
  <si>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</si>
  <si>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</si>
  <si>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</si>
  <si>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</si>
  <si>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</si>
  <si>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</si>
  <si>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</si>
  <si>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</si>
  <si>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</si>
  <si>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</si>
  <si>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</si>
  <si>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</si>
  <si>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</si>
  <si>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</si>
  <si>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</si>
  <si>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</si>
  <si>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</si>
  <si>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</si>
  <si>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</si>
  <si>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</si>
  <si>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</si>
  <si>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</si>
  <si>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</si>
  <si>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</si>
  <si>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</si>
  <si>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</si>
  <si>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</si>
  <si>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</si>
  <si>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</si>
  <si>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</si>
  <si>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</si>
  <si>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</si>
  <si>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</si>
  <si>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</si>
  <si>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</si>
  <si>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</si>
  <si>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</si>
  <si>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</si>
  <si>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</si>
  <si>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</si>
  <si>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</si>
  <si>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</si>
  <si>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</si>
  <si>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</si>
  <si>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</si>
  <si>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</si>
  <si>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</si>
  <si>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</si>
  <si>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</si>
  <si>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</si>
  <si>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</si>
  <si>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</si>
  <si>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</si>
  <si>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</si>
  <si>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</si>
  <si>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</si>
  <si>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</si>
  <si>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</si>
  <si>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</si>
  <si>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</si>
  <si>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</si>
  <si>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</si>
  <si>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</si>
  <si>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</si>
  <si>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</si>
  <si>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</si>
  <si>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</si>
  <si>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</si>
  <si>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</si>
  <si>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</si>
  <si>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</si>
  <si>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</si>
  <si>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</si>
  <si>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</si>
  <si>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</si>
  <si>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</si>
  <si>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</si>
  <si>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</si>
  <si>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</si>
  <si>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</si>
  <si>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</si>
  <si>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</si>
  <si>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</si>
  <si>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</si>
  <si>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</si>
  <si>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</si>
  <si>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与房产证证载一致</t>
  </si>
  <si>
    <t>否</t>
  </si>
  <si>
    <t>核定资产</t>
  </si>
  <si>
    <t>房地产市场价值</t>
  </si>
  <si>
    <t>元</t>
  </si>
  <si>
    <t>楼面单价</t>
  </si>
  <si>
    <t>无租约</t>
  </si>
  <si>
    <t>小区</t>
  </si>
  <si>
    <t>平米租金(元/㎡·月)</t>
  </si>
  <si>
    <t>宝盛北里&lt;东小口&lt;海淀区</t>
  </si>
  <si>
    <t>比较法-住宅</t>
  </si>
  <si>
    <t>收益法</t>
  </si>
  <si>
    <t>A</t>
    <phoneticPr fontId="146" type="noConversion"/>
  </si>
  <si>
    <t>B</t>
    <phoneticPr fontId="146" type="noConversion"/>
  </si>
  <si>
    <t>C</t>
    <phoneticPr fontId="146" type="noConversion"/>
  </si>
  <si>
    <t>宝盛北里西区29号楼</t>
    <phoneticPr fontId="4" type="noConversion"/>
  </si>
  <si>
    <t>宝盛北里西区18号楼</t>
    <phoneticPr fontId="4" type="noConversion"/>
  </si>
  <si>
    <t>宝盛北里西区3号楼</t>
    <phoneticPr fontId="4" type="noConversion"/>
  </si>
  <si>
    <t>住宅</t>
    <phoneticPr fontId="20" type="noConversion"/>
  </si>
  <si>
    <t>60-70（含）</t>
  </si>
  <si>
    <t>5/6</t>
    <phoneticPr fontId="20" type="noConversion"/>
  </si>
  <si>
    <t>楼层</t>
    <phoneticPr fontId="20" type="noConversion"/>
  </si>
  <si>
    <t>南北</t>
  </si>
  <si>
    <t>南北</t>
    <phoneticPr fontId="20" type="noConversion"/>
  </si>
  <si>
    <t>南</t>
  </si>
  <si>
    <t>南</t>
    <phoneticPr fontId="20" type="noConversion"/>
  </si>
  <si>
    <t>3/6</t>
    <phoneticPr fontId="20" type="noConversion"/>
  </si>
  <si>
    <t>7/9</t>
    <phoneticPr fontId="20" type="noConversion"/>
  </si>
  <si>
    <t>城市次干道——永泰庄北路</t>
    <phoneticPr fontId="20" type="noConversion"/>
  </si>
  <si>
    <t>电梯</t>
    <phoneticPr fontId="20" type="noConversion"/>
  </si>
  <si>
    <t>无</t>
    <phoneticPr fontId="20" type="noConversion"/>
  </si>
  <si>
    <t>有</t>
    <phoneticPr fontId="20" type="noConversion"/>
  </si>
  <si>
    <t>普通装修</t>
  </si>
  <si>
    <t>普通装修</t>
    <phoneticPr fontId="20" type="noConversion"/>
  </si>
  <si>
    <t>平层</t>
  </si>
  <si>
    <t>平层</t>
    <phoneticPr fontId="20" type="noConversion"/>
  </si>
  <si>
    <t>七通</t>
  </si>
  <si>
    <t>七通</t>
    <phoneticPr fontId="20" type="noConversion"/>
  </si>
  <si>
    <t>物业公司管理</t>
  </si>
  <si>
    <t>物业公司管理</t>
    <phoneticPr fontId="20" type="noConversion"/>
  </si>
  <si>
    <t>钢混</t>
  </si>
  <si>
    <t>钢混</t>
    <phoneticPr fontId="20" type="noConversion"/>
  </si>
  <si>
    <t>砖混</t>
  </si>
  <si>
    <t>砖混</t>
    <phoneticPr fontId="20" type="noConversion"/>
  </si>
  <si>
    <t>多层板楼</t>
  </si>
  <si>
    <t>多层板楼</t>
    <phoneticPr fontId="20" type="noConversion"/>
  </si>
  <si>
    <t>连板</t>
  </si>
  <si>
    <t>连板</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</si>
  <si>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</si>
  <si>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经适房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</si>
</sst>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theme="9" tint="-0.249977111117893"/>
      <name val="Arial"/>
      <family val="3"/>
      <charset val="134"/>
    </font>
    <font>
      <b/>
      <sz val="11"/>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5" fillId="0" borderId="0"/>
  </cellStyleXfs>
  <cellXfs count="374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55" fillId="0" borderId="0" xfId="14" applyNumberFormat="1"/>
    <xf numFmtId="14" fontId="255" fillId="0" borderId="0" xfId="14" applyNumberFormat="1"/>
    <xf numFmtId="0" fontId="255" fillId="0" borderId="0" xfId="14" applyNumberFormat="1"/>
    <xf numFmtId="0" fontId="256" fillId="0" borderId="3"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221" fillId="0" borderId="16"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49" fontId="257" fillId="0" borderId="29" xfId="0" applyNumberFormat="1" applyFont="1" applyFill="1" applyBorder="1" applyAlignment="1" applyProtection="1">
      <alignment horizontal="left" vertical="center"/>
      <protection locked="0"/>
    </xf>
  </cellXfs>
  <cellStyles count="15">
    <cellStyle name="常规" xfId="0" builtinId="0"/>
    <cellStyle name="常规 10" xfId="14" xr:uid="{96C1C858-C1AA-4C90-8078-6190872BE2D3}"/>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19</xdr:col>
      <xdr:colOff>65038</xdr:colOff>
      <xdr:row>35</xdr:row>
      <xdr:rowOff>170764</xdr:rowOff>
    </xdr:to>
    <xdr:pic>
      <xdr:nvPicPr>
        <xdr:cNvPr id="2" name="图片 1">
          <a:extLst>
            <a:ext uri="{FF2B5EF4-FFF2-40B4-BE49-F238E27FC236}">
              <a16:creationId xmlns:a16="http://schemas.microsoft.com/office/drawing/2014/main" id="{98ABB61B-814A-4E51-BC6E-2DB30AB6474A}"/>
            </a:ext>
          </a:extLst>
        </xdr:cNvPr>
        <xdr:cNvPicPr>
          <a:picLocks noChangeAspect="1"/>
        </xdr:cNvPicPr>
      </xdr:nvPicPr>
      <xdr:blipFill>
        <a:blip xmlns:r="http://schemas.openxmlformats.org/officeDocument/2006/relationships" r:embed="rId1"/>
        <a:stretch>
          <a:fillRect/>
        </a:stretch>
      </xdr:blipFill>
      <xdr:spPr>
        <a:xfrm>
          <a:off x="0" y="714375"/>
          <a:ext cx="13095238" cy="5485714"/>
        </a:xfrm>
        <a:prstGeom prst="rect">
          <a:avLst/>
        </a:prstGeom>
      </xdr:spPr>
    </xdr:pic>
    <xdr:clientData/>
  </xdr:twoCellAnchor>
  <xdr:twoCellAnchor editAs="oneCell">
    <xdr:from>
      <xdr:col>19</xdr:col>
      <xdr:colOff>19050</xdr:colOff>
      <xdr:row>3</xdr:row>
      <xdr:rowOff>152400</xdr:rowOff>
    </xdr:from>
    <xdr:to>
      <xdr:col>21</xdr:col>
      <xdr:colOff>495069</xdr:colOff>
      <xdr:row>36</xdr:row>
      <xdr:rowOff>27883</xdr:rowOff>
    </xdr:to>
    <xdr:pic>
      <xdr:nvPicPr>
        <xdr:cNvPr id="3" name="图片 2">
          <a:extLst>
            <a:ext uri="{FF2B5EF4-FFF2-40B4-BE49-F238E27FC236}">
              <a16:creationId xmlns:a16="http://schemas.microsoft.com/office/drawing/2014/main" id="{F20FE9E7-6750-4F40-97D6-F929A367B810}"/>
            </a:ext>
          </a:extLst>
        </xdr:cNvPr>
        <xdr:cNvPicPr>
          <a:picLocks noChangeAspect="1"/>
        </xdr:cNvPicPr>
      </xdr:nvPicPr>
      <xdr:blipFill>
        <a:blip xmlns:r="http://schemas.openxmlformats.org/officeDocument/2006/relationships" r:embed="rId2"/>
        <a:stretch>
          <a:fillRect/>
        </a:stretch>
      </xdr:blipFill>
      <xdr:spPr>
        <a:xfrm>
          <a:off x="13049250" y="695325"/>
          <a:ext cx="1847619" cy="5533333"/>
        </a:xfrm>
        <a:prstGeom prst="rect">
          <a:avLst/>
        </a:prstGeom>
      </xdr:spPr>
    </xdr:pic>
    <xdr:clientData/>
  </xdr:twoCellAnchor>
  <xdr:twoCellAnchor editAs="oneCell">
    <xdr:from>
      <xdr:col>23</xdr:col>
      <xdr:colOff>0</xdr:colOff>
      <xdr:row>4</xdr:row>
      <xdr:rowOff>0</xdr:rowOff>
    </xdr:from>
    <xdr:to>
      <xdr:col>32</xdr:col>
      <xdr:colOff>561133</xdr:colOff>
      <xdr:row>19</xdr:row>
      <xdr:rowOff>152059</xdr:rowOff>
    </xdr:to>
    <xdr:pic>
      <xdr:nvPicPr>
        <xdr:cNvPr id="4" name="图片 3">
          <a:extLst>
            <a:ext uri="{FF2B5EF4-FFF2-40B4-BE49-F238E27FC236}">
              <a16:creationId xmlns:a16="http://schemas.microsoft.com/office/drawing/2014/main" id="{4220464F-3A4B-494A-80CE-757C1733C92C}"/>
            </a:ext>
          </a:extLst>
        </xdr:cNvPr>
        <xdr:cNvPicPr>
          <a:picLocks noChangeAspect="1"/>
        </xdr:cNvPicPr>
      </xdr:nvPicPr>
      <xdr:blipFill>
        <a:blip xmlns:r="http://schemas.openxmlformats.org/officeDocument/2006/relationships" r:embed="rId3"/>
        <a:stretch>
          <a:fillRect/>
        </a:stretch>
      </xdr:blipFill>
      <xdr:spPr>
        <a:xfrm>
          <a:off x="15773400" y="714375"/>
          <a:ext cx="6733333" cy="2723809"/>
        </a:xfrm>
        <a:prstGeom prst="rect">
          <a:avLst/>
        </a:prstGeom>
      </xdr:spPr>
    </xdr:pic>
    <xdr:clientData/>
  </xdr:twoCellAnchor>
  <xdr:twoCellAnchor editAs="oneCell">
    <xdr:from>
      <xdr:col>23</xdr:col>
      <xdr:colOff>0</xdr:colOff>
      <xdr:row>20</xdr:row>
      <xdr:rowOff>0</xdr:rowOff>
    </xdr:from>
    <xdr:to>
      <xdr:col>32</xdr:col>
      <xdr:colOff>494467</xdr:colOff>
      <xdr:row>36</xdr:row>
      <xdr:rowOff>18705</xdr:rowOff>
    </xdr:to>
    <xdr:pic>
      <xdr:nvPicPr>
        <xdr:cNvPr id="5" name="图片 4">
          <a:extLst>
            <a:ext uri="{FF2B5EF4-FFF2-40B4-BE49-F238E27FC236}">
              <a16:creationId xmlns:a16="http://schemas.microsoft.com/office/drawing/2014/main" id="{52870DEC-A068-4746-8B8D-FFF6A8EF9F8D}"/>
            </a:ext>
          </a:extLst>
        </xdr:cNvPr>
        <xdr:cNvPicPr>
          <a:picLocks noChangeAspect="1"/>
        </xdr:cNvPicPr>
      </xdr:nvPicPr>
      <xdr:blipFill>
        <a:blip xmlns:r="http://schemas.openxmlformats.org/officeDocument/2006/relationships" r:embed="rId4"/>
        <a:stretch>
          <a:fillRect/>
        </a:stretch>
      </xdr:blipFill>
      <xdr:spPr>
        <a:xfrm>
          <a:off x="15773400" y="3457575"/>
          <a:ext cx="6666667" cy="2761905"/>
        </a:xfrm>
        <a:prstGeom prst="rect">
          <a:avLst/>
        </a:prstGeom>
      </xdr:spPr>
    </xdr:pic>
    <xdr:clientData/>
  </xdr:twoCellAnchor>
  <xdr:twoCellAnchor editAs="oneCell">
    <xdr:from>
      <xdr:col>23</xdr:col>
      <xdr:colOff>0</xdr:colOff>
      <xdr:row>36</xdr:row>
      <xdr:rowOff>0</xdr:rowOff>
    </xdr:from>
    <xdr:to>
      <xdr:col>33</xdr:col>
      <xdr:colOff>361048</xdr:colOff>
      <xdr:row>52</xdr:row>
      <xdr:rowOff>47276</xdr:rowOff>
    </xdr:to>
    <xdr:pic>
      <xdr:nvPicPr>
        <xdr:cNvPr id="6" name="图片 5">
          <a:extLst>
            <a:ext uri="{FF2B5EF4-FFF2-40B4-BE49-F238E27FC236}">
              <a16:creationId xmlns:a16="http://schemas.microsoft.com/office/drawing/2014/main" id="{2023EAF6-BD2E-4EBD-AAB5-B11483D79D1A}"/>
            </a:ext>
          </a:extLst>
        </xdr:cNvPr>
        <xdr:cNvPicPr>
          <a:picLocks noChangeAspect="1"/>
        </xdr:cNvPicPr>
      </xdr:nvPicPr>
      <xdr:blipFill>
        <a:blip xmlns:r="http://schemas.openxmlformats.org/officeDocument/2006/relationships" r:embed="rId5"/>
        <a:stretch>
          <a:fillRect/>
        </a:stretch>
      </xdr:blipFill>
      <xdr:spPr>
        <a:xfrm>
          <a:off x="15773400" y="6200775"/>
          <a:ext cx="7219048" cy="2790476"/>
        </a:xfrm>
        <a:prstGeom prst="rect">
          <a:avLst/>
        </a:prstGeom>
      </xdr:spPr>
    </xdr:pic>
    <xdr:clientData/>
  </xdr:twoCellAnchor>
  <xdr:twoCellAnchor editAs="oneCell">
    <xdr:from>
      <xdr:col>32</xdr:col>
      <xdr:colOff>190500</xdr:colOff>
      <xdr:row>36</xdr:row>
      <xdr:rowOff>28575</xdr:rowOff>
    </xdr:from>
    <xdr:to>
      <xdr:col>41</xdr:col>
      <xdr:colOff>37348</xdr:colOff>
      <xdr:row>49</xdr:row>
      <xdr:rowOff>171154</xdr:rowOff>
    </xdr:to>
    <xdr:pic>
      <xdr:nvPicPr>
        <xdr:cNvPr id="7" name="图片 6">
          <a:extLst>
            <a:ext uri="{FF2B5EF4-FFF2-40B4-BE49-F238E27FC236}">
              <a16:creationId xmlns:a16="http://schemas.microsoft.com/office/drawing/2014/main" id="{C3155E6D-5211-40BE-92AA-2C4C155B7BA1}"/>
            </a:ext>
          </a:extLst>
        </xdr:cNvPr>
        <xdr:cNvPicPr>
          <a:picLocks noChangeAspect="1"/>
        </xdr:cNvPicPr>
      </xdr:nvPicPr>
      <xdr:blipFill>
        <a:blip xmlns:r="http://schemas.openxmlformats.org/officeDocument/2006/relationships" r:embed="rId6"/>
        <a:stretch>
          <a:fillRect/>
        </a:stretch>
      </xdr:blipFill>
      <xdr:spPr>
        <a:xfrm>
          <a:off x="22136100" y="6229350"/>
          <a:ext cx="6019048" cy="2371429"/>
        </a:xfrm>
        <a:prstGeom prst="rect">
          <a:avLst/>
        </a:prstGeom>
      </xdr:spPr>
    </xdr:pic>
    <xdr:clientData/>
  </xdr:twoCellAnchor>
  <xdr:twoCellAnchor editAs="oneCell">
    <xdr:from>
      <xdr:col>0</xdr:col>
      <xdr:colOff>0</xdr:colOff>
      <xdr:row>35</xdr:row>
      <xdr:rowOff>57150</xdr:rowOff>
    </xdr:from>
    <xdr:to>
      <xdr:col>19</xdr:col>
      <xdr:colOff>36467</xdr:colOff>
      <xdr:row>60</xdr:row>
      <xdr:rowOff>37567</xdr:rowOff>
    </xdr:to>
    <xdr:pic>
      <xdr:nvPicPr>
        <xdr:cNvPr id="8" name="图片 7">
          <a:extLst>
            <a:ext uri="{FF2B5EF4-FFF2-40B4-BE49-F238E27FC236}">
              <a16:creationId xmlns:a16="http://schemas.microsoft.com/office/drawing/2014/main" id="{144AF231-1C72-4510-A69A-EBC727851207}"/>
            </a:ext>
          </a:extLst>
        </xdr:cNvPr>
        <xdr:cNvPicPr>
          <a:picLocks noChangeAspect="1"/>
        </xdr:cNvPicPr>
      </xdr:nvPicPr>
      <xdr:blipFill>
        <a:blip xmlns:r="http://schemas.openxmlformats.org/officeDocument/2006/relationships" r:embed="rId7"/>
        <a:stretch>
          <a:fillRect/>
        </a:stretch>
      </xdr:blipFill>
      <xdr:spPr>
        <a:xfrm>
          <a:off x="0" y="6086475"/>
          <a:ext cx="13066667" cy="4266667"/>
        </a:xfrm>
        <a:prstGeom prst="rect">
          <a:avLst/>
        </a:prstGeom>
      </xdr:spPr>
    </xdr:pic>
    <xdr:clientData/>
  </xdr:twoCellAnchor>
  <xdr:twoCellAnchor editAs="oneCell">
    <xdr:from>
      <xdr:col>0</xdr:col>
      <xdr:colOff>0</xdr:colOff>
      <xdr:row>60</xdr:row>
      <xdr:rowOff>0</xdr:rowOff>
    </xdr:from>
    <xdr:to>
      <xdr:col>19</xdr:col>
      <xdr:colOff>74562</xdr:colOff>
      <xdr:row>79</xdr:row>
      <xdr:rowOff>94831</xdr:rowOff>
    </xdr:to>
    <xdr:pic>
      <xdr:nvPicPr>
        <xdr:cNvPr id="9" name="图片 8">
          <a:extLst>
            <a:ext uri="{FF2B5EF4-FFF2-40B4-BE49-F238E27FC236}">
              <a16:creationId xmlns:a16="http://schemas.microsoft.com/office/drawing/2014/main" id="{FB755ED8-5640-4655-9EA2-DDACE73D026E}"/>
            </a:ext>
          </a:extLst>
        </xdr:cNvPr>
        <xdr:cNvPicPr>
          <a:picLocks noChangeAspect="1"/>
        </xdr:cNvPicPr>
      </xdr:nvPicPr>
      <xdr:blipFill>
        <a:blip xmlns:r="http://schemas.openxmlformats.org/officeDocument/2006/relationships" r:embed="rId8"/>
        <a:stretch>
          <a:fillRect/>
        </a:stretch>
      </xdr:blipFill>
      <xdr:spPr>
        <a:xfrm>
          <a:off x="0" y="10315575"/>
          <a:ext cx="13104762" cy="3352381"/>
        </a:xfrm>
        <a:prstGeom prst="rect">
          <a:avLst/>
        </a:prstGeom>
      </xdr:spPr>
    </xdr:pic>
    <xdr:clientData/>
  </xdr:twoCellAnchor>
  <xdr:twoCellAnchor editAs="oneCell">
    <xdr:from>
      <xdr:col>19</xdr:col>
      <xdr:colOff>0</xdr:colOff>
      <xdr:row>35</xdr:row>
      <xdr:rowOff>28575</xdr:rowOff>
    </xdr:from>
    <xdr:to>
      <xdr:col>21</xdr:col>
      <xdr:colOff>523638</xdr:colOff>
      <xdr:row>60</xdr:row>
      <xdr:rowOff>66134</xdr:rowOff>
    </xdr:to>
    <xdr:pic>
      <xdr:nvPicPr>
        <xdr:cNvPr id="10" name="图片 9">
          <a:extLst>
            <a:ext uri="{FF2B5EF4-FFF2-40B4-BE49-F238E27FC236}">
              <a16:creationId xmlns:a16="http://schemas.microsoft.com/office/drawing/2014/main" id="{8E8C805C-C496-4D6F-A9A1-A50CE5A350E3}"/>
            </a:ext>
          </a:extLst>
        </xdr:cNvPr>
        <xdr:cNvPicPr>
          <a:picLocks noChangeAspect="1"/>
        </xdr:cNvPicPr>
      </xdr:nvPicPr>
      <xdr:blipFill>
        <a:blip xmlns:r="http://schemas.openxmlformats.org/officeDocument/2006/relationships" r:embed="rId9"/>
        <a:stretch>
          <a:fillRect/>
        </a:stretch>
      </xdr:blipFill>
      <xdr:spPr>
        <a:xfrm>
          <a:off x="13030200" y="6057900"/>
          <a:ext cx="1895238" cy="4323809"/>
        </a:xfrm>
        <a:prstGeom prst="rect">
          <a:avLst/>
        </a:prstGeom>
      </xdr:spPr>
    </xdr:pic>
    <xdr:clientData/>
  </xdr:twoCellAnchor>
  <xdr:twoCellAnchor editAs="oneCell">
    <xdr:from>
      <xdr:col>19</xdr:col>
      <xdr:colOff>28575</xdr:colOff>
      <xdr:row>60</xdr:row>
      <xdr:rowOff>0</xdr:rowOff>
    </xdr:from>
    <xdr:to>
      <xdr:col>21</xdr:col>
      <xdr:colOff>599832</xdr:colOff>
      <xdr:row>80</xdr:row>
      <xdr:rowOff>9095</xdr:rowOff>
    </xdr:to>
    <xdr:pic>
      <xdr:nvPicPr>
        <xdr:cNvPr id="11" name="图片 10">
          <a:extLst>
            <a:ext uri="{FF2B5EF4-FFF2-40B4-BE49-F238E27FC236}">
              <a16:creationId xmlns:a16="http://schemas.microsoft.com/office/drawing/2014/main" id="{7FE6AB35-C23A-4AD5-BD46-CD2A9D3EB53B}"/>
            </a:ext>
          </a:extLst>
        </xdr:cNvPr>
        <xdr:cNvPicPr>
          <a:picLocks noChangeAspect="1"/>
        </xdr:cNvPicPr>
      </xdr:nvPicPr>
      <xdr:blipFill>
        <a:blip xmlns:r="http://schemas.openxmlformats.org/officeDocument/2006/relationships" r:embed="rId10"/>
        <a:stretch>
          <a:fillRect/>
        </a:stretch>
      </xdr:blipFill>
      <xdr:spPr>
        <a:xfrm>
          <a:off x="13058775" y="10315575"/>
          <a:ext cx="1942857" cy="3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估价对象为北京市房地产，为XX所有。根据《》[]，估价对象建筑面积为62.57平方米。根据《》[]，估价对象（分摊）出让国有建设用地使用权面积为平方米。估价对象用途为。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2022年8月9日（评估专业人员实地查勘之日）</v>
      </c>
    </row>
    <row r="10" spans="1:2">
      <c r="A10" s="1139" t="s">
        <v>865</v>
      </c>
      <c r="B10" s="1126" t="str">
        <f>'预评函-1'!A13</f>
        <v>本次估价的“房地产价值”是指在正常市场情况下，在价值时点2022年8月9日，估价对象规划用途为，假定未设立法定优先受偿款下的房地产市场价值。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62.57</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J14" sqref="J14"/>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北京市房地产市场价值预评估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f>D2</f>
        <v>44782</v>
      </c>
      <c r="C2" s="2809" t="s">
        <v>1291</v>
      </c>
      <c r="D2" s="2510">
        <v>44782</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t="s">
        <v>3035</v>
      </c>
      <c r="E4" s="782"/>
      <c r="F4" s="782"/>
      <c r="G4" s="1121"/>
    </row>
    <row r="5" spans="1:17">
      <c r="A5" s="1358" t="s">
        <v>1295</v>
      </c>
      <c r="B5" s="1359" t="s">
        <v>2479</v>
      </c>
      <c r="C5" s="2811" t="s">
        <v>1296</v>
      </c>
      <c r="D5" s="1361" t="s">
        <v>3036</v>
      </c>
      <c r="E5" s="2812" t="s">
        <v>1297</v>
      </c>
      <c r="F5" s="1361"/>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3031</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姓名</v>
      </c>
      <c r="D7" s="1366" t="s">
        <v>2479</v>
      </c>
      <c r="E7" s="783"/>
      <c r="F7" s="783"/>
      <c r="G7" s="1122"/>
    </row>
    <row r="8" spans="1:17" ht="13.5" thickTop="1">
      <c r="A8" s="3376" t="s">
        <v>1301</v>
      </c>
      <c r="B8" s="1367" t="s">
        <v>1302</v>
      </c>
      <c r="C8" s="3389"/>
      <c r="D8" s="3390"/>
      <c r="E8" s="2519" t="s">
        <v>1303</v>
      </c>
      <c r="F8" s="2520" t="s">
        <v>1304</v>
      </c>
      <c r="G8" s="2521" t="str">
        <f>C6</f>
        <v>XX</v>
      </c>
    </row>
    <row r="9" spans="1:17" ht="25.5">
      <c r="A9" s="3376"/>
      <c r="B9" s="259" t="s">
        <v>1305</v>
      </c>
      <c r="C9" s="1359"/>
      <c r="D9" s="1368" t="s">
        <v>3033</v>
      </c>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2586</v>
      </c>
      <c r="B12" s="2817" t="s">
        <v>1310</v>
      </c>
      <c r="C12" s="766">
        <v>62.57</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3034</v>
      </c>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2585</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44782</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3037</v>
      </c>
      <c r="C3" s="1613"/>
      <c r="D3" s="3412"/>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3038</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62.57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2642</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70349</v>
      </c>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70</v>
      </c>
      <c r="C13" s="2885"/>
      <c r="D13" s="2851" t="s">
        <v>1397</v>
      </c>
      <c r="E13" s="2571">
        <v>160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1</v>
      </c>
      <c r="C14" s="1613"/>
      <c r="D14" s="2853" t="s">
        <v>1400</v>
      </c>
      <c r="E14" s="2572"/>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2596</v>
      </c>
      <c r="D15" s="2848" t="s">
        <v>1402</v>
      </c>
      <c r="E15" s="2854">
        <f>E14-E16</f>
        <v>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0.05</v>
      </c>
      <c r="C16" s="2481" t="s">
        <v>2597</v>
      </c>
      <c r="D16" s="2855"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7.0000000000000007E-2</v>
      </c>
      <c r="C17" s="2481" t="s">
        <v>2598</v>
      </c>
      <c r="D17" s="2844" t="s">
        <v>1406</v>
      </c>
      <c r="E17" s="2575">
        <v>2000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125140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1.5</v>
      </c>
      <c r="C22" s="1613"/>
      <c r="D22" s="2848" t="s">
        <v>1412</v>
      </c>
      <c r="E22" s="2583">
        <v>0.05</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f>B22</f>
        <v>1.5</v>
      </c>
      <c r="C23" s="1613"/>
      <c r="D23" s="2848" t="s">
        <v>1414</v>
      </c>
      <c r="E23" s="2570"/>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1.5</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1.5</v>
      </c>
      <c r="C25" s="1613"/>
      <c r="D25" s="2847" t="s">
        <v>1418</v>
      </c>
      <c r="E25" s="2580">
        <v>0.01</v>
      </c>
      <c r="F25" s="2591" t="s">
        <v>2603</v>
      </c>
      <c r="I25" s="2886"/>
    </row>
    <row r="26" spans="1:41" ht="15" thickBot="1">
      <c r="A26" s="2864" t="s">
        <v>1417</v>
      </c>
      <c r="B26" s="2868">
        <f>B22-B23</f>
        <v>0</v>
      </c>
      <c r="D26" s="2848" t="s">
        <v>1420</v>
      </c>
      <c r="E26" s="2583">
        <v>0.01</v>
      </c>
      <c r="F26" s="2591" t="s">
        <v>2603</v>
      </c>
      <c r="G26" s="2887"/>
      <c r="H26" s="2887"/>
      <c r="I26" s="1613"/>
      <c r="J26" s="1613"/>
      <c r="K26" s="1613"/>
      <c r="L26" s="1613"/>
      <c r="M26" s="1613"/>
      <c r="N26" s="1613"/>
    </row>
    <row r="27" spans="1:41" ht="15.75" thickBot="1">
      <c r="A27" s="2869" t="s">
        <v>1419</v>
      </c>
      <c r="B27" s="2585">
        <v>2004</v>
      </c>
      <c r="C27" s="1613"/>
      <c r="D27" s="3074" t="s">
        <v>2646</v>
      </c>
      <c r="E27" s="2870">
        <f ca="1">IF(D27="利息：取LPR",存贷款利率!G1,存贷款利率!G1+F27)</f>
        <v>3.7000000000000005E-2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3039</v>
      </c>
      <c r="D29" s="2853" t="s">
        <v>1423</v>
      </c>
      <c r="E29" s="2872">
        <f>E30+E31</f>
        <v>5.5000000000000007E-2</v>
      </c>
      <c r="F29" s="1238"/>
      <c r="G29" s="2887"/>
      <c r="H29" s="2887"/>
      <c r="K29" s="1613"/>
      <c r="N29" s="1613"/>
    </row>
    <row r="30" spans="1:41" ht="14.25">
      <c r="A30" s="2848" t="str">
        <f>IF(B29="租赁期内按合同租金","合同租金","市场租金")</f>
        <v>市场租金</v>
      </c>
      <c r="B30" s="2588">
        <v>90</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3.5000000000000003E-2</v>
      </c>
      <c r="D32" s="2855" t="s">
        <v>1429</v>
      </c>
      <c r="E32" s="2590">
        <v>0.05</v>
      </c>
      <c r="F32" s="2591" t="s">
        <v>2490</v>
      </c>
      <c r="G32" s="2887"/>
      <c r="H32" s="2887"/>
      <c r="K32" s="1613"/>
      <c r="L32" s="1613"/>
      <c r="M32" s="1613"/>
      <c r="N32" s="1613"/>
    </row>
    <row r="33" spans="1:14" ht="14.25">
      <c r="A33" s="2848" t="s">
        <v>1428</v>
      </c>
      <c r="B33" s="2573">
        <v>0.08</v>
      </c>
      <c r="D33" s="2855" t="s">
        <v>1431</v>
      </c>
      <c r="E33" s="2589">
        <v>0.03</v>
      </c>
      <c r="F33" s="1237" t="s">
        <v>1432</v>
      </c>
      <c r="G33" s="2887"/>
      <c r="H33" s="2887"/>
      <c r="K33" s="1613"/>
      <c r="L33" s="1613"/>
      <c r="M33" s="1613"/>
      <c r="N33" s="1613"/>
    </row>
    <row r="34" spans="1:14" s="2593" customFormat="1" ht="14.25">
      <c r="A34" s="2848" t="s">
        <v>1430</v>
      </c>
      <c r="B34" s="2876">
        <f>收益法!J54</f>
        <v>70</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f>项目基本情况!C12</f>
        <v>62.57</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0.01</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62.57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44782</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374.61279999999999</v>
      </c>
      <c r="C5" s="2499">
        <f ca="1">ROUND(B5*10000/$B$1,0)</f>
        <v>59871</v>
      </c>
      <c r="D5" s="2499" t="e">
        <f ca="1">ROUND(B5*10000/$B$2,0)</f>
        <v>#DIV/0!</v>
      </c>
      <c r="E5" s="1562"/>
      <c r="F5" s="2500"/>
      <c r="G5" s="2500"/>
    </row>
    <row r="6" spans="1:9" ht="16.5">
      <c r="A6" s="2499" t="s">
        <v>981</v>
      </c>
      <c r="B6" s="2499">
        <f ca="1">SUM(G14:G23)</f>
        <v>374.61279999999999</v>
      </c>
      <c r="C6" s="2499">
        <f t="shared" ref="C6:C8" ca="1" si="0">ROUND(B6*10000/$B$1,0)</f>
        <v>59871</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62.57</v>
      </c>
      <c r="C14" s="2835">
        <f>项目基本情况!C13</f>
        <v>0</v>
      </c>
      <c r="D14" s="2835">
        <f ca="1">IF('数据-取费表'!B3="万元",IF(A14="估价对象1（结果表）",结果表!H121,'结果表 (1修多)'!H125),IF(A14="估价对象1（结果表）",结果表!H121,'结果表 (1修多)'!H125)/10000)</f>
        <v>374.61279999999999</v>
      </c>
      <c r="E14" s="2835">
        <f ca="1">ROUND(D14*10000/B14,0)</f>
        <v>59871</v>
      </c>
      <c r="F14" s="2835" t="e">
        <f ca="1">ROUND(D14*10000/C14,0)</f>
        <v>#DIV/0!</v>
      </c>
      <c r="G14" s="2835">
        <f ca="1">IF('数据-取费表'!B3="万元",IF(A14="估价对象1（结果表）",结果表!D125,'结果表 (1修多)'!D129),IF(A14="估价对象1（结果表）",结果表!D125,'结果表 (1修多)'!D129)/10000)</f>
        <v>374.61279999999999</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C28" sqref="C2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北京市房地产市场价值预评估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3043</v>
      </c>
      <c r="D4" s="2632" t="s">
        <v>3044</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7" t="s">
        <v>1475</v>
      </c>
      <c r="B5" s="3487">
        <v>25</v>
      </c>
      <c r="C5" s="3493">
        <v>8</v>
      </c>
      <c r="D5" s="3490">
        <f>10-C5</f>
        <v>2</v>
      </c>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8</v>
      </c>
      <c r="D17" s="2634">
        <f>SUM(D5:D16)</f>
        <v>2</v>
      </c>
      <c r="E17" s="2481"/>
      <c r="F17" s="2481"/>
      <c r="G17" s="2481"/>
      <c r="H17" s="2481"/>
      <c r="I17" s="2481"/>
      <c r="J17" s="2765"/>
    </row>
    <row r="18" spans="1:36" ht="30" customHeight="1" thickBot="1">
      <c r="A18" s="2635" t="s">
        <v>1493</v>
      </c>
      <c r="B18" s="2636"/>
      <c r="C18" s="2637">
        <f>ROUND(C17/SUM(C17:D17),2)</f>
        <v>0.8</v>
      </c>
      <c r="D18" s="2637">
        <f>1-C18</f>
        <v>0.19999999999999996</v>
      </c>
      <c r="E18" s="3507" t="s">
        <v>2575</v>
      </c>
      <c r="F18" s="3508"/>
      <c r="G18" s="3508"/>
      <c r="H18" s="3508"/>
      <c r="I18" s="3508"/>
      <c r="J18" s="2765"/>
    </row>
    <row r="19" spans="1:36" ht="15">
      <c r="A19" s="2638" t="s">
        <v>1494</v>
      </c>
      <c r="B19" s="2639" t="s">
        <v>1495</v>
      </c>
      <c r="C19" s="2640">
        <f ca="1">SUMIF(INDIRECT("'"&amp;C4&amp;"'"&amp;"!A:A"),结果表!B19,INDIRECT("'"&amp;C4&amp;"'"&amp;"!B:B"))</f>
        <v>4596348</v>
      </c>
      <c r="D19" s="2641">
        <f ca="1">SUMIF(INDIRECT("'"&amp;D4&amp;"'"&amp;"!A:A"),结果表!B19,INDIRECT("'"&amp;D4&amp;"'"&amp;"!B:B"))</f>
        <v>2426407</v>
      </c>
      <c r="E19" s="2638" t="s">
        <v>1496</v>
      </c>
      <c r="F19" s="2639" t="s">
        <v>1495</v>
      </c>
      <c r="G19" s="2642">
        <f ca="1">ROUND(C19*$C$18+D19*$D$18,0)</f>
        <v>4162360</v>
      </c>
      <c r="H19" s="2643" t="str">
        <f>'数据-取费表'!B3</f>
        <v>元</v>
      </c>
      <c r="I19" s="2691"/>
      <c r="J19" s="2766"/>
    </row>
    <row r="20" spans="1:36" ht="15">
      <c r="A20" s="2644"/>
      <c r="B20" s="1622" t="s">
        <v>1497</v>
      </c>
      <c r="C20" s="1847">
        <f ca="1">SUMIF(INDIRECT("'"&amp;C4&amp;"'"&amp;"!A:A"),结果表!B20,INDIRECT("'"&amp;C4&amp;"'"&amp;"!B:B"))</f>
        <v>73459</v>
      </c>
      <c r="D20" s="1850">
        <f ca="1">SUMIF(INDIRECT("'"&amp;D4&amp;"'"&amp;"!A:A"),结果表!B20,INDIRECT("'"&amp;D4&amp;"'"&amp;"!B:B"))</f>
        <v>38779</v>
      </c>
      <c r="E20" s="2644"/>
      <c r="F20" s="1622" t="s">
        <v>1497</v>
      </c>
      <c r="G20" s="2021">
        <f ca="1">ROUND(C20*$C$18+D20*$D$18,0)</f>
        <v>66523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0.89430215128789192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 ca="1">D30</f>
        <v>416216</v>
      </c>
      <c r="D24" s="2594"/>
      <c r="E24" s="905"/>
      <c r="F24" s="905"/>
      <c r="G24" s="905"/>
      <c r="H24" s="905"/>
      <c r="I24" s="905"/>
      <c r="J24" s="2765"/>
    </row>
    <row r="25" spans="1:36" ht="21.75" customHeight="1">
      <c r="A25" s="3497"/>
      <c r="B25" s="1622" t="s">
        <v>1497</v>
      </c>
      <c r="C25" s="2654">
        <f ca="1">IF(B30=0,0,C30)</f>
        <v>6652</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3082</v>
      </c>
      <c r="B27" s="2657">
        <f>项目基本情况!C12</f>
        <v>62.57</v>
      </c>
      <c r="C27" s="2657">
        <f ca="1">ROUND(G20*0.1,0)</f>
        <v>6652</v>
      </c>
      <c r="D27" s="2658">
        <f ca="1">ROUND(C27*B27,0)</f>
        <v>416216</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f>B27</f>
        <v>62.57</v>
      </c>
      <c r="C30" s="2693">
        <f ca="1">C27</f>
        <v>6652</v>
      </c>
      <c r="D30" s="2693">
        <f ca="1">D27</f>
        <v>416216</v>
      </c>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59871</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56638</v>
      </c>
      <c r="D34" s="2668">
        <f ca="1">IF(D33="自定义",ROUND(C34/C32,3),1-D35)</f>
        <v>0.94599999999999995</v>
      </c>
      <c r="E34" s="1363" t="s">
        <v>1510</v>
      </c>
      <c r="F34" s="2669">
        <v>2000</v>
      </c>
      <c r="G34" s="905"/>
      <c r="H34" s="905"/>
      <c r="I34" s="905"/>
      <c r="J34" s="2765"/>
    </row>
    <row r="35" spans="1:17" ht="15.75" thickBot="1">
      <c r="A35" s="1395"/>
      <c r="B35" s="2670" t="s">
        <v>1511</v>
      </c>
      <c r="C35" s="2671">
        <f ca="1">IF(D33="自定义",F35,ROUND(C32*D35,0))</f>
        <v>3233</v>
      </c>
      <c r="D35" s="2672">
        <f ca="1">IF(D33="自定义",ROUND(C35/C32,3),IF(D33="成本法成本比率",成本法!C56,IF(D33="收益法收益比率",收益法!J38,收益法!J41)))</f>
        <v>5.3999999999999999E-2</v>
      </c>
      <c r="E35" s="2673" t="s">
        <v>1512</v>
      </c>
      <c r="F35" s="2674">
        <v>4460</v>
      </c>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21" t="s">
        <v>1524</v>
      </c>
      <c r="B45" s="3422"/>
      <c r="C45" s="3432"/>
      <c r="D45" s="246">
        <f ca="1">ROUND(I102*F45,0)</f>
        <v>3746128</v>
      </c>
      <c r="E45" s="1470" t="s">
        <v>1525</v>
      </c>
      <c r="F45" s="2479">
        <v>1</v>
      </c>
      <c r="G45" s="2480" t="s">
        <v>1526</v>
      </c>
      <c r="H45" s="905"/>
      <c r="I45" s="905"/>
      <c r="J45" s="2765"/>
      <c r="K45" s="3427" t="s">
        <v>2504</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2505</v>
      </c>
      <c r="M46" s="3428"/>
      <c r="N46" s="3429" t="str">
        <f>项目基本情况!B1</f>
        <v>北京市房地产市场价值预评估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2506</v>
      </c>
      <c r="M47" s="3428"/>
      <c r="N47" s="3430">
        <f>'数据-取费表'!B2</f>
        <v>44782</v>
      </c>
      <c r="O47" s="3430"/>
      <c r="P47" s="3430"/>
      <c r="Q47" s="1236"/>
    </row>
    <row r="48" spans="1:17" ht="25.5">
      <c r="A48" s="3503" t="s">
        <v>1536</v>
      </c>
      <c r="B48" s="3437"/>
      <c r="C48" s="3437"/>
      <c r="D48" s="12">
        <f ca="1">IF(H48="情况1",0,IF(H48="情况2",D52,IF(H48="情况3",D53,IF(H48="情况4",D54))))</f>
        <v>196226</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28" t="s">
        <v>2507</v>
      </c>
      <c r="M48" s="3428"/>
      <c r="N48" s="3429">
        <f ca="1">I102</f>
        <v>3746128</v>
      </c>
      <c r="O48" s="3429"/>
      <c r="P48" s="3429"/>
      <c r="Q48" s="1236"/>
    </row>
    <row r="49" spans="1:17" ht="25.5" customHeight="1">
      <c r="A49" s="2019" t="s">
        <v>1540</v>
      </c>
      <c r="B49" s="3476" t="s">
        <v>1541</v>
      </c>
      <c r="C49" s="3476"/>
      <c r="D49" s="2486">
        <v>0</v>
      </c>
      <c r="E49" s="261" t="s">
        <v>1542</v>
      </c>
      <c r="F49" s="2487" t="s">
        <v>48</v>
      </c>
      <c r="G49" s="3418"/>
      <c r="H49" s="2488" t="s">
        <v>2581</v>
      </c>
      <c r="I49" s="2489"/>
      <c r="J49" s="2773"/>
      <c r="K49" s="2454">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36"/>
    </row>
    <row r="50" spans="1:17" ht="25.5" customHeight="1">
      <c r="A50" s="2009"/>
      <c r="B50" s="3476" t="s">
        <v>1543</v>
      </c>
      <c r="C50" s="3476"/>
      <c r="D50" s="2490"/>
      <c r="E50" s="269"/>
      <c r="F50" s="2487"/>
      <c r="G50" s="3419"/>
      <c r="H50" s="2491" t="s">
        <v>2500</v>
      </c>
      <c r="I50" s="2489"/>
      <c r="J50" s="2773"/>
      <c r="K50" s="3428" t="s">
        <v>2508</v>
      </c>
      <c r="L50" s="3428"/>
      <c r="M50" s="3428"/>
      <c r="N50" s="3428"/>
      <c r="O50" s="3428"/>
      <c r="P50" s="3428"/>
      <c r="Q50" s="1236"/>
    </row>
    <row r="51" spans="1:17" ht="20.45" customHeight="1">
      <c r="A51" s="2492"/>
      <c r="B51" s="3476" t="s">
        <v>1545</v>
      </c>
      <c r="C51" s="3476"/>
      <c r="D51" s="1028"/>
      <c r="E51" s="264"/>
      <c r="F51" s="2487"/>
      <c r="G51" s="3420"/>
      <c r="H51" s="2491" t="s">
        <v>2501</v>
      </c>
      <c r="I51" s="2489"/>
      <c r="J51" s="2773"/>
      <c r="K51" s="2455" t="s">
        <v>2509</v>
      </c>
      <c r="L51" s="3428" t="s">
        <v>2510</v>
      </c>
      <c r="M51" s="3428"/>
      <c r="N51" s="2455" t="s">
        <v>2511</v>
      </c>
      <c r="O51" s="2455" t="s">
        <v>2512</v>
      </c>
      <c r="P51" s="2455" t="s">
        <v>2513</v>
      </c>
      <c r="Q51" s="1236"/>
    </row>
    <row r="52" spans="1:17" ht="24" customHeight="1">
      <c r="A52" s="2010" t="s">
        <v>1551</v>
      </c>
      <c r="B52" s="3476" t="s">
        <v>1552</v>
      </c>
      <c r="C52" s="3476"/>
      <c r="D52" s="1028">
        <f ca="1">ROUND(D45*'数据-取费表'!E29/(1+'数据-取费表'!F30),0)</f>
        <v>196226</v>
      </c>
      <c r="E52" s="2020" t="s">
        <v>1553</v>
      </c>
      <c r="F52" s="2493">
        <f>'数据-取费表'!E29</f>
        <v>5.5000000000000007E-2</v>
      </c>
      <c r="G52" s="2494"/>
      <c r="H52" s="905"/>
      <c r="I52" s="2898"/>
      <c r="J52" s="2773"/>
      <c r="K52" s="2454">
        <v>1</v>
      </c>
      <c r="L52" s="3417" t="s">
        <v>2514</v>
      </c>
      <c r="M52" s="3417"/>
      <c r="N52" s="2456">
        <f ca="1">D48</f>
        <v>196226</v>
      </c>
      <c r="O52" s="2454" t="str">
        <f>E48</f>
        <v>销售额×税（费）率</v>
      </c>
      <c r="P52" s="2457">
        <f>F48</f>
        <v>5.5000000000000007E-2</v>
      </c>
      <c r="Q52" s="1236"/>
    </row>
    <row r="53" spans="1:17" ht="12" customHeight="1">
      <c r="A53" s="2010" t="s">
        <v>1555</v>
      </c>
      <c r="B53" s="3488" t="s">
        <v>2592</v>
      </c>
      <c r="C53" s="3477"/>
      <c r="D53" s="1028">
        <f ca="1">ROUND(D45*'数据-取费表'!E29/(1+'数据-取费表'!F30),0)</f>
        <v>196226</v>
      </c>
      <c r="E53" s="2020" t="s">
        <v>1553</v>
      </c>
      <c r="F53" s="2493">
        <f>'数据-取费表'!E29</f>
        <v>5.5000000000000007E-2</v>
      </c>
      <c r="G53" s="2494"/>
      <c r="H53" s="905"/>
      <c r="I53" s="2898"/>
      <c r="J53" s="2773"/>
      <c r="K53" s="2454">
        <v>2</v>
      </c>
      <c r="L53" s="3417" t="s">
        <v>2515</v>
      </c>
      <c r="M53" s="3417"/>
      <c r="N53" s="2456">
        <f t="shared" ref="N53:P54" si="1">D55</f>
        <v>0</v>
      </c>
      <c r="O53" s="2454" t="str">
        <f t="shared" si="1"/>
        <v>销售额×税（费）率</v>
      </c>
      <c r="P53" s="2457" t="str">
        <f t="shared" si="1"/>
        <v>免征</v>
      </c>
      <c r="Q53" s="1236"/>
    </row>
    <row r="54" spans="1:17" ht="12" customHeight="1">
      <c r="A54" s="2010" t="s">
        <v>1557</v>
      </c>
      <c r="B54" s="3488" t="s">
        <v>2593</v>
      </c>
      <c r="C54" s="3477"/>
      <c r="D54" s="1028">
        <f ca="1">C68</f>
        <v>196226</v>
      </c>
      <c r="E54" s="264" t="s">
        <v>1558</v>
      </c>
      <c r="F54" s="2493">
        <f>'数据-取费表'!E29</f>
        <v>5.5000000000000007E-2</v>
      </c>
      <c r="G54" s="2494"/>
      <c r="H54" s="2899"/>
      <c r="I54" s="2898"/>
      <c r="J54" s="2773"/>
      <c r="K54" s="2454">
        <v>3</v>
      </c>
      <c r="L54" s="3417" t="s">
        <v>2516</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2497</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2517</v>
      </c>
      <c r="M57" s="2462" t="s">
        <v>2518</v>
      </c>
      <c r="N57" s="2463"/>
      <c r="O57" s="2464">
        <f ca="1">SUMIF(N52:N56,"&lt;9e307")</f>
        <v>196226</v>
      </c>
      <c r="P57" s="2465"/>
      <c r="Q57" s="1234" t="e">
        <f ca="1">O57/N49</f>
        <v>#VALUE!</v>
      </c>
    </row>
    <row r="58" spans="1:17" ht="24.75">
      <c r="A58" s="2010" t="s">
        <v>1551</v>
      </c>
      <c r="B58" s="3488" t="s">
        <v>1569</v>
      </c>
      <c r="C58" s="3476"/>
      <c r="D58" s="12">
        <f ca="1">IF(H58="转让取得",C81,C97)</f>
        <v>2123698</v>
      </c>
      <c r="E58" s="2020" t="s">
        <v>1564</v>
      </c>
      <c r="F58" s="235" t="s">
        <v>48</v>
      </c>
      <c r="G58" s="2494"/>
      <c r="H58" s="2496" t="s">
        <v>1570</v>
      </c>
      <c r="I58" s="2900"/>
      <c r="J58" s="2773"/>
      <c r="K58" s="3417"/>
      <c r="L58" s="3417"/>
      <c r="M58" s="2462" t="s">
        <v>2519</v>
      </c>
      <c r="N58" s="2466"/>
      <c r="O58" s="2467" t="str">
        <f ca="1">IF(H19="元",NUMBERSTRING(INT(O57),2)&amp;"元整",NUMBERSTRING(INT(O57*10000),2)&amp;"元整")</f>
        <v>壹拾玖万陆仟贰佰贰拾陆元整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70">
        <f>K57+1</f>
        <v>5</v>
      </c>
      <c r="L59" s="3417"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71"/>
      <c r="L60" s="3417"/>
      <c r="M60" s="2462" t="s">
        <v>2519</v>
      </c>
      <c r="N60" s="2466"/>
      <c r="O60" s="2467" t="e">
        <f ca="1">IF(H19="元",NUMBERSTRING(INT(O59),2)&amp;"元整",NUMBERSTRING(INT(O59*10000),2)&amp;"元整")</f>
        <v>#VALUE!</v>
      </c>
      <c r="P60" s="2468"/>
      <c r="Q60" s="1236"/>
    </row>
    <row r="61" spans="1:17" ht="13.5" thickBot="1">
      <c r="A61" s="3506" t="s">
        <v>1574</v>
      </c>
      <c r="B61" s="3506"/>
      <c r="C61" s="3506"/>
      <c r="D61" s="3506"/>
      <c r="E61" s="3506"/>
      <c r="F61" s="2901"/>
      <c r="G61" s="2901"/>
      <c r="H61" s="2903"/>
      <c r="I61" s="31"/>
      <c r="K61" s="2454">
        <f>K59+1</f>
        <v>6</v>
      </c>
      <c r="L61" s="3417" t="s">
        <v>2521</v>
      </c>
      <c r="M61" s="3417"/>
      <c r="N61" s="2472"/>
      <c r="O61" s="2473" t="e">
        <f ca="1">IF(H19="元",ROUND(O59/项目基本情况!C12,0),ROUND(O59*10000/项目基本情况!C12,0))</f>
        <v>#VALUE!</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3567741</v>
      </c>
      <c r="D63" s="47"/>
      <c r="E63" s="48"/>
      <c r="F63" s="2901"/>
      <c r="G63" s="2901"/>
      <c r="H63" s="2903"/>
      <c r="I63" s="31"/>
      <c r="K63" s="3436"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3746128</v>
      </c>
      <c r="D64" s="50" t="s">
        <v>41</v>
      </c>
      <c r="E64" s="52"/>
      <c r="F64" s="2901"/>
      <c r="G64" s="2901"/>
      <c r="H64" s="2903"/>
      <c r="I64" s="31"/>
      <c r="K64" s="3436"/>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436"/>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436"/>
      <c r="L66" s="2476" t="s">
        <v>2527</v>
      </c>
      <c r="M66" s="2476" t="e">
        <f>N49*0.5%</f>
        <v>#VALUE!</v>
      </c>
      <c r="N66" s="2477" t="e">
        <f>IF(M66&gt;0.5,0.5,ROUND(M66,0))</f>
        <v>#VALUE!</v>
      </c>
      <c r="O66" s="2475" t="s">
        <v>2528</v>
      </c>
      <c r="P66" s="2475"/>
      <c r="Q66" s="1236"/>
    </row>
    <row r="67" spans="1:36" ht="12.75">
      <c r="A67" s="53" t="s">
        <v>42</v>
      </c>
      <c r="B67" s="54" t="s">
        <v>1591</v>
      </c>
      <c r="C67" s="2708">
        <f ca="1">C63-C66</f>
        <v>3567741</v>
      </c>
      <c r="D67" s="50" t="s">
        <v>41</v>
      </c>
      <c r="E67" s="52"/>
      <c r="F67" s="2901"/>
      <c r="G67" s="2901"/>
      <c r="H67" s="2903"/>
      <c r="I67" s="31"/>
      <c r="K67" s="3436"/>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196226</v>
      </c>
      <c r="D68" s="2170">
        <f>'数据-取费表'!E29</f>
        <v>5.5000000000000007E-2</v>
      </c>
      <c r="E68" s="57"/>
      <c r="F68" s="2901"/>
      <c r="G68" s="2901"/>
      <c r="H68" s="2903"/>
      <c r="I68" s="31"/>
      <c r="K68" s="3436"/>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3567741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17839</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17839</v>
      </c>
      <c r="D78" s="2717">
        <f>'数据-取费表'!E31</f>
        <v>5.000000000000001E-3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3549902</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198.99669263972197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2123698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3567741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17839</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2492</v>
      </c>
      <c r="H90" s="3464"/>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17839</v>
      </c>
      <c r="D93" s="2717">
        <f>'数据-取费表'!E31</f>
        <v>5.000000000000001E-3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3549902</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198.99669263972197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2123698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比较法-住宅</v>
      </c>
      <c r="D100" s="2727" t="str">
        <f>D4</f>
        <v>收益法</v>
      </c>
      <c r="E100" s="1389"/>
      <c r="F100" s="3461" t="s">
        <v>2536</v>
      </c>
      <c r="G100" s="3463"/>
      <c r="H100" s="3461" t="s">
        <v>2537</v>
      </c>
      <c r="I100" s="3462"/>
      <c r="J100" s="2780"/>
    </row>
    <row r="101" spans="1:36" ht="12.75">
      <c r="A101" s="3478" t="s">
        <v>2569</v>
      </c>
      <c r="B101" s="2235" t="str">
        <f>IF(H19="元","总价（元）","总价（万元）")</f>
        <v>总价（元）</v>
      </c>
      <c r="C101" s="1235">
        <f ca="1">C19</f>
        <v>4596348</v>
      </c>
      <c r="D101" s="2727">
        <f ca="1">D19</f>
        <v>2426407</v>
      </c>
      <c r="E101" s="1389"/>
      <c r="F101" s="3461" t="str">
        <f>项目基本情况!I1</f>
        <v>北京市房地产</v>
      </c>
      <c r="G101" s="3463"/>
      <c r="H101" s="3465">
        <f>项目基本情况!C12</f>
        <v>62.57</v>
      </c>
      <c r="I101" s="3462"/>
      <c r="J101" s="2780"/>
    </row>
    <row r="102" spans="1:36" ht="12.75">
      <c r="A102" s="3478"/>
      <c r="B102" s="2235" t="s">
        <v>2570</v>
      </c>
      <c r="C102" s="2728">
        <f ca="1">C20</f>
        <v>73459</v>
      </c>
      <c r="D102" s="2729">
        <f ca="1">D20</f>
        <v>38779</v>
      </c>
      <c r="E102" s="1389"/>
      <c r="F102" s="3448" t="s">
        <v>2566</v>
      </c>
      <c r="G102" s="3449"/>
      <c r="H102" s="2737" t="str">
        <f>C106</f>
        <v>总价（元）</v>
      </c>
      <c r="I102" s="2738">
        <f ca="1">H121</f>
        <v>3746128</v>
      </c>
      <c r="J102" s="2780"/>
    </row>
    <row r="103" spans="1:36" ht="12.75">
      <c r="A103" s="3478" t="s">
        <v>2571</v>
      </c>
      <c r="B103" s="2173" t="str">
        <f>B101</f>
        <v>总价（元）</v>
      </c>
      <c r="C103" s="2732">
        <f ca="1">H121</f>
        <v>3746128</v>
      </c>
      <c r="D103" s="2730"/>
      <c r="E103" s="1389"/>
      <c r="F103" s="3448"/>
      <c r="G103" s="3449"/>
      <c r="H103" s="2737" t="s">
        <v>2539</v>
      </c>
      <c r="I103" s="52">
        <f ca="1">I121</f>
        <v>59871</v>
      </c>
      <c r="J103" s="2764"/>
    </row>
    <row r="104" spans="1:36" ht="13.5" thickBot="1">
      <c r="A104" s="3479"/>
      <c r="B104" s="2734" t="s">
        <v>2570</v>
      </c>
      <c r="C104" s="2735">
        <f ca="1">I121</f>
        <v>59871</v>
      </c>
      <c r="D104" s="2736"/>
      <c r="E104" s="1389"/>
      <c r="F104" s="3448"/>
      <c r="G104" s="3449"/>
      <c r="H104" s="3480"/>
      <c r="I104" s="3481"/>
      <c r="J104" s="2781"/>
    </row>
    <row r="105" spans="1:36" ht="15">
      <c r="A105" s="3442" t="s">
        <v>1633</v>
      </c>
      <c r="B105" s="3443"/>
      <c r="C105" s="3443"/>
      <c r="D105" s="3444"/>
      <c r="E105" s="1389"/>
      <c r="F105" s="3484" t="s">
        <v>2540</v>
      </c>
      <c r="G105" s="3485"/>
      <c r="H105" s="2739" t="str">
        <f>C108</f>
        <v>总额（元）</v>
      </c>
      <c r="I105" s="2738">
        <f>SUMIF(I106:I108,"&lt;9E307")</f>
        <v>0</v>
      </c>
      <c r="J105" s="2780"/>
    </row>
    <row r="106" spans="1:36" ht="14.25">
      <c r="A106" s="3448" t="s">
        <v>2563</v>
      </c>
      <c r="B106" s="3449"/>
      <c r="C106" s="2737" t="str">
        <f>B101</f>
        <v>总价（元）</v>
      </c>
      <c r="D106" s="2738">
        <f ca="1">H121</f>
        <v>3746128</v>
      </c>
      <c r="E106" s="1389"/>
      <c r="F106" s="3450" t="s">
        <v>2541</v>
      </c>
      <c r="G106" s="3451"/>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v>
      </c>
      <c r="M106" s="1389"/>
      <c r="N106" s="1389"/>
      <c r="O106" s="1389"/>
      <c r="P106" s="1389"/>
      <c r="Q106" s="1389"/>
    </row>
    <row r="107" spans="1:36" ht="12.75">
      <c r="A107" s="3448"/>
      <c r="B107" s="3449"/>
      <c r="C107" s="2737" t="s">
        <v>2564</v>
      </c>
      <c r="D107" s="52">
        <f ca="1">I121</f>
        <v>59871</v>
      </c>
      <c r="E107" s="1389"/>
      <c r="F107" s="3450" t="s">
        <v>2542</v>
      </c>
      <c r="G107" s="3451"/>
      <c r="H107" s="2739" t="str">
        <f>C110</f>
        <v>总额（元）</v>
      </c>
      <c r="I107" s="52">
        <f>C37</f>
        <v>0</v>
      </c>
      <c r="J107" s="2764"/>
    </row>
    <row r="108" spans="1:36" ht="12.75">
      <c r="A108" s="3519" t="s">
        <v>2540</v>
      </c>
      <c r="B108" s="3520"/>
      <c r="C108" s="2739" t="str">
        <f>IF(H19="元","总额（元）","总额（万元）")</f>
        <v>总额（元）</v>
      </c>
      <c r="D108" s="2738">
        <f>IF(D36="正常操作",I106+I107+I108,I107+I108)</f>
        <v>0</v>
      </c>
      <c r="E108" s="1389"/>
      <c r="F108" s="3450" t="s">
        <v>2567</v>
      </c>
      <c r="G108" s="3451"/>
      <c r="H108" s="2739" t="str">
        <f>C111</f>
        <v>总额（元）</v>
      </c>
      <c r="I108" s="52">
        <f>C38</f>
        <v>0</v>
      </c>
      <c r="J108" s="2764"/>
    </row>
    <row r="109" spans="1:36" ht="12.75">
      <c r="A109" s="3450" t="s">
        <v>2541</v>
      </c>
      <c r="B109" s="3451"/>
      <c r="C109" s="2739" t="str">
        <f>C108</f>
        <v>总额（元）</v>
      </c>
      <c r="D109" s="52">
        <f>IF(D36="同一抵押权人同一抵押物续贷",C36&amp;"（未扣减，详见特别提示）",C36)</f>
        <v>0</v>
      </c>
      <c r="E109" s="1389"/>
      <c r="F109" s="3448"/>
      <c r="G109" s="3449"/>
      <c r="H109" s="3482"/>
      <c r="I109" s="3483"/>
      <c r="J109" s="2782"/>
    </row>
    <row r="110" spans="1:36" ht="28.5" customHeight="1">
      <c r="A110" s="3450" t="s">
        <v>2565</v>
      </c>
      <c r="B110" s="3451"/>
      <c r="C110" s="2739" t="str">
        <f>C108</f>
        <v>总额（元）</v>
      </c>
      <c r="D110" s="52">
        <f>C37</f>
        <v>0</v>
      </c>
      <c r="E110" s="1389"/>
      <c r="F110" s="3431" t="str">
        <f>IF(项目基本情况!F5="已注销","——","3.房地产抵押价值")</f>
        <v>3.房地产抵押价值</v>
      </c>
      <c r="G110" s="3432"/>
      <c r="H110" s="2725" t="str">
        <f>C112</f>
        <v>总价（元）</v>
      </c>
      <c r="I110" s="2738">
        <f ca="1">IF(F110="——","——",I102-I105)</f>
        <v>3746128</v>
      </c>
      <c r="J110" s="2780"/>
    </row>
    <row r="111" spans="1:36" ht="12.75">
      <c r="A111" s="3450" t="s">
        <v>2544</v>
      </c>
      <c r="B111" s="3451"/>
      <c r="C111" s="2739" t="str">
        <f>C108</f>
        <v>总额（元）</v>
      </c>
      <c r="D111" s="52">
        <f>C38</f>
        <v>0</v>
      </c>
      <c r="E111" s="1389"/>
      <c r="F111" s="3433"/>
      <c r="G111" s="3434"/>
      <c r="H111" s="2737" t="s">
        <v>2539</v>
      </c>
      <c r="I111" s="2741">
        <f ca="1">D113</f>
        <v>59871</v>
      </c>
      <c r="J111" s="2783"/>
    </row>
    <row r="112" spans="1:36" ht="26.25" customHeight="1">
      <c r="A112" s="3448" t="str">
        <f>IF(项目基本情况!F5="已注销","——","3.房地产抵押价值")</f>
        <v>3.房地产抵押价值</v>
      </c>
      <c r="B112" s="3449"/>
      <c r="C112" s="2737" t="str">
        <f>B101</f>
        <v>总价（元）</v>
      </c>
      <c r="D112" s="2738">
        <f ca="1">IF(A112="——","——",D106-D108)</f>
        <v>3746128</v>
      </c>
      <c r="E112" s="1389"/>
      <c r="F112" s="3431" t="str">
        <f>IF(项目基本情况!F5="已注销及未注销","4.抵押担保权已注销时的房地产抵押价值",IF(项目基本情况!F5="已注销","3.抵押担保权已注销时的房地产抵押价值","——"))</f>
        <v>——</v>
      </c>
      <c r="G112" s="3432"/>
      <c r="H112" s="2725" t="str">
        <f>C114</f>
        <v>总价（元）</v>
      </c>
      <c r="I112" s="2738" t="str">
        <f>IF(F112="——","——",I102-I107-I108)</f>
        <v>——</v>
      </c>
      <c r="J112" s="2780"/>
    </row>
    <row r="113" spans="1:16" ht="12.75">
      <c r="A113" s="3448"/>
      <c r="B113" s="3449"/>
      <c r="C113" s="2737" t="s">
        <v>2532</v>
      </c>
      <c r="D113" s="52">
        <f ca="1">ROUND(IF(D112=D106,D107,IF(H19="元",D112/项目基本情况!C12,D112*10000/项目基本情况!C12)),0)</f>
        <v>59871</v>
      </c>
      <c r="E113" s="1389"/>
      <c r="F113" s="3433"/>
      <c r="G113" s="3434"/>
      <c r="H113" s="2737" t="s">
        <v>2568</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总价（元）</v>
      </c>
      <c r="D114" s="2738" t="str">
        <f>IF(A114="——","——",D106-D110-D111)</f>
        <v>——</v>
      </c>
      <c r="E114" s="1389"/>
      <c r="F114" s="3431" t="str">
        <f>IF(项目基本情况!G5="抵押净值",IF(OR(项目基本情况!F5="已注销",项目基本情况!F5="房地产抵押价值"),"4.抵押净值","5.抵押净值"),"——")</f>
        <v>——</v>
      </c>
      <c r="G114" s="3432"/>
      <c r="H114" s="2737" t="str">
        <f>C116</f>
        <v>总价（元）</v>
      </c>
      <c r="I114" s="2738" t="str">
        <f>IF(F114="——","——",O59)</f>
        <v>——</v>
      </c>
      <c r="J114" s="2780"/>
    </row>
    <row r="115" spans="1:16" ht="13.5" thickBot="1">
      <c r="A115" s="3448"/>
      <c r="B115" s="3449"/>
      <c r="C115" s="2737" t="s">
        <v>2532</v>
      </c>
      <c r="D115" s="52" t="str">
        <f>IF(A114="——","——",ROUND(IF(D114=D106,D107,IF(H19="元",D114/项目基本情况!C12,D114*10000/项目基本情况!C12)),0))</f>
        <v>——</v>
      </c>
      <c r="E115" s="1389"/>
      <c r="F115" s="3511"/>
      <c r="G115" s="3512"/>
      <c r="H115" s="2742" t="s">
        <v>2532</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总价（元）</v>
      </c>
      <c r="D116" s="2738" t="str">
        <f>IF(A116="——","——",O59)</f>
        <v>——</v>
      </c>
      <c r="E116" s="1389"/>
      <c r="F116" s="3426"/>
      <c r="G116" s="3426"/>
      <c r="H116" s="3467"/>
      <c r="I116" s="3467"/>
      <c r="J116" s="2784"/>
      <c r="O116" s="32"/>
      <c r="P116" s="32"/>
    </row>
    <row r="117" spans="1:16" ht="13.5" thickBot="1">
      <c r="A117" s="3517"/>
      <c r="B117" s="3518"/>
      <c r="C117" s="2742" t="s">
        <v>2532</v>
      </c>
      <c r="D117" s="2726" t="str">
        <f ca="1">IF(D116=D112,D113,IF(A116="——","——",O61))</f>
        <v>——</v>
      </c>
      <c r="E117" s="1389"/>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2550</v>
      </c>
      <c r="B119" s="3439" t="s">
        <v>2560</v>
      </c>
      <c r="C119" s="3439" t="s">
        <v>2561</v>
      </c>
      <c r="D119" s="3446" t="s">
        <v>2552</v>
      </c>
      <c r="E119" s="3447"/>
      <c r="F119" s="3437" t="s">
        <v>2562</v>
      </c>
      <c r="G119" s="3437"/>
      <c r="H119" s="3437" t="s">
        <v>2553</v>
      </c>
      <c r="I119" s="3438"/>
      <c r="J119" s="2764"/>
    </row>
    <row r="120" spans="1:16" ht="12.75">
      <c r="A120" s="3441"/>
      <c r="B120" s="3440"/>
      <c r="C120" s="3440"/>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62.57</v>
      </c>
      <c r="C121" s="2020">
        <f>项目基本情况!C13</f>
        <v>0</v>
      </c>
      <c r="D121" s="2020">
        <f ca="1">ROUND(IF(B32="总价",C34,IF('数据-取费表'!B3="万元",E121*B121/10000,E121*B121)),0)</f>
        <v>3543840</v>
      </c>
      <c r="E121" s="2020">
        <f ca="1">ROUND(IF(B32="楼面单价",C34,IF(H19="元",D121/B121,D121*10000/B121)),0)</f>
        <v>56638</v>
      </c>
      <c r="F121" s="2020">
        <f ca="1">ROUND(IF(B32="总价",C35,IF('数据-取费表'!B3="万元",G121*B121/10000,G121*B121)),0)</f>
        <v>202289</v>
      </c>
      <c r="G121" s="2020">
        <f ca="1">ROUND(IF(B32="楼面单价",C35,IF(H19="元",F121/B121,F121*10000/B121)),0)</f>
        <v>3233</v>
      </c>
      <c r="H121" s="2020">
        <f ca="1">ROUND(IF(B32="总价",C32,IF('数据-取费表'!B3="万元",I121*B121/10000,I121*B121)),0)</f>
        <v>3746128</v>
      </c>
      <c r="I121" s="52">
        <f ca="1">ROUND(IF(B32="楼面单价",C32,IF(H19="元",H121/B121,H121*10000/B121)),0)</f>
        <v>59871</v>
      </c>
      <c r="J121" s="2764"/>
    </row>
    <row r="122" spans="1:16" ht="12.75">
      <c r="A122" s="3441" t="s">
        <v>2556</v>
      </c>
      <c r="B122" s="3437"/>
      <c r="C122" s="3437"/>
      <c r="D122" s="3472" t="str">
        <f ca="1">IF(H19="元",NUMBERSTRING(INT(D121),2)&amp;"元整",NUMBERSTRING(INT(D121*10000),2)&amp;"元整")</f>
        <v>叁佰伍拾肆万叁仟捌佰肆拾元整</v>
      </c>
      <c r="E122" s="3473"/>
      <c r="F122" s="3472" t="str">
        <f ca="1">IF(H19="元",NUMBERSTRING(INT(F121),2)&amp;"元整",NUMBERSTRING(INT(F121*10000),2)&amp;"元整")</f>
        <v>贰拾万贰仟贰佰捌拾玖元整</v>
      </c>
      <c r="G122" s="3473"/>
      <c r="H122" s="3472" t="str">
        <f ca="1">IF(H19="元",NUMBERSTRING(INT(H121),2)&amp;"元整",NUMBERSTRING(INT(H121*10000),2)&amp;"元整")</f>
        <v>叁佰柒拾肆万陆仟壹佰贰拾捌元整</v>
      </c>
      <c r="I122" s="3521"/>
      <c r="J122" s="2787"/>
    </row>
    <row r="123" spans="1:16" ht="12.75">
      <c r="A123" s="3461" t="str">
        <f>IF(项目基本情况!D5="房地产市场价值","——",MID(A108,3,LEN(A108)-2))</f>
        <v>——</v>
      </c>
      <c r="B123" s="3474"/>
      <c r="C123" s="3463"/>
      <c r="D123" s="3465">
        <f>I105</f>
        <v>0</v>
      </c>
      <c r="E123" s="3474"/>
      <c r="F123" s="3474"/>
      <c r="G123" s="3474"/>
      <c r="H123" s="3474"/>
      <c r="I123" s="3462"/>
      <c r="J123" s="2780"/>
    </row>
    <row r="124" spans="1:16" ht="12.75">
      <c r="A124" s="3475" t="s">
        <v>2556</v>
      </c>
      <c r="B124" s="3476"/>
      <c r="C124" s="3477"/>
      <c r="D124" s="3513">
        <f>H109</f>
        <v>0</v>
      </c>
      <c r="E124" s="3514"/>
      <c r="F124" s="3514"/>
      <c r="G124" s="3514"/>
      <c r="H124" s="3514"/>
      <c r="I124" s="3515"/>
      <c r="J124" s="2788"/>
    </row>
    <row r="125" spans="1:16" ht="12.75">
      <c r="A125" s="3448" t="str">
        <f>IF(项目基本情况!D5="房地产市场价值","——",MID(A112,3,LEN(A112)-2))</f>
        <v>——</v>
      </c>
      <c r="B125" s="3449"/>
      <c r="C125" s="3449"/>
      <c r="D125" s="3465">
        <f ca="1">I110</f>
        <v>3746128</v>
      </c>
      <c r="E125" s="3474"/>
      <c r="F125" s="3474"/>
      <c r="G125" s="3474"/>
      <c r="H125" s="3474"/>
      <c r="I125" s="3462"/>
      <c r="J125" s="2780"/>
    </row>
    <row r="126" spans="1:16" ht="12.75">
      <c r="A126" s="3441" t="s">
        <v>2556</v>
      </c>
      <c r="B126" s="3437"/>
      <c r="C126" s="3437"/>
      <c r="D126" s="3513">
        <f ca="1">I111</f>
        <v>59871</v>
      </c>
      <c r="E126" s="3514"/>
      <c r="F126" s="3514"/>
      <c r="G126" s="3514"/>
      <c r="H126" s="3514"/>
      <c r="I126" s="3515"/>
      <c r="J126" s="2788"/>
    </row>
    <row r="127" spans="1:16" ht="13.5" thickBot="1">
      <c r="A127" s="3448" t="str">
        <f>IF(项目基本情况!D5="房地产市场价值","——",MID(A114,3,LEN(A114)-2))</f>
        <v>——</v>
      </c>
      <c r="B127" s="3449"/>
      <c r="C127" s="3449"/>
      <c r="D127" s="3421" t="str">
        <f>I112</f>
        <v>——</v>
      </c>
      <c r="E127" s="3422"/>
      <c r="F127" s="3422"/>
      <c r="G127" s="3422"/>
      <c r="H127" s="3422"/>
      <c r="I127" s="3423"/>
      <c r="J127" s="2780"/>
    </row>
    <row r="128" spans="1:16" ht="14.25" thickTop="1" thickBot="1">
      <c r="A128" s="3441" t="s">
        <v>2556</v>
      </c>
      <c r="B128" s="3437"/>
      <c r="C128" s="3488"/>
      <c r="D128" s="3466" t="str">
        <f>I113</f>
        <v>——</v>
      </c>
      <c r="E128" s="3466"/>
      <c r="F128" s="3466"/>
      <c r="G128" s="3466"/>
      <c r="H128" s="3466"/>
      <c r="I128" s="3466"/>
      <c r="J128" s="2788"/>
    </row>
    <row r="129" spans="1:10" ht="14.25" thickTop="1" thickBot="1">
      <c r="A129" s="3448" t="str">
        <f>IF(项目基本情况!D5="房地产市场价值","——",MID(F114,3,LEN(F114)-2))</f>
        <v>——</v>
      </c>
      <c r="B129" s="3449"/>
      <c r="C129" s="3465"/>
      <c r="D129" s="3516" t="str">
        <f>I114</f>
        <v>——</v>
      </c>
      <c r="E129" s="3516"/>
      <c r="F129" s="3516"/>
      <c r="G129" s="3516"/>
      <c r="H129" s="3516"/>
      <c r="I129" s="3516"/>
      <c r="J129" s="2780"/>
    </row>
    <row r="130" spans="1:10" ht="14.25" thickTop="1" thickBot="1">
      <c r="A130" s="3504" t="s">
        <v>2556</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2575</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44782</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2499</v>
      </c>
      <c r="I51" s="2489"/>
      <c r="J51" s="2773"/>
      <c r="K51" s="2431">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09"/>
      <c r="B52" s="3476" t="s">
        <v>1543</v>
      </c>
      <c r="C52" s="3476"/>
      <c r="D52" s="2490"/>
      <c r="E52" s="269"/>
      <c r="F52" s="2487"/>
      <c r="G52" s="3419"/>
      <c r="H52" s="2491" t="s">
        <v>2500</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2501</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5.5000000000000007E-2</v>
      </c>
      <c r="G54" s="2494"/>
      <c r="H54" s="905"/>
      <c r="I54" s="2898"/>
      <c r="J54" s="2773"/>
      <c r="K54" s="2431">
        <v>1</v>
      </c>
      <c r="L54" s="3529" t="s">
        <v>1554</v>
      </c>
      <c r="M54" s="3529"/>
      <c r="N54" s="2433">
        <f>D50</f>
        <v>0</v>
      </c>
      <c r="O54" s="2431" t="str">
        <f>E50</f>
        <v>销售额×税（费）率</v>
      </c>
      <c r="P54" s="2434">
        <f>F50</f>
        <v>5.5000000000000007E-2</v>
      </c>
    </row>
    <row r="55" spans="1:17" ht="12" customHeight="1">
      <c r="A55" s="2010" t="s">
        <v>1555</v>
      </c>
      <c r="B55" s="3488" t="s">
        <v>2592</v>
      </c>
      <c r="C55" s="3477"/>
      <c r="D55" s="1028">
        <f>ROUND(D47*'数据-取费表'!E29/(1+'数据-取费表'!F30),0)</f>
        <v>0</v>
      </c>
      <c r="E55" s="2020" t="s">
        <v>1553</v>
      </c>
      <c r="F55" s="2493">
        <f>'数据-取费表'!E29</f>
        <v>5.5000000000000007E-2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2593</v>
      </c>
      <c r="C56" s="3477"/>
      <c r="D56" s="1028">
        <f>C70</f>
        <v>0</v>
      </c>
      <c r="E56" s="264" t="s">
        <v>1558</v>
      </c>
      <c r="F56" s="2493">
        <f>'数据-取费表'!E29</f>
        <v>5.5000000000000007E-2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#VALUE!</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35">
        <f>K59+1</f>
        <v>6</v>
      </c>
      <c r="L61" s="3529" t="s">
        <v>1573</v>
      </c>
      <c r="M61" s="2431" t="s">
        <v>1568</v>
      </c>
      <c r="N61" s="2446"/>
      <c r="O61" s="2447" t="e">
        <f>N51-O59</f>
        <v>#VALUE!</v>
      </c>
      <c r="P61" s="2448"/>
    </row>
    <row r="62" spans="1:17" ht="12" customHeight="1">
      <c r="A62" s="1385"/>
      <c r="B62" s="2481"/>
      <c r="C62" s="2481"/>
      <c r="D62" s="2481"/>
      <c r="E62" s="1385"/>
      <c r="F62" s="2900"/>
      <c r="G62" s="2900"/>
      <c r="H62" s="2895"/>
      <c r="I62" s="905"/>
      <c r="J62" s="2773"/>
      <c r="K62" s="3536"/>
      <c r="L62" s="3529"/>
      <c r="M62" s="2439" t="s">
        <v>1571</v>
      </c>
      <c r="N62" s="2443"/>
      <c r="O62" s="2444" t="e">
        <f>IF(H19="元",NUMBERSTRING(INT(O61),2)&amp;"元整",NUMBERSTRING(INT(O61*10000),2)&amp;"元整")</f>
        <v>#VALUE!</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t="e">
        <f>IF(H19="元",ROUND(O61/项目基本情况!C12,0),ROUND(O61*10000/项目基本情况!C12,0))</f>
        <v>#VALUE!</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5"/>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2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2493</v>
      </c>
      <c r="H92" s="3544"/>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2535</v>
      </c>
      <c r="G101" s="3540"/>
      <c r="H101" s="3540"/>
      <c r="I101" s="3541"/>
      <c r="J101" s="2800"/>
    </row>
    <row r="102" spans="1:36" ht="15">
      <c r="A102" s="3459" t="s">
        <v>1632</v>
      </c>
      <c r="B102" s="3460"/>
      <c r="C102" s="2723">
        <f>C4</f>
        <v>0</v>
      </c>
      <c r="D102" s="2724">
        <f>D4</f>
        <v>0</v>
      </c>
      <c r="E102" s="1389"/>
      <c r="F102" s="3461" t="s">
        <v>2536</v>
      </c>
      <c r="G102" s="3463"/>
      <c r="H102" s="3474" t="s">
        <v>2537</v>
      </c>
      <c r="I102" s="3462"/>
      <c r="J102" s="2780"/>
    </row>
    <row r="103" spans="1:36" ht="12.75">
      <c r="A103" s="3545" t="s">
        <v>2531</v>
      </c>
      <c r="B103" s="2235" t="str">
        <f>IF(H19="元","总价（元）","总价（万元）")</f>
        <v>总价（元）</v>
      </c>
      <c r="C103" s="1235" t="e">
        <f ca="1">C19</f>
        <v>#REF!</v>
      </c>
      <c r="D103" s="2727" t="e">
        <f ca="1">D19</f>
        <v>#REF!</v>
      </c>
      <c r="E103" s="1389"/>
      <c r="F103" s="3546"/>
      <c r="G103" s="3547"/>
      <c r="H103" s="3465">
        <f>典型户型修正!B25</f>
        <v>0</v>
      </c>
      <c r="I103" s="3462"/>
      <c r="J103" s="2780"/>
    </row>
    <row r="104" spans="1:36" ht="12.75">
      <c r="A104" s="3545"/>
      <c r="B104" s="2235" t="s">
        <v>2532</v>
      </c>
      <c r="C104" s="2728" t="e">
        <f ca="1">C20</f>
        <v>#REF!</v>
      </c>
      <c r="D104" s="2729" t="e">
        <f ca="1">D20</f>
        <v>#REF!</v>
      </c>
      <c r="E104" s="1389"/>
      <c r="F104" s="3448" t="s">
        <v>2538</v>
      </c>
      <c r="G104" s="3449"/>
      <c r="H104" s="2737" t="str">
        <f>C110</f>
        <v>总价（元）</v>
      </c>
      <c r="I104" s="2738">
        <f>H125</f>
        <v>0</v>
      </c>
      <c r="J104" s="2780"/>
    </row>
    <row r="105" spans="1:36" ht="12.75">
      <c r="A105" s="3545" t="s">
        <v>2533</v>
      </c>
      <c r="B105" s="2173" t="str">
        <f>B103</f>
        <v>总价（元）</v>
      </c>
      <c r="C105" s="12" t="e">
        <f ca="1">ROUND(IF('数据-取费表'!B4="总价",G19,IF(H19="元",G20*'数据-取费表'!E5,G20*'数据-取费表'!E5/10000)),0)</f>
        <v>#REF!</v>
      </c>
      <c r="D105" s="2730"/>
      <c r="E105" s="1389"/>
      <c r="F105" s="3448"/>
      <c r="G105" s="3449"/>
      <c r="H105" s="2737" t="s">
        <v>2539</v>
      </c>
      <c r="I105" s="52" t="e">
        <f>I125</f>
        <v>#DIV/0!</v>
      </c>
      <c r="J105" s="2764"/>
    </row>
    <row r="106" spans="1:36" ht="12.75">
      <c r="A106" s="3545"/>
      <c r="B106" s="2235" t="s">
        <v>2532</v>
      </c>
      <c r="C106" s="1409" t="e">
        <f ca="1">ROUND(IF('数据-取费表'!B4="楼面单价",G20,IF(H19="元",G19/'数据-取费表'!E5,G19*10000/'数据-取费表'!E5)),0)</f>
        <v>#REF!</v>
      </c>
      <c r="D106" s="2730"/>
      <c r="E106" s="1389"/>
      <c r="F106" s="3448"/>
      <c r="G106" s="3449"/>
      <c r="H106" s="3480"/>
      <c r="I106" s="3481"/>
      <c r="J106" s="2781"/>
    </row>
    <row r="107" spans="1:36" ht="12.75">
      <c r="A107" s="3552" t="s">
        <v>2534</v>
      </c>
      <c r="B107" s="2731" t="str">
        <f>B103</f>
        <v>总价（元）</v>
      </c>
      <c r="C107" s="2732">
        <f>H125</f>
        <v>0</v>
      </c>
      <c r="D107" s="2733"/>
      <c r="E107" s="1389"/>
      <c r="F107" s="3484" t="s">
        <v>2540</v>
      </c>
      <c r="G107" s="3485"/>
      <c r="H107" s="2739" t="str">
        <f>C112</f>
        <v>总额（元）</v>
      </c>
      <c r="I107" s="2738">
        <f>SUMIF(I108:I110,"&lt;9E307")</f>
        <v>0</v>
      </c>
      <c r="J107" s="2780"/>
    </row>
    <row r="108" spans="1:36" ht="15" thickBot="1">
      <c r="A108" s="3479"/>
      <c r="B108" s="2734" t="s">
        <v>2532</v>
      </c>
      <c r="C108" s="2735" t="e">
        <f>I125</f>
        <v>#DIV/0!</v>
      </c>
      <c r="D108" s="2736"/>
      <c r="E108" s="1389"/>
      <c r="F108" s="3450" t="s">
        <v>2541</v>
      </c>
      <c r="G108" s="3451"/>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2542</v>
      </c>
      <c r="G109" s="3451"/>
      <c r="H109" s="2739" t="str">
        <f>C114</f>
        <v>总额（元）</v>
      </c>
      <c r="I109" s="52">
        <f>C39</f>
        <v>0</v>
      </c>
      <c r="J109" s="2764"/>
    </row>
    <row r="110" spans="1:36" ht="12.75">
      <c r="A110" s="3448" t="s">
        <v>2545</v>
      </c>
      <c r="B110" s="3449"/>
      <c r="C110" s="2737" t="str">
        <f>B103</f>
        <v>总价（元）</v>
      </c>
      <c r="D110" s="2738">
        <f>H125</f>
        <v>0</v>
      </c>
      <c r="E110" s="1389"/>
      <c r="F110" s="3450" t="s">
        <v>2543</v>
      </c>
      <c r="G110" s="3451"/>
      <c r="H110" s="2739" t="str">
        <f>C115</f>
        <v>总额（元）</v>
      </c>
      <c r="I110" s="52">
        <f>C40</f>
        <v>0</v>
      </c>
      <c r="J110" s="2764"/>
    </row>
    <row r="111" spans="1:36" ht="12.75">
      <c r="A111" s="3448"/>
      <c r="B111" s="3449"/>
      <c r="C111" s="2737" t="s">
        <v>2546</v>
      </c>
      <c r="D111" s="52" t="e">
        <f>I125</f>
        <v>#DIV/0!</v>
      </c>
      <c r="E111" s="1389"/>
      <c r="F111" s="3448"/>
      <c r="G111" s="3449"/>
      <c r="H111" s="3482"/>
      <c r="I111" s="3483"/>
      <c r="J111" s="2782"/>
    </row>
    <row r="112" spans="1:36" ht="28.5" customHeight="1">
      <c r="A112" s="3519" t="s">
        <v>2540</v>
      </c>
      <c r="B112" s="3520"/>
      <c r="C112" s="2739" t="str">
        <f>IF(H19="元","总额（元）","总额（万元）")</f>
        <v>总额（元）</v>
      </c>
      <c r="D112" s="2738">
        <f>IF(D38="正常操作",I108+I109+I110,I109+I110)</f>
        <v>0</v>
      </c>
      <c r="E112" s="1389"/>
      <c r="F112" s="3431" t="str">
        <f>IF(项目基本情况!F5="已注销","——","3.房地产抵押价值")</f>
        <v>3.房地产抵押价值</v>
      </c>
      <c r="G112" s="3432"/>
      <c r="H112" s="1409" t="str">
        <f>C116</f>
        <v>总价（元）</v>
      </c>
      <c r="I112" s="2738">
        <f>IF(F112="——","——",I104-I107)</f>
        <v>0</v>
      </c>
      <c r="J112" s="2780"/>
    </row>
    <row r="113" spans="1:27" ht="12.75">
      <c r="A113" s="3450" t="s">
        <v>2547</v>
      </c>
      <c r="B113" s="3451"/>
      <c r="C113" s="2739" t="str">
        <f>C112</f>
        <v>总额（元）</v>
      </c>
      <c r="D113" s="52">
        <f>IF(D38="同一抵押权人同一抵押物续贷",C38&amp;"（未扣减，详见特别提示）",C38)</f>
        <v>0</v>
      </c>
      <c r="E113" s="1389"/>
      <c r="F113" s="3433"/>
      <c r="G113" s="3434"/>
      <c r="H113" s="2737" t="s">
        <v>2539</v>
      </c>
      <c r="I113" s="2741" t="e">
        <f>D117</f>
        <v>#DIV/0!</v>
      </c>
      <c r="J113" s="2783"/>
    </row>
    <row r="114" spans="1:27" ht="12.75">
      <c r="A114" s="3450" t="s">
        <v>2548</v>
      </c>
      <c r="B114" s="3451"/>
      <c r="C114" s="2739" t="str">
        <f>C112</f>
        <v>总额（元）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总价（元）</v>
      </c>
      <c r="I114" s="2738" t="str">
        <f>IF(F114="——","——",I104-I109-I110)</f>
        <v>——</v>
      </c>
      <c r="J114" s="2780"/>
    </row>
    <row r="115" spans="1:27" ht="12.75">
      <c r="A115" s="3450" t="s">
        <v>2549</v>
      </c>
      <c r="B115" s="3451"/>
      <c r="C115" s="2739" t="str">
        <f>C112</f>
        <v>总额（元）</v>
      </c>
      <c r="D115" s="52">
        <f>C40</f>
        <v>0</v>
      </c>
      <c r="E115" s="1389"/>
      <c r="F115" s="3433"/>
      <c r="G115" s="3434"/>
      <c r="H115" s="2737" t="s">
        <v>2539</v>
      </c>
      <c r="I115" s="52" t="str">
        <f>D119</f>
        <v>——</v>
      </c>
      <c r="J115" s="2764"/>
    </row>
    <row r="116" spans="1:27" ht="12.75">
      <c r="A116" s="3448" t="str">
        <f>IF(项目基本情况!F5="已注销","——","3.房地产抵押价值")</f>
        <v>3.房地产抵押价值</v>
      </c>
      <c r="B116" s="3449"/>
      <c r="C116" s="2737" t="str">
        <f>B103</f>
        <v>总价（元）</v>
      </c>
      <c r="D116" s="2738">
        <f>IF(A116="——","——",D110-D112)</f>
        <v>0</v>
      </c>
      <c r="E116" s="1389"/>
      <c r="F116" s="3431" t="str">
        <f>IF(项目基本情况!G5="抵押净值",IF(OR(项目基本情况!F5="已注销",项目基本情况!F5="房地产抵押价值"),"4.抵押净值","5.抵押净值"),"——")</f>
        <v>——</v>
      </c>
      <c r="G116" s="3432"/>
      <c r="H116" s="2737" t="str">
        <f>C120</f>
        <v>总价（元）</v>
      </c>
      <c r="I116" s="2738" t="str">
        <f>IF(F116="——","——",O61)</f>
        <v>——</v>
      </c>
      <c r="J116" s="2780"/>
    </row>
    <row r="117" spans="1:27" ht="13.5" thickBot="1">
      <c r="A117" s="3448"/>
      <c r="B117" s="3449"/>
      <c r="C117" s="2737" t="s">
        <v>2546</v>
      </c>
      <c r="D117" s="52" t="e">
        <f>ROUND(IF(D116=D110,D111,IF(H19="元",D116/B125,D116*10000/B125)),0)</f>
        <v>#DIV/0!</v>
      </c>
      <c r="E117" s="1389"/>
      <c r="F117" s="3511"/>
      <c r="G117" s="3512"/>
      <c r="H117" s="2742" t="s">
        <v>2539</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总价（元）</v>
      </c>
      <c r="D118" s="2738" t="str">
        <f>IF(A118="——","——",D110-D114-D115)</f>
        <v>——</v>
      </c>
      <c r="E118" s="1389"/>
      <c r="F118" s="3426"/>
      <c r="G118" s="3426"/>
      <c r="H118" s="3467"/>
      <c r="I118" s="3467"/>
      <c r="J118" s="2784"/>
      <c r="O118" s="32"/>
      <c r="P118" s="32"/>
    </row>
    <row r="119" spans="1:27" s="1236" customFormat="1" ht="12.75">
      <c r="A119" s="3448"/>
      <c r="B119" s="3449"/>
      <c r="C119" s="2737" t="s">
        <v>2546</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2550</v>
      </c>
      <c r="B123" s="3439" t="s">
        <v>2551</v>
      </c>
      <c r="C123" s="3439" t="s">
        <v>2557</v>
      </c>
      <c r="D123" s="3446" t="s">
        <v>2552</v>
      </c>
      <c r="E123" s="3447"/>
      <c r="F123" s="3437" t="s">
        <v>2558</v>
      </c>
      <c r="G123" s="3437"/>
      <c r="H123" s="3437" t="s">
        <v>2553</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2556</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2556</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2556</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2556</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2556</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1471854</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23523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1030660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160</v>
      </c>
      <c r="D8" s="1099"/>
      <c r="E8" s="115"/>
      <c r="F8" s="1098"/>
      <c r="G8" s="1446"/>
    </row>
    <row r="9" spans="1:123" s="91" customFormat="1" ht="13.5" customHeight="1">
      <c r="A9" s="951" t="s">
        <v>763</v>
      </c>
      <c r="B9" s="97" t="s">
        <v>1689</v>
      </c>
      <c r="C9" s="1100">
        <f>ROUND(D9*E9,0)</f>
        <v>10011</v>
      </c>
      <c r="D9" s="1101">
        <f>IF('数据-取费表'!B10="住宅",IF(B1="仅计算典型户型",'数据-取费表'!E5,'数据-取费表'!B5),0)</f>
        <v>62.57</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0</v>
      </c>
      <c r="D19" s="1104">
        <f>IF(B1="仅计算典型户型",'数据-取费表'!E5,'数据-取费表'!B5)</f>
        <v>62.57</v>
      </c>
      <c r="E19" s="111">
        <f>'数据-取费表'!E15</f>
        <v>0</v>
      </c>
      <c r="F19" s="112"/>
      <c r="G19" s="1446"/>
    </row>
    <row r="20" spans="1:123" s="91" customFormat="1" ht="13.5" customHeight="1">
      <c r="A20" s="120" t="s">
        <v>1702</v>
      </c>
      <c r="B20" s="89" t="s">
        <v>1703</v>
      </c>
      <c r="C20" s="99">
        <f>ROUND((C5+C19)*F20,0)</f>
        <v>10307</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58013</v>
      </c>
      <c r="D22" s="101">
        <f ca="1">C26</f>
        <v>2.9999999999999997E-4</v>
      </c>
      <c r="E22" s="102" t="s">
        <v>1707</v>
      </c>
      <c r="F22" s="103">
        <f ca="1">'数据-取费表'!E27</f>
        <v>3.7000000000000005E-2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57728</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285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2.9999999999999997E-4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156145</v>
      </c>
      <c r="D27" s="101">
        <f>C29</f>
        <v>1.5E-3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156145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1341232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137028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125140</v>
      </c>
      <c r="D34" s="1096"/>
      <c r="E34" s="115"/>
      <c r="F34" s="1107" t="str">
        <f>IF('数据-取费表'!B26=0,"",'数据-取费表'!E20)</f>
        <v/>
      </c>
      <c r="G34" s="95"/>
    </row>
    <row r="35" spans="1:123" ht="13.5" customHeight="1">
      <c r="A35" s="92" t="s">
        <v>1685</v>
      </c>
      <c r="B35" s="93" t="s">
        <v>1734</v>
      </c>
      <c r="C35" s="115">
        <f>ROUND(C34*F35,0)</f>
        <v>3754</v>
      </c>
      <c r="D35" s="115"/>
      <c r="E35" s="115"/>
      <c r="F35" s="1108">
        <f>'数据-取费表'!E21</f>
        <v>0.03</v>
      </c>
      <c r="G35" s="95" t="s">
        <v>1735</v>
      </c>
    </row>
    <row r="36" spans="1:123" ht="24">
      <c r="A36" s="92" t="s">
        <v>1687</v>
      </c>
      <c r="B36" s="93" t="s">
        <v>1736</v>
      </c>
      <c r="C36" s="115">
        <f>ROUND(IF('数据-取费表'!B10="住宅",C34*F36,0),0)</f>
        <v>6257</v>
      </c>
      <c r="D36" s="115"/>
      <c r="E36" s="115"/>
      <c r="F36" s="1108">
        <f>'数据-取费表'!E22</f>
        <v>0.05</v>
      </c>
      <c r="G36" s="123" t="s">
        <v>1737</v>
      </c>
    </row>
    <row r="37" spans="1:123" s="122" customFormat="1" ht="13.5" customHeight="1">
      <c r="A37" s="92" t="s">
        <v>1718</v>
      </c>
      <c r="B37" s="93" t="s">
        <v>1738</v>
      </c>
      <c r="C37" s="115">
        <f>ROUND(E37*D37,0)</f>
        <v>0</v>
      </c>
      <c r="D37" s="1096">
        <f>IF(B1="仅计算典型户型",'数据-取费表'!E5,'数据-取费表'!B5)</f>
        <v>62.57</v>
      </c>
      <c r="E37" s="115">
        <f>'数据-取费表'!E23</f>
        <v>0</v>
      </c>
      <c r="F37" s="1108"/>
      <c r="G37" s="124" t="s">
        <v>1739</v>
      </c>
    </row>
    <row r="38" spans="1:123" ht="13.5" customHeight="1">
      <c r="A38" s="92" t="s">
        <v>1740</v>
      </c>
      <c r="B38" s="93" t="s">
        <v>1741</v>
      </c>
      <c r="C38" s="115">
        <f>ROUND(C34*F38,0)</f>
        <v>1877</v>
      </c>
      <c r="D38" s="115"/>
      <c r="E38" s="115"/>
      <c r="F38" s="1108">
        <f>'数据-取费表'!E24</f>
        <v>1.4999999999999999E-2</v>
      </c>
      <c r="G38" s="95" t="s">
        <v>1735</v>
      </c>
    </row>
    <row r="39" spans="1:123" s="91" customFormat="1" ht="13.5" customHeight="1">
      <c r="A39" s="120" t="s">
        <v>1700</v>
      </c>
      <c r="B39" s="89" t="s">
        <v>1703</v>
      </c>
      <c r="C39" s="99">
        <f>ROUND(C33*F20,0)</f>
        <v>1370</v>
      </c>
      <c r="D39" s="99"/>
      <c r="E39" s="99"/>
      <c r="F39" s="2806">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6">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3823</v>
      </c>
      <c r="D41" s="101">
        <f ca="1">C44</f>
        <v>2.9999999999999997E-4</v>
      </c>
      <c r="E41" s="102" t="s">
        <v>1743</v>
      </c>
      <c r="F41" s="2806">
        <f ca="1">F22</f>
        <v>3.7000000000000005E-2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3785</v>
      </c>
      <c r="D42" s="104"/>
      <c r="E42" s="104"/>
      <c r="F42" s="105"/>
      <c r="G42" s="3554" t="s">
        <v>1745</v>
      </c>
    </row>
    <row r="43" spans="1:123" ht="13.5" customHeight="1">
      <c r="A43" s="92" t="s">
        <v>1685</v>
      </c>
      <c r="B43" s="93" t="s">
        <v>1714</v>
      </c>
      <c r="C43" s="104">
        <f ca="1">ROUND(IF('数据-取费表'!B24&lt;=1,C39*F22*'数据-取费表'!B23/2,C39*(POWER((1+F22),'数据-取费表'!B23/2)-1)),0)</f>
        <v>38</v>
      </c>
      <c r="D43" s="104"/>
      <c r="E43" s="104"/>
      <c r="F43" s="105"/>
      <c r="G43" s="3555"/>
    </row>
    <row r="44" spans="1:123" ht="13.5" customHeight="1">
      <c r="A44" s="92" t="s">
        <v>1687</v>
      </c>
      <c r="B44" s="93" t="s">
        <v>1716</v>
      </c>
      <c r="C44" s="104">
        <f ca="1">ROUND(IF('数据-取费表'!B24&lt;=1,C40*F22*'数据-取费表'!B23/2,C40*(POWER((1+F22),'数据-取费表'!B23/2)-1)),4)</f>
        <v>2.9999999999999997E-4</v>
      </c>
      <c r="D44" s="104"/>
      <c r="E44" s="104"/>
      <c r="F44" s="105"/>
      <c r="G44" s="3556"/>
    </row>
    <row r="45" spans="1:123" s="91" customFormat="1" ht="13.5" customHeight="1">
      <c r="A45" s="120" t="s">
        <v>1709</v>
      </c>
      <c r="B45" s="110" t="s">
        <v>1721</v>
      </c>
      <c r="C45" s="111">
        <f>C46</f>
        <v>20760</v>
      </c>
      <c r="D45" s="101">
        <f>C47</f>
        <v>1.5E-3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20760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174162</v>
      </c>
      <c r="D49" s="99"/>
      <c r="E49" s="99"/>
      <c r="F49" s="126"/>
      <c r="G49" s="100" t="s">
        <v>1753</v>
      </c>
    </row>
    <row r="50" spans="1:123" s="122" customFormat="1" ht="24">
      <c r="A50" s="952" t="s">
        <v>1754</v>
      </c>
      <c r="B50" s="89" t="s">
        <v>1755</v>
      </c>
      <c r="C50" s="99"/>
      <c r="D50" s="99"/>
      <c r="E50" s="99"/>
      <c r="F50" s="126">
        <f>IF('数据-取费表'!B26=0,'数据-取费表'!E20,1)</f>
        <v>0.75</v>
      </c>
      <c r="G50" s="113" t="s">
        <v>1756</v>
      </c>
    </row>
    <row r="51" spans="1:123" ht="16.5" customHeight="1">
      <c r="A51" s="952" t="s">
        <v>1757</v>
      </c>
      <c r="B51" s="89" t="s">
        <v>1758</v>
      </c>
      <c r="C51" s="99">
        <f ca="1">ROUND(C49*F50,0)</f>
        <v>130622</v>
      </c>
      <c r="D51" s="99"/>
      <c r="E51" s="99"/>
      <c r="F51" s="126"/>
      <c r="G51" s="100" t="s">
        <v>1759</v>
      </c>
    </row>
    <row r="52" spans="1:123" s="88" customFormat="1" ht="16.5" thickBot="1">
      <c r="A52" s="127" t="s">
        <v>1760</v>
      </c>
      <c r="B52" s="128"/>
      <c r="C52" s="129">
        <f ca="1">C31+C51</f>
        <v>1471854</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8.8999999999999996E-2</v>
      </c>
    </row>
    <row r="57" spans="1:123">
      <c r="B57" s="135" t="s">
        <v>1763</v>
      </c>
      <c r="C57" s="137">
        <f ca="1">1-C56</f>
        <v>0.91100000000000003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157</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-160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-160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3.7000000000000005E-2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-24</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-24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157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34" sqref="D3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2426407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38779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62248</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62170</v>
      </c>
      <c r="D6" s="36" t="s">
        <v>2460</v>
      </c>
      <c r="E6" s="235" t="s">
        <v>1776</v>
      </c>
      <c r="F6" s="236">
        <f>'数据-取费表'!B30</f>
        <v>90</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62.57</v>
      </c>
      <c r="G7" s="909"/>
      <c r="H7" s="237"/>
      <c r="I7" s="238"/>
      <c r="J7" s="239"/>
      <c r="K7" s="240"/>
      <c r="L7" s="235" t="s">
        <v>1777</v>
      </c>
      <c r="M7" s="236">
        <f>IF('数据-取费表'!B42="",IF(D1="仅计算典型户型",'数据-取费表'!E5,'数据-取费表'!B5),'数据-取费表'!B42)</f>
        <v>62.57</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78</v>
      </c>
      <c r="D10" s="1450" t="s">
        <v>2465</v>
      </c>
      <c r="E10" s="246" t="s">
        <v>1783</v>
      </c>
      <c r="F10" s="1451" t="s">
        <v>1784</v>
      </c>
      <c r="G10" s="909"/>
      <c r="H10" s="1015" t="s">
        <v>1781</v>
      </c>
      <c r="I10" s="1449" t="s">
        <v>1782</v>
      </c>
      <c r="J10" s="1016">
        <f ca="1">ROUND(IF(M10="押一",J6/12*M11,IF(M10="押二",J6/12*2*M11,IF(M10="押三",J6/12*3*M11,J11*M11))),0)</f>
        <v>0</v>
      </c>
      <c r="K10" s="36" t="s">
        <v>2465</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130622</v>
      </c>
      <c r="D13" s="1023" t="s">
        <v>1791</v>
      </c>
      <c r="E13" s="1023" t="s">
        <v>1792</v>
      </c>
      <c r="F13" s="1024">
        <f>'数据-取费表'!E20</f>
        <v>0.75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125140</v>
      </c>
      <c r="D14" s="1256" t="s">
        <v>1795</v>
      </c>
      <c r="E14" s="1257"/>
      <c r="F14" s="757"/>
      <c r="G14" s="910"/>
      <c r="H14" s="253" t="s">
        <v>1774</v>
      </c>
      <c r="I14" s="235" t="s">
        <v>1796</v>
      </c>
      <c r="J14" s="13">
        <f ca="1">C29</f>
        <v>174162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3754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6257</v>
      </c>
      <c r="D16" s="235" t="s">
        <v>1799</v>
      </c>
      <c r="E16" s="235" t="s">
        <v>1800</v>
      </c>
      <c r="F16" s="258">
        <f>IF('数据-取费表'!B10="住宅",'数据-取费表'!E22,0)</f>
        <v>0.05</v>
      </c>
      <c r="G16" s="910"/>
      <c r="H16" s="1021" t="s">
        <v>14</v>
      </c>
      <c r="I16" s="1022" t="s">
        <v>1805</v>
      </c>
      <c r="J16" s="243">
        <f ca="1">ROUND(J17+J22+J23+J24,0)</f>
        <v>2612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0</v>
      </c>
      <c r="D17" s="235" t="s">
        <v>1809</v>
      </c>
      <c r="E17" s="235" t="s">
        <v>1810</v>
      </c>
      <c r="F17" s="15">
        <f>'数据-取费表'!E23</f>
        <v>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1877</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5.5000000000000007E-2</v>
      </c>
    </row>
    <row r="19" spans="1:37" s="257" customFormat="1" ht="18" customHeight="1">
      <c r="A19" s="253" t="s">
        <v>1811</v>
      </c>
      <c r="B19" s="235" t="s">
        <v>1819</v>
      </c>
      <c r="C19" s="13">
        <f>SUM(C14:C18)</f>
        <v>137028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1370</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2612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3823</v>
      </c>
      <c r="D23" s="1360" t="str">
        <f>IF(F23&lt;=1,"(建造成本+管理费用)×利率×(建设周期÷2)","(建造成本+管理费用)×((1+利率)^(建设周期÷2)-1)")</f>
        <v>(建造成本+管理费用)×((1+利率)^(建设周期÷2)-1)</v>
      </c>
      <c r="E23" s="235" t="s">
        <v>1839</v>
      </c>
      <c r="F23" s="262">
        <f>'数据-取费表'!B22</f>
        <v>1.5</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2.9999999999999997E-4</v>
      </c>
      <c r="D24" s="1360" t="str">
        <f>IF(F23&lt;=1,"销售费用×利率×(建设周期÷2)","销售费用×((1+利率)^(建设周期÷2)-1)")</f>
        <v>销售费用×((1+利率)^(建设周期÷2)-1)</v>
      </c>
      <c r="E24" s="235" t="s">
        <v>1845</v>
      </c>
      <c r="F24" s="267">
        <f ca="1">'数据-取费表'!E27</f>
        <v>3.7000000000000005E-2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-2612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20760</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1.5E-3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174162</v>
      </c>
      <c r="D29" s="1034"/>
      <c r="E29" s="1032"/>
      <c r="F29" s="1035"/>
      <c r="G29" s="652"/>
      <c r="H29" s="271" t="s">
        <v>24</v>
      </c>
      <c r="I29" s="272" t="s">
        <v>1869</v>
      </c>
      <c r="J29" s="273">
        <f ca="1">ROUND(J26/(1+F40)^F41,0)</f>
        <v>0</v>
      </c>
      <c r="K29" s="274" t="s">
        <v>1870</v>
      </c>
      <c r="L29" s="275"/>
      <c r="M29" s="276">
        <f>IF(D1="仅计算典型户型",'数据-取费表'!E5,'数据-取费表'!B5)</f>
        <v>62.57</v>
      </c>
    </row>
    <row r="30" spans="1:37" ht="18" customHeight="1" thickTop="1">
      <c r="A30" s="1021" t="s">
        <v>14</v>
      </c>
      <c r="B30" s="1022" t="s">
        <v>1871</v>
      </c>
      <c r="C30" s="243">
        <f ca="1">ROUND(C31+C36+C37+C38,0)</f>
        <v>4910</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1480</v>
      </c>
      <c r="D31" s="1256" t="s">
        <v>1873</v>
      </c>
      <c r="E31" s="1259" t="s">
        <v>1874</v>
      </c>
      <c r="F31" s="2744">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2612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196</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622</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57338</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2426407</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2468</v>
      </c>
      <c r="F41" s="270">
        <f>IF('数据-取费表'!B29="租赁期内按合同租金",'数据-取费表'!B35,IF(E41="收益年期(n)",'数据-取费表'!B34,'数据-取费表'!B13))</f>
        <v>70</v>
      </c>
      <c r="H41" s="908"/>
      <c r="I41" s="135" t="s">
        <v>1762</v>
      </c>
      <c r="J41" s="136">
        <f ca="1">ROUND(C13/C40,3)</f>
        <v>5.3999999999999999E-2</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0.94599999999999995</v>
      </c>
      <c r="K42" s="905"/>
      <c r="L42" s="908"/>
      <c r="M42" s="908"/>
      <c r="Q42" s="656"/>
    </row>
    <row r="43" spans="1:18" s="652" customFormat="1" ht="18" customHeight="1" thickBot="1">
      <c r="A43" s="271" t="s">
        <v>24</v>
      </c>
      <c r="B43" s="272" t="s">
        <v>1891</v>
      </c>
      <c r="C43" s="273">
        <f ca="1">ROUND(C40/F43,0)</f>
        <v>38779</v>
      </c>
      <c r="D43" s="274" t="s">
        <v>1892</v>
      </c>
      <c r="E43" s="275" t="s">
        <v>1893</v>
      </c>
      <c r="F43" s="276">
        <f>IF(D1="仅计算典型户型",'数据-取费表'!E5,'数据-取费表'!B5)</f>
        <v>62.57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2426407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-2480721</v>
      </c>
      <c r="D47" s="1456" t="str">
        <f>C2</f>
        <v>元</v>
      </c>
      <c r="E47" s="649"/>
      <c r="F47" s="649"/>
      <c r="I47" s="1457" t="s">
        <v>1904</v>
      </c>
      <c r="J47" s="981"/>
      <c r="K47" s="982"/>
      <c r="L47" s="995">
        <f>IF(M48="住宅",0,IF(L49&gt;J52,L61,J61))</f>
        <v>0</v>
      </c>
      <c r="O47" s="1009" t="s">
        <v>769</v>
      </c>
      <c r="P47" s="1006" t="s">
        <v>1905</v>
      </c>
      <c r="Q47" s="1007">
        <f ca="1">C29</f>
        <v>174162</v>
      </c>
      <c r="R47" s="1008" t="s">
        <v>1900</v>
      </c>
    </row>
    <row r="48" spans="1:18" s="652" customFormat="1" ht="15.75" thickBot="1">
      <c r="A48" s="228" t="s">
        <v>1906</v>
      </c>
      <c r="B48" s="229" t="s">
        <v>1907</v>
      </c>
      <c r="C48" s="229" t="s">
        <v>1908</v>
      </c>
      <c r="D48" s="229" t="s">
        <v>1909</v>
      </c>
      <c r="E48" s="944" t="s">
        <v>1910</v>
      </c>
      <c r="F48" s="945"/>
      <c r="I48" s="1458" t="s">
        <v>1911</v>
      </c>
      <c r="J48" s="1459"/>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c r="K49" s="1463" t="s">
        <v>1916</v>
      </c>
      <c r="L49" s="821">
        <f>'数据-取费表'!B13</f>
        <v>70</v>
      </c>
      <c r="O49" s="1009" t="s">
        <v>771</v>
      </c>
      <c r="P49" s="1006" t="s">
        <v>1917</v>
      </c>
      <c r="Q49" s="1010">
        <f>J53</f>
        <v>0</v>
      </c>
      <c r="R49" s="1008"/>
    </row>
    <row r="50" spans="1:18" s="652" customFormat="1" ht="15.75" thickBot="1">
      <c r="A50" s="260" t="s">
        <v>1774</v>
      </c>
      <c r="B50" s="1370" t="s">
        <v>1918</v>
      </c>
      <c r="C50" s="234">
        <f>ROUND(F50*F52*F51*(1-F53),0)</f>
        <v>0</v>
      </c>
      <c r="D50" s="42" t="s">
        <v>2461</v>
      </c>
      <c r="E50" s="1464" t="s">
        <v>1919</v>
      </c>
      <c r="F50" s="946"/>
      <c r="I50" s="1461" t="s">
        <v>1920</v>
      </c>
      <c r="J50" s="821">
        <f>'数据-取费表'!B27</f>
        <v>2004</v>
      </c>
      <c r="K50" s="1465" t="s">
        <v>1921</v>
      </c>
      <c r="L50" s="984"/>
      <c r="O50" s="1009" t="s">
        <v>772</v>
      </c>
      <c r="P50" s="1006" t="s">
        <v>1922</v>
      </c>
      <c r="Q50" s="1007">
        <f>J54</f>
        <v>70</v>
      </c>
      <c r="R50" s="1008" t="s">
        <v>1923</v>
      </c>
    </row>
    <row r="51" spans="1:18" s="652" customFormat="1" ht="15.75" thickBot="1">
      <c r="A51" s="237"/>
      <c r="B51" s="238"/>
      <c r="C51" s="239"/>
      <c r="D51" s="240"/>
      <c r="E51" s="255" t="s">
        <v>1777</v>
      </c>
      <c r="F51" s="943">
        <f>F7</f>
        <v>62.57</v>
      </c>
      <c r="I51" s="1461" t="s">
        <v>1924</v>
      </c>
      <c r="J51" s="985">
        <f>SUMPRODUCT((I64:I66=J48)*(J63:L63=J49)*(J64:L66))</f>
        <v>0</v>
      </c>
      <c r="K51" s="1465" t="s">
        <v>1925</v>
      </c>
      <c r="L51" s="984"/>
      <c r="O51" s="1005" t="s">
        <v>773</v>
      </c>
      <c r="P51" s="1006" t="str">
        <f>IF(C2="元","收益价值(元)","收益价值(万元)")</f>
        <v>收益价值(元)</v>
      </c>
      <c r="Q51" s="1007">
        <f ca="1">ROUND(IF(C2="元",Q45+Q46,(Q45+Q46)/10000),0)</f>
        <v>2426407</v>
      </c>
      <c r="R51" s="1008" t="s">
        <v>774</v>
      </c>
    </row>
    <row r="52" spans="1:18" s="652" customFormat="1" ht="16.5" thickBot="1">
      <c r="A52" s="237"/>
      <c r="B52" s="238"/>
      <c r="C52" s="239"/>
      <c r="D52" s="240"/>
      <c r="E52" s="235" t="s">
        <v>1779</v>
      </c>
      <c r="F52" s="236">
        <f>F8</f>
        <v>12</v>
      </c>
      <c r="I52" s="1466" t="s">
        <v>1926</v>
      </c>
      <c r="J52" s="986">
        <f>IF(J50="",J51,J50+J51-YEAR('数据-取费表'!B2))</f>
        <v>-18</v>
      </c>
      <c r="K52" s="1467" t="s">
        <v>1927</v>
      </c>
      <c r="L52" s="987">
        <f ca="1">ROUND(-PV('数据-取费表'!B15,J52,(C40-C13*J35)),0)</f>
        <v>-62226209</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2466</v>
      </c>
      <c r="E54" s="246" t="s">
        <v>1783</v>
      </c>
      <c r="F54" s="1451"/>
      <c r="I54" s="1557" t="s">
        <v>2469</v>
      </c>
      <c r="J54" s="989">
        <f>IF(M48="住宅",IF(E1="——",MAX(J52,L49),MAX(J52,L49-'数据-取费表'!B26)),IF(E1="——",MIN(J52,L49),MIN(J52,L49-'数据-取费表'!B26)))</f>
        <v>70</v>
      </c>
      <c r="K54" s="3557" t="s">
        <v>2459</v>
      </c>
      <c r="L54" s="3558"/>
      <c r="O54" s="1005" t="s">
        <v>767</v>
      </c>
      <c r="P54" s="1006" t="s">
        <v>1899</v>
      </c>
      <c r="Q54" s="1007">
        <f ca="1">C40+J29</f>
        <v>2426407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130622</v>
      </c>
      <c r="D57" s="941"/>
      <c r="E57" s="942"/>
      <c r="F57" s="949"/>
      <c r="I57" s="1475" t="s">
        <v>1936</v>
      </c>
      <c r="J57" s="993"/>
      <c r="K57" s="1461" t="s">
        <v>1937</v>
      </c>
      <c r="L57" s="821">
        <f>IF(L49&lt;J52,"——",L49-J52)</f>
        <v>88</v>
      </c>
      <c r="O57" s="1009" t="s">
        <v>770</v>
      </c>
      <c r="P57" s="1006" t="s">
        <v>1938</v>
      </c>
      <c r="Q57" s="1010">
        <f>L53</f>
        <v>0</v>
      </c>
      <c r="R57" s="1008"/>
    </row>
    <row r="58" spans="1:18" s="652" customFormat="1" ht="29.25" thickBot="1">
      <c r="A58" s="948"/>
      <c r="B58" s="235" t="s">
        <v>1868</v>
      </c>
      <c r="C58" s="104">
        <f ca="1">C29</f>
        <v>174162</v>
      </c>
      <c r="D58" s="941"/>
      <c r="E58" s="942"/>
      <c r="F58" s="949"/>
      <c r="I58" s="1476" t="s">
        <v>1939</v>
      </c>
      <c r="J58" s="992" t="str">
        <f>IF(OR(M48="住宅",J52&lt;L49,J57="是"),"——",J52-L49)</f>
        <v>——</v>
      </c>
      <c r="K58" s="1461" t="s">
        <v>1940</v>
      </c>
      <c r="L58" s="821">
        <f ca="1">IF(L49&lt;J52,"——",IF(L56="比较法",L50,IF(L56="基准地价",L51,L52)))</f>
        <v>-62226209</v>
      </c>
      <c r="O58" s="1009" t="s">
        <v>771</v>
      </c>
      <c r="P58" s="1006" t="s">
        <v>1941</v>
      </c>
      <c r="Q58" s="1007" t="e">
        <f>L59</f>
        <v>#DIV/0!</v>
      </c>
      <c r="R58" s="1008" t="s">
        <v>1942</v>
      </c>
    </row>
    <row r="59" spans="1:18" s="652" customFormat="1" ht="29.25" thickBot="1">
      <c r="A59" s="248" t="s">
        <v>14</v>
      </c>
      <c r="B59" s="249" t="s">
        <v>1871</v>
      </c>
      <c r="C59" s="250">
        <f ca="1">ROUND(C60+C65+C66+C67,0)</f>
        <v>2808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2426407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2426407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2612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-62226209</v>
      </c>
      <c r="R65" s="1012" t="s">
        <v>1962</v>
      </c>
    </row>
    <row r="66" spans="1:18" s="652" customFormat="1" ht="20.25" thickBot="1">
      <c r="A66" s="253" t="s">
        <v>20</v>
      </c>
      <c r="B66" s="235" t="s">
        <v>1840</v>
      </c>
      <c r="C66" s="13">
        <f ca="1">ROUND(C57*F66,0)</f>
        <v>196</v>
      </c>
      <c r="D66" s="1259" t="s">
        <v>1841</v>
      </c>
      <c r="E66" s="235" t="s">
        <v>1842</v>
      </c>
      <c r="F66" s="266">
        <f t="shared" si="0"/>
        <v>1.5E-3</v>
      </c>
      <c r="I66" s="1479" t="s">
        <v>1963</v>
      </c>
      <c r="J66" s="1251">
        <v>40</v>
      </c>
      <c r="K66" s="1251">
        <v>30</v>
      </c>
      <c r="L66" s="1251">
        <v>50</v>
      </c>
      <c r="M66" s="1249">
        <v>0.02</v>
      </c>
      <c r="O66" s="1009" t="s">
        <v>770</v>
      </c>
      <c r="P66" s="1013" t="s">
        <v>1964</v>
      </c>
      <c r="Q66" s="1007">
        <f ca="1">ROUND(Q67-Q68*Q69,0)</f>
        <v>57338</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57338</v>
      </c>
      <c r="R67" s="1008" t="s">
        <v>1900</v>
      </c>
    </row>
    <row r="68" spans="1:18" ht="15.75" thickBot="1">
      <c r="A68" s="248" t="s">
        <v>22</v>
      </c>
      <c r="B68" s="41" t="s">
        <v>1850</v>
      </c>
      <c r="C68" s="250">
        <f ca="1">C49-C59</f>
        <v>-2808</v>
      </c>
      <c r="D68" s="1256" t="s">
        <v>1851</v>
      </c>
      <c r="E68" s="1258"/>
      <c r="F68" s="268"/>
      <c r="H68" s="652"/>
      <c r="I68" s="652"/>
      <c r="J68" s="652"/>
      <c r="K68" s="652"/>
      <c r="L68" s="652"/>
      <c r="M68" s="652"/>
      <c r="O68" s="1009" t="s">
        <v>776</v>
      </c>
      <c r="P68" s="1013" t="s">
        <v>1966</v>
      </c>
      <c r="Q68" s="1007">
        <f ca="1">C13</f>
        <v>130622</v>
      </c>
      <c r="R68" s="1008" t="s">
        <v>1900</v>
      </c>
    </row>
    <row r="69" spans="1:18" ht="15.75" thickBot="1">
      <c r="A69" s="232" t="s">
        <v>23</v>
      </c>
      <c r="B69" s="233" t="s">
        <v>1888</v>
      </c>
      <c r="C69" s="234">
        <f ca="1">ROUND(C68*(1-((1+F71)/(1+F69))^F70)/(F69-F71),0)</f>
        <v>-54314</v>
      </c>
      <c r="D69" s="261" t="s">
        <v>1856</v>
      </c>
      <c r="E69" s="235" t="s">
        <v>1857</v>
      </c>
      <c r="F69" s="245">
        <f>F40</f>
        <v>0.05</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70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-868</v>
      </c>
      <c r="D72" s="274" t="s">
        <v>1892</v>
      </c>
      <c r="E72" s="275" t="s">
        <v>1893</v>
      </c>
      <c r="F72" s="276">
        <f>F43</f>
        <v>62.57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2426407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5" t="s">
        <v>2653</v>
      </c>
      <c r="K2" s="356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7" t="s">
        <v>2663</v>
      </c>
      <c r="K3" s="356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7" t="s">
        <v>2665</v>
      </c>
      <c r="K4" s="356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3" t="s">
        <v>2669</v>
      </c>
      <c r="B6" s="3574"/>
      <c r="C6" s="3575"/>
      <c r="D6" s="3154"/>
      <c r="E6" s="3098"/>
      <c r="F6" s="3099"/>
      <c r="G6" s="3199"/>
      <c r="H6" s="3185"/>
      <c r="I6" s="3186"/>
      <c r="J6" s="3559">
        <v>1</v>
      </c>
      <c r="K6" s="356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9"/>
      <c r="K7" s="356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6" t="s">
        <v>2682</v>
      </c>
      <c r="C8" s="3577"/>
      <c r="D8" s="3108" t="s">
        <v>2683</v>
      </c>
      <c r="E8" s="3109" t="s">
        <v>2684</v>
      </c>
      <c r="F8" s="3092" t="s">
        <v>2685</v>
      </c>
      <c r="G8" s="3262" t="s">
        <v>2793</v>
      </c>
      <c r="H8" s="3185"/>
      <c r="I8" s="3186"/>
      <c r="J8" s="3559"/>
      <c r="K8" s="356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6" t="s">
        <v>2687</v>
      </c>
      <c r="C9" s="3577"/>
      <c r="D9" s="3108">
        <f>ROUND(D6*E9,0)</f>
        <v>0</v>
      </c>
      <c r="E9" s="3155"/>
      <c r="F9" s="3110" t="s">
        <v>2688</v>
      </c>
      <c r="G9" s="3208" t="s">
        <v>2791</v>
      </c>
      <c r="H9" s="3185"/>
      <c r="I9" s="3186"/>
      <c r="J9" s="3559"/>
      <c r="K9" s="3561"/>
      <c r="L9" s="3203" t="s">
        <v>2781</v>
      </c>
      <c r="M9" s="3204"/>
      <c r="N9" s="3204"/>
      <c r="O9" s="3205"/>
      <c r="P9" s="3205"/>
      <c r="Q9" s="3206">
        <v>365</v>
      </c>
      <c r="R9" s="3207">
        <f t="shared" si="0"/>
        <v>0</v>
      </c>
      <c r="S9" s="3183"/>
      <c r="T9" s="3183"/>
      <c r="U9" s="3183"/>
      <c r="V9" s="3186"/>
      <c r="W9" s="3185"/>
    </row>
    <row r="10" spans="1:23" s="3091" customFormat="1" ht="13.15" customHeight="1">
      <c r="A10" s="3107">
        <v>2</v>
      </c>
      <c r="B10" s="3576" t="s">
        <v>2689</v>
      </c>
      <c r="C10" s="3577"/>
      <c r="D10" s="3108">
        <f>ROUND(D6*E10,0)</f>
        <v>0</v>
      </c>
      <c r="E10" s="3155"/>
      <c r="F10" s="3110" t="s">
        <v>2690</v>
      </c>
      <c r="G10" s="3208" t="s">
        <v>2792</v>
      </c>
      <c r="H10" s="3185"/>
      <c r="I10" s="3186"/>
      <c r="J10" s="3559"/>
      <c r="K10" s="356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6" t="s">
        <v>2691</v>
      </c>
      <c r="C11" s="3577"/>
      <c r="D11" s="3108">
        <f>D12+D14+D15+D16</f>
        <v>0</v>
      </c>
      <c r="E11" s="3111" t="e">
        <f>D11/D6</f>
        <v>#DIV/0!</v>
      </c>
      <c r="F11" s="3092"/>
      <c r="G11" s="3208"/>
      <c r="H11" s="3185"/>
      <c r="I11" s="3186"/>
      <c r="J11" s="3559"/>
      <c r="K11" s="356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9" t="s">
        <v>2693</v>
      </c>
      <c r="C12" s="3570"/>
      <c r="D12" s="3113">
        <f>ROUND(D13*1.2%*(1-30%),0)</f>
        <v>0</v>
      </c>
      <c r="E12" s="3114">
        <v>1.2E-2</v>
      </c>
      <c r="F12" s="3092" t="s">
        <v>2694</v>
      </c>
      <c r="G12" s="3208"/>
      <c r="H12" s="3185"/>
      <c r="I12" s="3186"/>
      <c r="J12" s="3559"/>
      <c r="K12" s="356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9"/>
      <c r="K13" s="356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9" t="s">
        <v>2697</v>
      </c>
      <c r="C14" s="3570"/>
      <c r="D14" s="3113">
        <f>ROUND(E14*B5/10000,0)</f>
        <v>0</v>
      </c>
      <c r="E14" s="3157"/>
      <c r="F14" s="3092" t="s">
        <v>2698</v>
      </c>
      <c r="G14" s="3208"/>
      <c r="H14" s="3185"/>
      <c r="I14" s="3186"/>
      <c r="J14" s="3559"/>
      <c r="K14" s="356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9" t="s">
        <v>2701</v>
      </c>
      <c r="C15" s="3570"/>
      <c r="D15" s="3113">
        <f>ROUND(D6*E15,0)</f>
        <v>0</v>
      </c>
      <c r="E15" s="3114">
        <v>5.5E-2</v>
      </c>
      <c r="F15" s="3092" t="s">
        <v>2702</v>
      </c>
      <c r="G15" s="3208"/>
      <c r="H15" s="3185"/>
      <c r="I15" s="3186"/>
      <c r="J15" s="3559">
        <v>2</v>
      </c>
      <c r="K15" s="356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9" t="s">
        <v>2712</v>
      </c>
      <c r="C16" s="3570"/>
      <c r="D16" s="3158">
        <f>D6*E16</f>
        <v>0</v>
      </c>
      <c r="E16" s="3159"/>
      <c r="F16" s="3110" t="s">
        <v>2713</v>
      </c>
      <c r="G16" s="3208"/>
      <c r="H16" s="3185"/>
      <c r="I16" s="3186"/>
      <c r="J16" s="3559"/>
      <c r="K16" s="356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2714</v>
      </c>
      <c r="C17" s="3572"/>
      <c r="D17" s="3119">
        <f>ROUND(D6*E17,0)</f>
        <v>0</v>
      </c>
      <c r="E17" s="3160"/>
      <c r="F17" s="3120" t="s">
        <v>2715</v>
      </c>
      <c r="G17" s="3261">
        <v>0.1</v>
      </c>
      <c r="H17" s="3185"/>
      <c r="I17" s="3186"/>
      <c r="J17" s="3559"/>
      <c r="K17" s="356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9"/>
      <c r="K18" s="356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9"/>
      <c r="K19" s="356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9"/>
      <c r="K21" s="356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9"/>
      <c r="K22" s="356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9"/>
      <c r="K23" s="356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9"/>
      <c r="K24" s="356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3">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5" t="s">
        <v>2751</v>
      </c>
      <c r="K32" s="356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7" t="s">
        <v>2755</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7" t="s">
        <v>2757</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9">
        <v>1</v>
      </c>
      <c r="K36" s="356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9"/>
      <c r="K40" s="356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4" zoomScale="80" zoomScaleNormal="70" zoomScaleSheetLayoutView="80" workbookViewId="0">
      <selection activeCell="K32" sqref="K32"/>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5.7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2505</v>
      </c>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4596348</v>
      </c>
      <c r="C2" s="1579" t="str">
        <f>'数据-取费表'!B3</f>
        <v>元</v>
      </c>
      <c r="D2" s="1580" t="s">
        <v>1001</v>
      </c>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73459</v>
      </c>
      <c r="C3" s="1588" t="s">
        <v>2005</v>
      </c>
      <c r="D3" s="1588">
        <f>IF(C1="仅计算典型户型",'数据-取费表'!E5,'数据-取费表'!B5)</f>
        <v>62.57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73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2017</v>
      </c>
      <c r="D6" s="3609"/>
      <c r="E6" s="3735" t="s">
        <v>3048</v>
      </c>
      <c r="F6" s="3611"/>
      <c r="G6" s="3736" t="s">
        <v>3049</v>
      </c>
      <c r="H6" s="3609"/>
      <c r="I6" s="3736" t="s">
        <v>3050</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44782</v>
      </c>
      <c r="D7" s="1604">
        <v>100</v>
      </c>
      <c r="E7" s="1605">
        <v>44781</v>
      </c>
      <c r="F7" s="1606">
        <f>SUMIF(58:58,YEAR(E7)&amp;"-"&amp;MONTH(E7),59:59)</f>
        <v>100</v>
      </c>
      <c r="G7" s="1605">
        <v>44661</v>
      </c>
      <c r="H7" s="1604">
        <f>SUMIF(58:58,YEAR(G7)&amp;"-"&amp;MONTH(G7),59:59)</f>
        <v>99.5</v>
      </c>
      <c r="I7" s="1605">
        <v>44559</v>
      </c>
      <c r="J7" s="1604">
        <f>SUMIF(58:58,YEAR(I7)&amp;"-"&amp;MONTH(I7),59:59)</f>
        <v>98.5</v>
      </c>
      <c r="K7" s="1607"/>
      <c r="L7" s="2915"/>
      <c r="M7" s="2888"/>
      <c r="N7" s="2888"/>
      <c r="O7" s="2888"/>
      <c r="P7" s="3619" t="s">
        <v>2020</v>
      </c>
      <c r="Q7" s="3621"/>
      <c r="R7" s="1609" t="s">
        <v>34</v>
      </c>
      <c r="S7" s="1610">
        <f t="shared" ref="S7:S15" si="0">F7</f>
        <v>100</v>
      </c>
      <c r="T7" s="1609" t="s">
        <v>34</v>
      </c>
      <c r="U7" s="1610">
        <f t="shared" ref="U7:U15" si="1">H7</f>
        <v>99.5</v>
      </c>
      <c r="V7" s="1609" t="s">
        <v>34</v>
      </c>
      <c r="W7" s="1610">
        <f t="shared" ref="W7:W15" si="2">J7</f>
        <v>98.5</v>
      </c>
      <c r="X7" s="1611"/>
      <c r="Y7" s="3619" t="s">
        <v>2020</v>
      </c>
      <c r="Z7" s="3620"/>
      <c r="AA7" s="1612">
        <f>D7/F7</f>
        <v>1</v>
      </c>
      <c r="AB7" s="1612">
        <f>D7/H7</f>
        <v>1.0050251256281406</v>
      </c>
      <c r="AC7" s="1612">
        <f>D7/J7</f>
        <v>1.015228426395939</v>
      </c>
    </row>
    <row r="8" spans="1:29" s="1613" customFormat="1" ht="15.75" thickBot="1">
      <c r="A8" s="1601" t="s">
        <v>2021</v>
      </c>
      <c r="B8" s="1602"/>
      <c r="C8" s="1614" t="s">
        <v>2022</v>
      </c>
      <c r="D8" s="1604">
        <v>100</v>
      </c>
      <c r="E8" s="1615" t="s">
        <v>2638</v>
      </c>
      <c r="F8" s="1606">
        <f>SUMIF(61:61,E8,62:62)-SUMIF(61:61,C8,62:62)+100</f>
        <v>100</v>
      </c>
      <c r="G8" s="1614" t="s">
        <v>2638</v>
      </c>
      <c r="H8" s="1604">
        <f>SUMIF(61:61,G8,62:62)-SUMIF(61:61,C8,62:62)+100</f>
        <v>100</v>
      </c>
      <c r="I8" s="1615" t="s">
        <v>2638</v>
      </c>
      <c r="J8" s="1604">
        <f>SUMIF(61:61,I8,62:62)-SUMIF(61:61,C8,62:62)+100</f>
        <v>100</v>
      </c>
      <c r="K8" s="1607"/>
      <c r="L8" s="2915"/>
      <c r="M8" s="2888"/>
      <c r="N8" s="2888"/>
      <c r="O8" s="2888"/>
      <c r="P8" s="3619" t="s">
        <v>2023</v>
      </c>
      <c r="Q8" s="3620"/>
      <c r="R8" s="1609" t="s">
        <v>34</v>
      </c>
      <c r="S8" s="1610">
        <f t="shared" si="0"/>
        <v>100</v>
      </c>
      <c r="T8" s="1609" t="s">
        <v>34</v>
      </c>
      <c r="U8" s="1610">
        <f t="shared" si="1"/>
        <v>100</v>
      </c>
      <c r="V8" s="1609" t="s">
        <v>34</v>
      </c>
      <c r="W8" s="1610">
        <f t="shared" si="2"/>
        <v>100</v>
      </c>
      <c r="X8" s="1611"/>
      <c r="Y8" s="3619" t="s">
        <v>2023</v>
      </c>
      <c r="Z8" s="3620"/>
      <c r="AA8" s="1612">
        <f t="shared" ref="AA8:AA46" si="3">D8/F8</f>
        <v>1</v>
      </c>
      <c r="AB8" s="1612">
        <f t="shared" ref="AB8:AB46" si="4">D8/H8</f>
        <v>1</v>
      </c>
      <c r="AC8" s="1612">
        <f t="shared" ref="AC8:AC46" si="5">D8/J8</f>
        <v>1</v>
      </c>
    </row>
    <row r="9" spans="1:29" s="1613" customFormat="1" ht="15" thickBot="1">
      <c r="A9" s="1564" t="s">
        <v>2024</v>
      </c>
      <c r="B9" s="1616" t="s">
        <v>2025</v>
      </c>
      <c r="C9" s="3737" t="s">
        <v>3051</v>
      </c>
      <c r="D9" s="1618">
        <v>100</v>
      </c>
      <c r="E9" s="1619" t="s">
        <v>2642</v>
      </c>
      <c r="F9" s="1620">
        <f>SUMIF(63:63,E9,64:64)-SUMIF(63:63,C9,64:64)+100</f>
        <v>100</v>
      </c>
      <c r="G9" s="1621" t="s">
        <v>2642</v>
      </c>
      <c r="H9" s="1618">
        <f>SUMIF(63:63,G9,64:64)-SUMIF(63:63,C9,64:64)+100</f>
        <v>100</v>
      </c>
      <c r="I9" s="1621" t="s">
        <v>2642</v>
      </c>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hidden="1">
      <c r="A10" s="1623"/>
      <c r="B10" s="1624" t="s">
        <v>2028</v>
      </c>
      <c r="C10" s="1625" t="s">
        <v>3052</v>
      </c>
      <c r="D10" s="1626">
        <v>100</v>
      </c>
      <c r="E10" s="1627" t="s">
        <v>3052</v>
      </c>
      <c r="F10" s="1628">
        <f>SUMIF(65:65,E10,66:66)-SUMIF(65:65,C10,66:66)+100</f>
        <v>100</v>
      </c>
      <c r="G10" s="1625" t="s">
        <v>3052</v>
      </c>
      <c r="H10" s="1626">
        <f>SUMIF(65:65,G10,66:66)-SUMIF(65:65,C10,66:66)+100</f>
        <v>100</v>
      </c>
      <c r="I10" s="1625" t="s">
        <v>3052</v>
      </c>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hidden="1">
      <c r="A11" s="1631"/>
      <c r="B11" s="1624" t="s">
        <v>2029</v>
      </c>
      <c r="C11" s="1632">
        <v>2</v>
      </c>
      <c r="D11" s="1626">
        <v>100</v>
      </c>
      <c r="E11" s="1633">
        <v>2</v>
      </c>
      <c r="F11" s="1628">
        <f>LOOKUP(E11,68:68,69:69)-LOOKUP(C11,68:68,69:69)+100</f>
        <v>100</v>
      </c>
      <c r="G11" s="1632">
        <v>2</v>
      </c>
      <c r="H11" s="1626">
        <f>LOOKUP(G11,68:68,69:69)-LOOKUP(C11,68:68,69:69)+100</f>
        <v>100</v>
      </c>
      <c r="I11" s="1632">
        <v>2</v>
      </c>
      <c r="J11" s="1626">
        <f>LOOKUP(I11,68:68,69:69)-LOOKUP(C11,68:68,69:69)+100</f>
        <v>100</v>
      </c>
      <c r="K11" s="1629"/>
      <c r="L11" s="2919"/>
      <c r="M11" s="2916"/>
      <c r="N11" s="2916"/>
      <c r="O11" s="2916"/>
      <c r="P11" s="3622"/>
      <c r="Q11" s="1563" t="str">
        <f t="shared" si="6"/>
        <v>容积率</v>
      </c>
      <c r="R11" s="1609" t="s">
        <v>28</v>
      </c>
      <c r="S11" s="1610">
        <f t="shared" si="0"/>
        <v>100</v>
      </c>
      <c r="T11" s="1609" t="s">
        <v>28</v>
      </c>
      <c r="U11" s="1610">
        <f t="shared" si="1"/>
        <v>100</v>
      </c>
      <c r="V11" s="1609" t="s">
        <v>28</v>
      </c>
      <c r="W11" s="1610">
        <f t="shared" si="2"/>
        <v>100</v>
      </c>
      <c r="X11" s="1611"/>
      <c r="Y11" s="3487"/>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t="s">
        <v>30</v>
      </c>
      <c r="D16" s="1660"/>
      <c r="E16" s="1661" t="s">
        <v>30</v>
      </c>
      <c r="F16" s="1662"/>
      <c r="G16" s="1663" t="s">
        <v>30</v>
      </c>
      <c r="H16" s="1664"/>
      <c r="I16" s="1661" t="s">
        <v>30</v>
      </c>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t="s">
        <v>3057</v>
      </c>
      <c r="D26" s="1640">
        <v>100</v>
      </c>
      <c r="E26" s="1682" t="s">
        <v>3057</v>
      </c>
      <c r="F26" s="1683">
        <f>SUMIF(88:88,E26,89:89)-SUMIF(88:88,C26,89:89)+100</f>
        <v>100</v>
      </c>
      <c r="G26" s="1684" t="s">
        <v>3055</v>
      </c>
      <c r="H26" s="1640">
        <f>SUMIF(88:88,G26,89:89)-SUMIF(88:88,C26,89:89)+100</f>
        <v>101</v>
      </c>
      <c r="I26" s="1682" t="s">
        <v>3055</v>
      </c>
      <c r="J26" s="1640">
        <f>SUMIF(88:88,I26,89:89)-SUMIF(88:88,C26,89:89)+100</f>
        <v>101</v>
      </c>
      <c r="K26" s="1629">
        <v>1</v>
      </c>
      <c r="L26" s="2920"/>
      <c r="M26" s="2916"/>
      <c r="N26" s="2916"/>
      <c r="O26" s="2916"/>
      <c r="P26" s="3626"/>
      <c r="Q26" s="1544" t="str">
        <f t="shared" si="11"/>
        <v>朝向</v>
      </c>
      <c r="R26" s="1654" t="s">
        <v>28</v>
      </c>
      <c r="S26" s="1655">
        <f>F26</f>
        <v>100</v>
      </c>
      <c r="T26" s="1654" t="s">
        <v>28</v>
      </c>
      <c r="U26" s="1655">
        <f>H26</f>
        <v>101</v>
      </c>
      <c r="V26" s="1654" t="s">
        <v>28</v>
      </c>
      <c r="W26" s="1655">
        <f>J26</f>
        <v>101</v>
      </c>
      <c r="X26" s="1594"/>
      <c r="Y26" s="3613"/>
      <c r="Z26" s="1656" t="str">
        <f>Q26</f>
        <v>朝向</v>
      </c>
      <c r="AA26" s="1657">
        <f t="shared" si="3"/>
        <v>1</v>
      </c>
      <c r="AB26" s="1657">
        <f t="shared" si="4"/>
        <v>0.99009900990099009</v>
      </c>
      <c r="AC26" s="1657">
        <f t="shared" si="5"/>
        <v>0.99009900990099009</v>
      </c>
    </row>
    <row r="27" spans="1:29" s="1613" customFormat="1" ht="27">
      <c r="A27" s="1634"/>
      <c r="B27" s="1635" t="s">
        <v>2034</v>
      </c>
      <c r="C27" s="3742" t="s">
        <v>3061</v>
      </c>
      <c r="D27" s="1685">
        <v>100</v>
      </c>
      <c r="E27" s="3742" t="s">
        <v>3061</v>
      </c>
      <c r="F27" s="1687">
        <f>SUMIF(90:90,E27,91:91)-SUMIF(90:90,C27,91:91)+100</f>
        <v>100</v>
      </c>
      <c r="G27" s="3742" t="s">
        <v>3061</v>
      </c>
      <c r="H27" s="1685">
        <f>SUMIF(90:90,G27,91:91)-SUMIF(90:90,C27,91:91)+100</f>
        <v>100</v>
      </c>
      <c r="I27" s="3742" t="s">
        <v>3061</v>
      </c>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75" thickBot="1">
      <c r="A28" s="1631"/>
      <c r="B28" s="3739" t="s">
        <v>3054</v>
      </c>
      <c r="C28" s="3738" t="s">
        <v>3053</v>
      </c>
      <c r="D28" s="1640">
        <v>100</v>
      </c>
      <c r="E28" s="3738" t="str">
        <f>D92</f>
        <v>3/6</v>
      </c>
      <c r="F28" s="1683">
        <f>SUMIF(92:92,E28,93:93)-SUMIF(92:92,C28,93:93)+100</f>
        <v>101</v>
      </c>
      <c r="G28" s="3738" t="str">
        <f>C92</f>
        <v>5/6</v>
      </c>
      <c r="H28" s="1640">
        <f>SUMIF(92:92,G28,93:93)-SUMIF(92:92,C28,93:93)+100</f>
        <v>100</v>
      </c>
      <c r="I28" s="3738" t="str">
        <f>E92</f>
        <v>7/9</v>
      </c>
      <c r="J28" s="1640">
        <f>SUMIF(92:92,I28,93:93)-SUMIF(92:92,C28,93:93)+100</f>
        <v>101</v>
      </c>
      <c r="K28" s="1638"/>
      <c r="L28" s="2920"/>
      <c r="M28" s="2916"/>
      <c r="N28" s="2916"/>
      <c r="O28" s="2916"/>
      <c r="P28" s="3626"/>
      <c r="Q28" s="1544" t="str">
        <f t="shared" si="11"/>
        <v>楼层</v>
      </c>
      <c r="R28" s="1654" t="s">
        <v>28</v>
      </c>
      <c r="S28" s="1655">
        <f t="shared" ref="S28:S46" si="12">F28</f>
        <v>101</v>
      </c>
      <c r="T28" s="1654" t="s">
        <v>28</v>
      </c>
      <c r="U28" s="1655">
        <f t="shared" ref="U28:U46" si="13">H28</f>
        <v>100</v>
      </c>
      <c r="V28" s="1654" t="s">
        <v>28</v>
      </c>
      <c r="W28" s="1655">
        <f t="shared" ref="W28:W46" si="14">J28</f>
        <v>101</v>
      </c>
      <c r="X28" s="1594"/>
      <c r="Y28" s="3613"/>
      <c r="Z28" s="1656" t="str">
        <f t="shared" ref="Z28:Z46" si="15">Q28</f>
        <v>楼层</v>
      </c>
      <c r="AA28" s="1657">
        <f t="shared" si="3"/>
        <v>0.99009900990099009</v>
      </c>
      <c r="AB28" s="1657">
        <f t="shared" si="4"/>
        <v>1</v>
      </c>
      <c r="AC28" s="1657">
        <f t="shared" si="5"/>
        <v>0.99009900990099009</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t="s">
        <v>3077</v>
      </c>
      <c r="D32" s="1691">
        <v>100</v>
      </c>
      <c r="E32" s="1692" t="s">
        <v>3077</v>
      </c>
      <c r="F32" s="1683">
        <f>SUMIF(100:100,E32,101:101)-SUMIF(100:100,C32,101:101)+100</f>
        <v>100</v>
      </c>
      <c r="G32" s="1690" t="s">
        <v>3077</v>
      </c>
      <c r="H32" s="1691">
        <f>SUMIF(100:100,G32,101:101)-SUMIF(100:100,C32,101:101)+100</f>
        <v>100</v>
      </c>
      <c r="I32" s="1692" t="s">
        <v>3079</v>
      </c>
      <c r="J32" s="1640">
        <f>SUMIF(100:100,I32,101:101)-SUMIF(100:100,C32,101:101)+100</f>
        <v>96</v>
      </c>
      <c r="K32" s="1629">
        <v>4</v>
      </c>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96</v>
      </c>
      <c r="X32" s="1594"/>
      <c r="Y32" s="3617" t="s">
        <v>2037</v>
      </c>
      <c r="Z32" s="1656" t="str">
        <f t="shared" si="15"/>
        <v>建筑类型</v>
      </c>
      <c r="AA32" s="1657">
        <f t="shared" si="3"/>
        <v>1</v>
      </c>
      <c r="AB32" s="1657">
        <f t="shared" si="4"/>
        <v>1</v>
      </c>
      <c r="AC32" s="1657">
        <f t="shared" si="5"/>
        <v>1.0416666666666667</v>
      </c>
    </row>
    <row r="33" spans="1:29" s="1700" customFormat="1" ht="15">
      <c r="A33" s="1693"/>
      <c r="B33" s="1624" t="s">
        <v>2038</v>
      </c>
      <c r="C33" s="1694">
        <f>项目基本情况!C12</f>
        <v>62.57</v>
      </c>
      <c r="D33" s="1626">
        <v>100</v>
      </c>
      <c r="E33" s="1633">
        <v>68.42</v>
      </c>
      <c r="F33" s="1628">
        <f>LOOKUP(E33,103:103,104:104)-LOOKUP(C33,103:103,104:104)+100</f>
        <v>100</v>
      </c>
      <c r="G33" s="1632">
        <v>63.14</v>
      </c>
      <c r="H33" s="1626">
        <f>LOOKUP(G33,103:103,104:104)-LOOKUP(C33,103:103,104:104)+100</f>
        <v>100</v>
      </c>
      <c r="I33" s="1633">
        <v>64.459999999999994</v>
      </c>
      <c r="J33" s="1626">
        <f>LOOKUP(I33,103:103,104:104)-LOOKUP(C33,103:103,104:104)+100</f>
        <v>100</v>
      </c>
      <c r="K33" s="1638"/>
      <c r="L33" s="2919"/>
      <c r="M33" s="1988"/>
      <c r="N33" s="1988"/>
      <c r="O33" s="1988"/>
      <c r="P33" s="3615"/>
      <c r="Q33" s="1695" t="str">
        <f t="shared" si="11"/>
        <v>项目建筑规模</v>
      </c>
      <c r="R33" s="1696" t="s">
        <v>28</v>
      </c>
      <c r="S33" s="1697">
        <f t="shared" si="12"/>
        <v>100</v>
      </c>
      <c r="T33" s="1696" t="s">
        <v>28</v>
      </c>
      <c r="U33" s="1697">
        <f t="shared" si="13"/>
        <v>100</v>
      </c>
      <c r="V33" s="1696" t="s">
        <v>28</v>
      </c>
      <c r="W33" s="1697">
        <f t="shared" si="14"/>
        <v>100</v>
      </c>
      <c r="X33" s="1698"/>
      <c r="Y33" s="3617"/>
      <c r="Z33" s="1699" t="str">
        <f t="shared" si="15"/>
        <v>项目建筑规模</v>
      </c>
      <c r="AA33" s="1657">
        <f t="shared" si="3"/>
        <v>1</v>
      </c>
      <c r="AB33" s="1657">
        <f t="shared" si="4"/>
        <v>1</v>
      </c>
      <c r="AC33" s="1657">
        <f t="shared" si="5"/>
        <v>1</v>
      </c>
    </row>
    <row r="34" spans="1:29" ht="15">
      <c r="A34" s="1701"/>
      <c r="B34" s="1624" t="s">
        <v>2039</v>
      </c>
      <c r="C34" s="1702" t="s">
        <v>3075</v>
      </c>
      <c r="D34" s="1640">
        <v>100</v>
      </c>
      <c r="E34" s="1703" t="s">
        <v>3075</v>
      </c>
      <c r="F34" s="1683">
        <f>SUMIF(105:105,E34,106:106)-SUMIF(105:105,C34,106:106)+100</f>
        <v>100</v>
      </c>
      <c r="G34" s="1702" t="s">
        <v>3075</v>
      </c>
      <c r="H34" s="1640">
        <f>SUMIF(105:105,G34,106:106)-SUMIF(105:105,C34,106:106)+100</f>
        <v>100</v>
      </c>
      <c r="I34" s="1703" t="s">
        <v>3073</v>
      </c>
      <c r="J34" s="1640">
        <f>SUMIF(105:105,I34,106:106)-SUMIF(105:105,C34,106:106)+100</f>
        <v>102</v>
      </c>
      <c r="K34" s="1629">
        <v>2</v>
      </c>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102</v>
      </c>
      <c r="X34" s="1594"/>
      <c r="Y34" s="3617"/>
      <c r="Z34" s="1656" t="str">
        <f t="shared" si="15"/>
        <v>建筑结构</v>
      </c>
      <c r="AA34" s="1657">
        <f t="shared" si="3"/>
        <v>1</v>
      </c>
      <c r="AB34" s="1657">
        <f t="shared" si="4"/>
        <v>1</v>
      </c>
      <c r="AC34" s="1657">
        <f t="shared" si="5"/>
        <v>0.98039215686274506</v>
      </c>
    </row>
    <row r="35" spans="1:29" ht="15" hidden="1">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t="s">
        <v>3065</v>
      </c>
      <c r="D36" s="1640">
        <v>100</v>
      </c>
      <c r="E36" s="1682" t="s">
        <v>3065</v>
      </c>
      <c r="F36" s="1683">
        <f>SUMIF(109:109,E36,110:110)-SUMIF(109:109,C36,110:110)+100</f>
        <v>100</v>
      </c>
      <c r="G36" s="1684" t="s">
        <v>3065</v>
      </c>
      <c r="H36" s="1640">
        <f>SUMIF(109:109,G36,110:110)-SUMIF(109:109,C36,110:110)+100</f>
        <v>100</v>
      </c>
      <c r="I36" s="1682" t="s">
        <v>3065</v>
      </c>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v>0.75</v>
      </c>
      <c r="D37" s="1626">
        <v>100</v>
      </c>
      <c r="E37" s="1706">
        <f>C37</f>
        <v>0.75</v>
      </c>
      <c r="F37" s="1628">
        <f>LOOKUP(E37,112:112,113:113)-LOOKUP(C37,112:112,113:113)+100</f>
        <v>100</v>
      </c>
      <c r="G37" s="1707">
        <f>C37</f>
        <v>0.75</v>
      </c>
      <c r="H37" s="1626">
        <f>LOOKUP(G37,112:112,113:113)-LOOKUP(C37,112:112,113:113)+100</f>
        <v>100</v>
      </c>
      <c r="I37" s="1706">
        <f>C37</f>
        <v>0.75</v>
      </c>
      <c r="J37" s="1626">
        <f>LOOKUP(I37,112:112,113:113)-LOOKUP(C37,112:112,113:113)+100</f>
        <v>100</v>
      </c>
      <c r="K37" s="1629"/>
      <c r="L37" s="2915"/>
      <c r="M37" s="2888"/>
      <c r="N37" s="2888"/>
      <c r="O37" s="2888"/>
      <c r="P37" s="3615"/>
      <c r="Q37" s="1563" t="str">
        <f t="shared" si="11"/>
        <v>成新度</v>
      </c>
      <c r="R37" s="1609" t="s">
        <v>28</v>
      </c>
      <c r="S37" s="1610">
        <f t="shared" si="12"/>
        <v>100</v>
      </c>
      <c r="T37" s="1609" t="s">
        <v>28</v>
      </c>
      <c r="U37" s="1610">
        <f t="shared" si="13"/>
        <v>100</v>
      </c>
      <c r="V37" s="1609" t="s">
        <v>28</v>
      </c>
      <c r="W37" s="1610">
        <f t="shared" si="14"/>
        <v>100</v>
      </c>
      <c r="X37" s="1611"/>
      <c r="Y37" s="3617"/>
      <c r="Z37" s="1622" t="str">
        <f t="shared" si="15"/>
        <v>成新度</v>
      </c>
      <c r="AA37" s="1612">
        <f t="shared" si="3"/>
        <v>1</v>
      </c>
      <c r="AB37" s="1612">
        <f t="shared" si="4"/>
        <v>1</v>
      </c>
      <c r="AC37" s="1612">
        <f t="shared" si="5"/>
        <v>1</v>
      </c>
    </row>
    <row r="38" spans="1:29" ht="15">
      <c r="A38" s="1701"/>
      <c r="B38" s="1624" t="s">
        <v>2043</v>
      </c>
      <c r="C38" s="1684" t="s">
        <v>3071</v>
      </c>
      <c r="D38" s="1640">
        <v>100</v>
      </c>
      <c r="E38" s="1682" t="s">
        <v>3071</v>
      </c>
      <c r="F38" s="1683">
        <f>SUMIF(114:114,E38,115:115)-SUMIF(114:114,C38,115:115)+100</f>
        <v>100</v>
      </c>
      <c r="G38" s="1684" t="s">
        <v>3071</v>
      </c>
      <c r="H38" s="1640">
        <f>SUMIF(114:114,G38,115:115)-SUMIF(114:114,C38,115:115)+100</f>
        <v>100</v>
      </c>
      <c r="I38" s="1682" t="s">
        <v>3071</v>
      </c>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t="s">
        <v>3069</v>
      </c>
      <c r="D39" s="1640">
        <v>100</v>
      </c>
      <c r="E39" s="1682" t="s">
        <v>3069</v>
      </c>
      <c r="F39" s="1683">
        <f>SUMIF(116:116,E39,117:117)-SUMIF(116:116,C39,117:117)+100</f>
        <v>100</v>
      </c>
      <c r="G39" s="1684" t="s">
        <v>3069</v>
      </c>
      <c r="H39" s="1640">
        <f>SUMIF(116:116,G39,117:117)-SUMIF(116:116,C39,117:117)+100</f>
        <v>100</v>
      </c>
      <c r="I39" s="1682" t="s">
        <v>3069</v>
      </c>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t="s">
        <v>3067</v>
      </c>
      <c r="D40" s="1640">
        <v>100</v>
      </c>
      <c r="E40" s="1682" t="s">
        <v>3067</v>
      </c>
      <c r="F40" s="1683">
        <f>SUMIF(118:118,E40,119:119)-SUMIF(118:118,C40,119:119)+100</f>
        <v>100</v>
      </c>
      <c r="G40" s="1684" t="s">
        <v>3067</v>
      </c>
      <c r="H40" s="1640">
        <f>SUMIF(118:118,G40,119:119)-SUMIF(118:118,C40,119:119)+100</f>
        <v>100</v>
      </c>
      <c r="I40" s="1682" t="s">
        <v>3067</v>
      </c>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t="s">
        <v>3065</v>
      </c>
      <c r="D42" s="1640">
        <v>100</v>
      </c>
      <c r="E42" s="1682" t="s">
        <v>3065</v>
      </c>
      <c r="F42" s="1683">
        <f>SUMIF(122:122,E42,123:123)-SUMIF(122:122,C42,123:123)+100</f>
        <v>100</v>
      </c>
      <c r="G42" s="1684" t="s">
        <v>3065</v>
      </c>
      <c r="H42" s="1640">
        <f>SUMIF(122:122,G42,123:123)-SUMIF(122:122,C42,123:123)+100</f>
        <v>100</v>
      </c>
      <c r="I42" s="1682" t="s">
        <v>3065</v>
      </c>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hidden="1">
      <c r="A43" s="1701"/>
      <c r="B43" s="1624" t="s">
        <v>2048</v>
      </c>
      <c r="C43" s="1684" t="s">
        <v>30</v>
      </c>
      <c r="D43" s="1640">
        <v>100</v>
      </c>
      <c r="E43" s="1682" t="s">
        <v>30</v>
      </c>
      <c r="F43" s="1683">
        <f>SUMIF(124:124,E43,125:125)-SUMIF(124:124,C43,125:125)+100</f>
        <v>100</v>
      </c>
      <c r="G43" s="1684" t="s">
        <v>30</v>
      </c>
      <c r="H43" s="1640">
        <f>SUMIF(124:124,G43,125:125)-SUMIF(124:124,C43,125:125)+100</f>
        <v>100</v>
      </c>
      <c r="I43" s="1682" t="s">
        <v>30</v>
      </c>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75" thickBot="1">
      <c r="A44" s="1704"/>
      <c r="B44" s="3739" t="s">
        <v>3062</v>
      </c>
      <c r="C44" s="3743" t="s">
        <v>3063</v>
      </c>
      <c r="D44" s="1626">
        <v>100</v>
      </c>
      <c r="E44" s="1694" t="str">
        <f>C44</f>
        <v>无</v>
      </c>
      <c r="F44" s="1628">
        <f>SUMIF(126:126,E44,127:127)-SUMIF(126:126,C44,127:127)+100</f>
        <v>100</v>
      </c>
      <c r="G44" s="1694" t="str">
        <f>C44</f>
        <v>无</v>
      </c>
      <c r="H44" s="1626">
        <f>SUMIF(126:126,G44,127:127)-SUMIF(126:126,C44,127:127)+100</f>
        <v>100</v>
      </c>
      <c r="I44" s="3743" t="s">
        <v>3064</v>
      </c>
      <c r="J44" s="1626">
        <f>SUMIF(126:126,I44,127:127)-SUMIF(126:126,C44,127:127)+100</f>
        <v>102</v>
      </c>
      <c r="K44" s="1638"/>
      <c r="L44" s="2915"/>
      <c r="M44" s="2888"/>
      <c r="N44" s="2888"/>
      <c r="O44" s="2888"/>
      <c r="P44" s="3615"/>
      <c r="Q44" s="1563" t="str">
        <f t="shared" si="11"/>
        <v>电梯</v>
      </c>
      <c r="R44" s="1609" t="s">
        <v>28</v>
      </c>
      <c r="S44" s="1610">
        <f t="shared" si="12"/>
        <v>100</v>
      </c>
      <c r="T44" s="1609" t="s">
        <v>28</v>
      </c>
      <c r="U44" s="1610">
        <f t="shared" si="13"/>
        <v>100</v>
      </c>
      <c r="V44" s="1609" t="s">
        <v>28</v>
      </c>
      <c r="W44" s="1610">
        <f t="shared" si="14"/>
        <v>102</v>
      </c>
      <c r="X44" s="1611"/>
      <c r="Y44" s="3617"/>
      <c r="Z44" s="1622" t="str">
        <f t="shared" si="15"/>
        <v>电梯</v>
      </c>
      <c r="AA44" s="1612">
        <f t="shared" si="3"/>
        <v>1</v>
      </c>
      <c r="AB44" s="1612">
        <f t="shared" si="4"/>
        <v>1</v>
      </c>
      <c r="AC44" s="1612">
        <f t="shared" si="5"/>
        <v>0.98039215686274506</v>
      </c>
    </row>
    <row r="45" spans="1:29" ht="15" hidden="1">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hidden="1"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v>78194</v>
      </c>
      <c r="F47" s="1715"/>
      <c r="G47" s="1716">
        <v>71429</v>
      </c>
      <c r="H47" s="1717"/>
      <c r="I47" s="1714">
        <v>72138</v>
      </c>
      <c r="J47" s="1717"/>
      <c r="K47" s="1718"/>
      <c r="L47" s="2921"/>
      <c r="N47" s="2916"/>
      <c r="P47" s="3623" t="str">
        <f>A47</f>
        <v>成交单价（元/平方米）</v>
      </c>
      <c r="Q47" s="3623"/>
      <c r="R47" s="3624">
        <f>E47</f>
        <v>78194</v>
      </c>
      <c r="S47" s="3624"/>
      <c r="T47" s="3624">
        <f>G47</f>
        <v>71429</v>
      </c>
      <c r="U47" s="3624"/>
      <c r="V47" s="3624">
        <f>I47</f>
        <v>72138</v>
      </c>
      <c r="W47" s="3624"/>
      <c r="X47" s="1720"/>
      <c r="Y47" s="1721"/>
      <c r="Z47" s="1720"/>
      <c r="AA47" s="1720"/>
      <c r="AB47" s="1720"/>
      <c r="AC47" s="1720"/>
    </row>
    <row r="48" spans="1:29" ht="15.75" thickBot="1">
      <c r="A48" s="1722" t="s">
        <v>2050</v>
      </c>
      <c r="B48" s="1723"/>
      <c r="C48" s="1724">
        <f>R49</f>
        <v>73459.3</v>
      </c>
      <c r="D48" s="1725" t="s">
        <v>2502</v>
      </c>
      <c r="E48" s="1726">
        <f>R48</f>
        <v>77419.8</v>
      </c>
      <c r="F48" s="1727"/>
      <c r="G48" s="1724">
        <f>T48</f>
        <v>71077.2</v>
      </c>
      <c r="H48" s="1727"/>
      <c r="I48" s="1726">
        <f>V48</f>
        <v>71880.899999999994</v>
      </c>
      <c r="J48" s="1727"/>
      <c r="K48" s="2430">
        <f>F48+H48+J48</f>
        <v>0</v>
      </c>
      <c r="L48" s="2921"/>
      <c r="P48" s="3623" t="str">
        <f>A48</f>
        <v>比较价值（元/平方米）</v>
      </c>
      <c r="Q48" s="3623"/>
      <c r="R48" s="3624">
        <f>IF(E1="售价",ROUND(PRODUCT(R47,AA7:AA46),0),ROUND(PRODUCT(R47,AA7:AA46),1))</f>
        <v>77419.8</v>
      </c>
      <c r="S48" s="3624"/>
      <c r="T48" s="3627">
        <f>IF(E1="售价",ROUND(PRODUCT(T47,AB7:AB46),0),ROUND(PRODUCT(T47,AB7:AB46),1))</f>
        <v>71077.2</v>
      </c>
      <c r="U48" s="3628"/>
      <c r="V48" s="3624">
        <f>IF(E1="售价",ROUND(PRODUCT(V47,AC7:AC46),0),ROUND(PRODUCT(V47,AC7:AC46),1))</f>
        <v>71880.899999999994</v>
      </c>
      <c r="W48" s="3624"/>
      <c r="X48" s="1720"/>
      <c r="Y48" s="1720"/>
      <c r="Z48" s="1720"/>
      <c r="AA48" s="1720"/>
      <c r="AB48" s="1720"/>
      <c r="AC48" s="1720"/>
    </row>
    <row r="49" spans="1:29" ht="15.75" thickBot="1">
      <c r="A49" s="3746" t="s">
        <v>3081</v>
      </c>
      <c r="B49" s="1729"/>
      <c r="C49" s="1730">
        <f>R49</f>
        <v>73459.3</v>
      </c>
      <c r="D49" s="1731"/>
      <c r="E49" s="1731"/>
      <c r="F49" s="1731"/>
      <c r="G49" s="1731"/>
      <c r="H49" s="1731"/>
      <c r="I49" s="1731"/>
      <c r="J49" s="1731"/>
      <c r="K49" s="1732"/>
      <c r="L49" s="2921"/>
      <c r="P49" s="3629" t="str">
        <f>A49</f>
        <v>估价对象住宅用房的比较价值（楼面单价，元/平方米）</v>
      </c>
      <c r="Q49" s="3630"/>
      <c r="R49" s="3631">
        <f>IF(E1="售价",ROUND(IF(D48="简单平均",AVERAGE(R48:V48),R48*F48+T48*H48+V48*J48),0),ROUND(IF(D48="简单平均",AVERAGE(R48:V48),R48*F48+T48*H48+V48*J48),1))</f>
        <v>73459.3</v>
      </c>
      <c r="S49" s="3631"/>
      <c r="T49" s="3631"/>
      <c r="U49" s="3631"/>
      <c r="V49" s="3631"/>
      <c r="W49" s="3631"/>
      <c r="X49" s="1720"/>
      <c r="Y49" s="1720"/>
      <c r="Z49" s="1720"/>
      <c r="AA49" s="1720"/>
      <c r="AB49" s="1720"/>
      <c r="AC49" s="1720"/>
    </row>
    <row r="50" spans="1:29">
      <c r="G50" s="2925"/>
    </row>
    <row r="52" spans="1:29" ht="13.5" customHeight="1">
      <c r="C52" s="383" t="s">
        <v>2051</v>
      </c>
      <c r="D52" s="1736"/>
      <c r="E52" s="1737">
        <f>IF(E47&lt;E48,E48/E47-1,E47/E48-1)</f>
        <v>1.0000025833184711E-2</v>
      </c>
      <c r="F52" s="1738" t="str">
        <f>IF(OR(E52&gt;=0.3,E52&lt;=-0.3),"超过30%","")</f>
        <v/>
      </c>
      <c r="G52" s="1737">
        <f>IF(G47&lt;G48,G48/G47-1,G47/G48-1)</f>
        <v>4.949547815614519E-3</v>
      </c>
      <c r="H52" s="1738" t="str">
        <f>IF(OR(G52&gt;=0.3,G52&lt;=-0.3),"超过30%","")</f>
        <v/>
      </c>
      <c r="I52" s="1737">
        <f>IF(I47&lt;I48,I48/I47-1,I47/I48-1)</f>
        <v>3.5767498737495629E-3</v>
      </c>
      <c r="J52" s="1738" t="str">
        <f>IF(OR(I52&gt;=0.3,I52&lt;=-0.3),"超过30%","")</f>
        <v/>
      </c>
    </row>
    <row r="53" spans="1:29" ht="13.5" customHeight="1">
      <c r="C53" s="383" t="s">
        <v>2052</v>
      </c>
      <c r="D53" s="1739"/>
      <c r="E53" s="1737">
        <f>IF(E48&lt;G48,G48/E48-1,E48/G48-1)</f>
        <v>8.9235366615454836E-2</v>
      </c>
      <c r="F53" s="1738" t="str">
        <f>IF(OR(E53&gt;=0.2,E53&lt;=-0.2),"超过20%","")</f>
        <v/>
      </c>
      <c r="G53" s="1737">
        <f>IF(G48&lt;I48,I48/G48-1,G48/I48-1)</f>
        <v>1.1307423477570744E-2</v>
      </c>
      <c r="H53" s="1738" t="str">
        <f>IF(OR(G53&gt;=0.2,G53&lt;=-0.2),"超过20%","")</f>
        <v/>
      </c>
      <c r="I53" s="1737">
        <f>IF(I48&lt;E48,E48/I48-1,I48/E48-1)</f>
        <v>7.7056631177406132E-2</v>
      </c>
      <c r="J53" s="1738" t="str">
        <f>IF(OR(I53&gt;=0.2,I53&lt;=-0.2),"超过20%","")</f>
        <v/>
      </c>
    </row>
    <row r="54" spans="1:29" s="1742" customFormat="1" ht="13.5" customHeight="1">
      <c r="C54" s="383" t="s">
        <v>2053</v>
      </c>
      <c r="D54" s="1739"/>
      <c r="E54" s="1737">
        <f>IF(E47&lt;G47,G47/E47-1,E47/G47-1)</f>
        <v>9.4709431743409622E-2</v>
      </c>
      <c r="F54" s="1738" t="str">
        <f>IF(OR(E54&gt;=0.3,E54&lt;=-0.3),"超过30%","")</f>
        <v/>
      </c>
      <c r="G54" s="1737">
        <f>IF(G47&lt;I47,I47/G47-1,G47/I47-1)</f>
        <v>9.9259404443572397E-3</v>
      </c>
      <c r="H54" s="1738" t="str">
        <f>IF(OR(G54&gt;=0.3,G54&lt;=-0.3),"超过30%","")</f>
        <v/>
      </c>
      <c r="I54" s="1737">
        <f>IF(I47&lt;E47,E47/I47-1,I47/E47-1)</f>
        <v>8.395020654855978E-2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2054</v>
      </c>
      <c r="B57" s="1720"/>
      <c r="C57" s="1746"/>
      <c r="D57" s="1746"/>
      <c r="E57" s="1746"/>
      <c r="F57" s="1746"/>
      <c r="G57" s="1746"/>
      <c r="H57" s="1746"/>
      <c r="I57" s="1746"/>
      <c r="J57" s="1746"/>
      <c r="K57" s="1747"/>
      <c r="L57" s="2923"/>
      <c r="M57" s="2924"/>
      <c r="N57" s="2924"/>
      <c r="O57" s="2924"/>
      <c r="P57" s="1749"/>
      <c r="Q57" s="1750"/>
    </row>
    <row r="58" spans="1:29" s="1756" customFormat="1" ht="15">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f>C59</f>
        <v>100</v>
      </c>
      <c r="E59" s="1760">
        <v>99.5</v>
      </c>
      <c r="F59" s="1760">
        <f>E59</f>
        <v>99.5</v>
      </c>
      <c r="G59" s="1760">
        <f>E59</f>
        <v>99.5</v>
      </c>
      <c r="H59" s="1760">
        <v>99</v>
      </c>
      <c r="I59" s="1760">
        <f>H59</f>
        <v>99</v>
      </c>
      <c r="J59" s="1760">
        <f>H59</f>
        <v>99</v>
      </c>
      <c r="K59" s="1760">
        <v>98.5</v>
      </c>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1（含）-3</v>
      </c>
      <c r="D67" s="1794" t="str">
        <f t="shared" ref="D67:L67" si="18">D68&amp;"（含）"&amp;"-"&amp;E68</f>
        <v>3（含）-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1</v>
      </c>
      <c r="D68" s="1796">
        <v>3</v>
      </c>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3740" t="s">
        <v>3056</v>
      </c>
      <c r="D88" s="3740" t="s">
        <v>3058</v>
      </c>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99</v>
      </c>
      <c r="E89" s="1791">
        <f t="shared" si="21"/>
        <v>98</v>
      </c>
      <c r="F89" s="1791">
        <f t="shared" si="21"/>
        <v>97</v>
      </c>
      <c r="G89" s="1791">
        <f t="shared" si="21"/>
        <v>96</v>
      </c>
      <c r="H89" s="1791">
        <f t="shared" si="21"/>
        <v>95</v>
      </c>
      <c r="I89" s="1791">
        <f t="shared" si="21"/>
        <v>94</v>
      </c>
      <c r="J89" s="1791">
        <f t="shared" si="21"/>
        <v>93</v>
      </c>
      <c r="K89" s="1791">
        <f t="shared" si="21"/>
        <v>92</v>
      </c>
      <c r="L89" s="1791">
        <f t="shared" si="21"/>
        <v>91</v>
      </c>
      <c r="M89" s="1791">
        <f t="shared" si="21"/>
        <v>90</v>
      </c>
      <c r="N89" s="1786"/>
      <c r="O89" s="1786"/>
      <c r="P89" s="1781"/>
      <c r="Q89" s="1750"/>
    </row>
    <row r="90" spans="1:17" s="1700" customFormat="1" ht="15.75" thickTop="1">
      <c r="A90" s="1798"/>
      <c r="B90" s="1787" t="str">
        <f>B27</f>
        <v>道路级别</v>
      </c>
      <c r="C90" s="468" t="str">
        <f>C27</f>
        <v>城市次干道——永泰庄北路</v>
      </c>
      <c r="D90" s="468"/>
      <c r="E90" s="468"/>
      <c r="F90" s="468"/>
      <c r="G90" s="468"/>
      <c r="H90" s="443"/>
      <c r="I90" s="443"/>
      <c r="J90" s="443"/>
      <c r="K90" s="443"/>
      <c r="L90" s="443"/>
      <c r="M90" s="1799"/>
      <c r="N90" s="1800"/>
      <c r="O90" s="1800"/>
      <c r="P90" s="1801"/>
      <c r="Q90" s="1802"/>
    </row>
    <row r="91" spans="1:17" s="1700" customFormat="1" ht="15.75" thickBot="1">
      <c r="A91" s="1798"/>
      <c r="B91" s="1790"/>
      <c r="C91" s="1803">
        <v>100</v>
      </c>
      <c r="D91" s="1803"/>
      <c r="E91" s="1803"/>
      <c r="F91" s="1803"/>
      <c r="G91" s="1803"/>
      <c r="H91" s="1806"/>
      <c r="I91" s="1806"/>
      <c r="J91" s="1806"/>
      <c r="K91" s="1806"/>
      <c r="L91" s="1806"/>
      <c r="M91" s="1807"/>
      <c r="N91" s="1800"/>
      <c r="O91" s="1800"/>
      <c r="P91" s="1801"/>
      <c r="Q91" s="1802"/>
    </row>
    <row r="92" spans="1:17" ht="15.75" thickTop="1">
      <c r="A92" s="1782"/>
      <c r="B92" s="1787" t="str">
        <f>B28</f>
        <v>楼层</v>
      </c>
      <c r="C92" s="3741" t="s">
        <v>3053</v>
      </c>
      <c r="D92" s="3741" t="s">
        <v>3059</v>
      </c>
      <c r="E92" s="3741" t="s">
        <v>3060</v>
      </c>
      <c r="F92" s="3741"/>
      <c r="G92" s="1506"/>
      <c r="H92" s="1506"/>
      <c r="I92" s="1506"/>
      <c r="J92" s="1506"/>
      <c r="K92" s="473"/>
      <c r="L92" s="473"/>
      <c r="M92" s="1822"/>
      <c r="N92" s="1780"/>
      <c r="O92" s="1780"/>
      <c r="P92" s="1781"/>
      <c r="Q92" s="1750"/>
    </row>
    <row r="93" spans="1:17" ht="15.75" thickBot="1">
      <c r="A93" s="1782"/>
      <c r="B93" s="1790"/>
      <c r="C93" s="1803">
        <v>100</v>
      </c>
      <c r="D93" s="1784">
        <v>101</v>
      </c>
      <c r="E93" s="1784">
        <v>101</v>
      </c>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2083</v>
      </c>
      <c r="C100" s="3745" t="s">
        <v>3078</v>
      </c>
      <c r="D100" s="3745" t="s">
        <v>3080</v>
      </c>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96</v>
      </c>
      <c r="E101" s="1791">
        <f t="shared" si="22"/>
        <v>92</v>
      </c>
      <c r="F101" s="1791">
        <f t="shared" si="22"/>
        <v>88</v>
      </c>
      <c r="G101" s="1791">
        <f t="shared" si="22"/>
        <v>84</v>
      </c>
      <c r="H101" s="1791">
        <f t="shared" si="22"/>
        <v>80</v>
      </c>
      <c r="I101" s="1791">
        <f t="shared" si="22"/>
        <v>76</v>
      </c>
      <c r="J101" s="1791">
        <f t="shared" si="22"/>
        <v>72</v>
      </c>
      <c r="K101" s="1791">
        <f t="shared" si="22"/>
        <v>68</v>
      </c>
      <c r="L101" s="1791">
        <f t="shared" si="22"/>
        <v>64</v>
      </c>
      <c r="M101" s="1791">
        <f t="shared" si="22"/>
        <v>60</v>
      </c>
      <c r="N101" s="1786"/>
      <c r="O101" s="1786"/>
      <c r="P101" s="1781"/>
      <c r="Q101" s="1750"/>
    </row>
    <row r="102" spans="1:17" ht="15.75" thickTop="1">
      <c r="A102" s="1782"/>
      <c r="B102" s="1787" t="s">
        <v>2084</v>
      </c>
      <c r="C102" s="579" t="str">
        <f>C103&amp;"(含)"&amp;"-"&amp;D103</f>
        <v>0(含)-60</v>
      </c>
      <c r="D102" s="579" t="str">
        <f t="shared" ref="D102:L102" si="23">D103&amp;"(含)"&amp;"-"&amp;E103</f>
        <v>60(含)-90</v>
      </c>
      <c r="E102" s="579" t="str">
        <f t="shared" si="23"/>
        <v>90(含)-120</v>
      </c>
      <c r="F102" s="579" t="str">
        <f t="shared" si="23"/>
        <v>120(含)-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60</v>
      </c>
      <c r="E103" s="1830">
        <v>90</v>
      </c>
      <c r="F103" s="1830">
        <v>120</v>
      </c>
      <c r="G103" s="1830"/>
      <c r="H103" s="1830"/>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v>94</v>
      </c>
      <c r="G104" s="1784"/>
      <c r="H104" s="1784"/>
      <c r="I104" s="1784"/>
      <c r="J104" s="1784"/>
      <c r="K104" s="1784"/>
      <c r="L104" s="1784"/>
      <c r="M104" s="1784"/>
      <c r="N104" s="1786"/>
      <c r="O104" s="1786"/>
      <c r="P104" s="1801"/>
      <c r="Q104" s="1802"/>
    </row>
    <row r="105" spans="1:17" ht="15" thickTop="1">
      <c r="A105" s="1832"/>
      <c r="B105" s="1787" t="s">
        <v>2085</v>
      </c>
      <c r="C105" s="3740" t="s">
        <v>3074</v>
      </c>
      <c r="D105" s="3740" t="s">
        <v>3076</v>
      </c>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98</v>
      </c>
      <c r="E106" s="1791">
        <f t="shared" si="24"/>
        <v>96</v>
      </c>
      <c r="F106" s="1791">
        <f t="shared" si="24"/>
        <v>94</v>
      </c>
      <c r="G106" s="1791">
        <f t="shared" si="24"/>
        <v>92</v>
      </c>
      <c r="H106" s="1791">
        <f t="shared" si="24"/>
        <v>90</v>
      </c>
      <c r="I106" s="1791">
        <f t="shared" si="24"/>
        <v>88</v>
      </c>
      <c r="J106" s="1791">
        <f t="shared" si="24"/>
        <v>86</v>
      </c>
      <c r="K106" s="1791">
        <f t="shared" si="24"/>
        <v>84</v>
      </c>
      <c r="L106" s="1791">
        <f t="shared" si="24"/>
        <v>82</v>
      </c>
      <c r="M106" s="1791">
        <f t="shared" si="24"/>
        <v>80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3740" t="s">
        <v>3066</v>
      </c>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3740" t="s">
        <v>3072</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3740" t="s">
        <v>3070</v>
      </c>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3744" t="s">
        <v>3068</v>
      </c>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3740" t="s">
        <v>3066</v>
      </c>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t="str">
        <f>B44</f>
        <v>电梯</v>
      </c>
      <c r="C126" s="3740" t="s">
        <v>3064</v>
      </c>
      <c r="D126" s="3740" t="s">
        <v>3063</v>
      </c>
      <c r="E126" s="468"/>
      <c r="F126" s="468"/>
      <c r="G126" s="468"/>
      <c r="H126" s="443"/>
      <c r="I126" s="443"/>
      <c r="J126" s="443"/>
      <c r="K126" s="443"/>
      <c r="L126" s="443"/>
      <c r="M126" s="1799"/>
      <c r="N126" s="1800"/>
      <c r="O126" s="1800"/>
      <c r="P126" s="1801"/>
      <c r="Q126" s="1802"/>
    </row>
    <row r="127" spans="1:17" s="1700" customFormat="1" ht="15.75" thickBot="1">
      <c r="A127" s="1798"/>
      <c r="B127" s="1790"/>
      <c r="C127" s="1803">
        <v>100</v>
      </c>
      <c r="D127" s="1784">
        <v>98</v>
      </c>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F4470-8918-4E15-AC24-9F61C73C1BF3}">
  <sheetPr>
    <tabColor rgb="FFFFFF00"/>
  </sheetPr>
  <dimension ref="A1:W23"/>
  <sheetViews>
    <sheetView topLeftCell="F1" workbookViewId="0">
      <selection activeCell="S86" sqref="S86"/>
    </sheetView>
  </sheetViews>
  <sheetFormatPr defaultRowHeight="13.5"/>
  <sheetData>
    <row r="1" spans="1:23" ht="14.25">
      <c r="A1" s="3733" t="s">
        <v>3040</v>
      </c>
      <c r="B1" s="3731"/>
      <c r="C1" s="3732">
        <v>44743.333831018521</v>
      </c>
      <c r="D1" s="3732">
        <v>44713.333831018521</v>
      </c>
      <c r="E1" s="3732">
        <v>44682.333831018521</v>
      </c>
      <c r="F1" s="3732">
        <v>44652.333831018521</v>
      </c>
      <c r="G1" s="3732">
        <v>44621.333831018521</v>
      </c>
      <c r="H1" s="3732">
        <v>44593.333831018521</v>
      </c>
      <c r="I1" s="3732">
        <v>44562.333831018521</v>
      </c>
      <c r="J1" s="3732">
        <v>44531.333831018521</v>
      </c>
      <c r="K1" s="3732">
        <v>44501.333831018521</v>
      </c>
      <c r="L1" s="3732">
        <v>44470.333831018521</v>
      </c>
    </row>
    <row r="2" spans="1:23" ht="14.25">
      <c r="A2" s="3733"/>
      <c r="B2" s="3731"/>
      <c r="C2" s="3731" t="s">
        <v>3041</v>
      </c>
      <c r="D2" s="3731" t="s">
        <v>3041</v>
      </c>
      <c r="E2" s="3731" t="s">
        <v>3041</v>
      </c>
      <c r="F2" s="3731" t="s">
        <v>3041</v>
      </c>
      <c r="G2" s="3731" t="s">
        <v>3041</v>
      </c>
      <c r="H2" s="3731" t="s">
        <v>3041</v>
      </c>
      <c r="I2" s="3731" t="s">
        <v>3041</v>
      </c>
      <c r="J2" s="3731" t="s">
        <v>3041</v>
      </c>
      <c r="K2" s="3731" t="s">
        <v>3041</v>
      </c>
      <c r="L2" s="3731" t="s">
        <v>3041</v>
      </c>
    </row>
    <row r="3" spans="1:23" ht="14.25">
      <c r="A3" s="3731" t="s">
        <v>3042</v>
      </c>
      <c r="B3" s="3731">
        <f>ROUND(AVERAGE(C3:L3),1)</f>
        <v>84.3</v>
      </c>
      <c r="C3" s="3731">
        <v>87.1</v>
      </c>
      <c r="D3" s="3731">
        <v>86.51</v>
      </c>
      <c r="E3" s="3731">
        <v>84.42</v>
      </c>
      <c r="F3" s="3731">
        <v>85.29</v>
      </c>
      <c r="G3" s="3731">
        <v>92.04</v>
      </c>
      <c r="H3" s="3731">
        <v>79.099999999999994</v>
      </c>
      <c r="I3" s="3731">
        <v>81.400000000000006</v>
      </c>
      <c r="J3" s="3731">
        <v>81.599999999999994</v>
      </c>
      <c r="K3" s="3731">
        <v>80.91</v>
      </c>
      <c r="L3" s="3731">
        <v>84.35</v>
      </c>
    </row>
    <row r="9" spans="1:23">
      <c r="W9" s="1269" t="s">
        <v>3045</v>
      </c>
    </row>
    <row r="13" spans="1:23">
      <c r="W13" s="1269" t="s">
        <v>3046</v>
      </c>
    </row>
    <row r="23" spans="23:23">
      <c r="W23" s="1269" t="s">
        <v>3047</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2114</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62.57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44782</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2120</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2131</v>
      </c>
      <c r="B48" s="1723"/>
      <c r="C48" s="1724" t="e">
        <f>R49</f>
        <v>#DIV/0!</v>
      </c>
      <c r="D48" s="1725" t="s">
        <v>2502</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2059</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2060</v>
      </c>
      <c r="D65" s="1788" t="s">
        <v>2061</v>
      </c>
      <c r="E65" s="1788" t="s">
        <v>2062</v>
      </c>
      <c r="F65" s="1788" t="s">
        <v>2063</v>
      </c>
      <c r="G65" s="1788" t="s">
        <v>2064</v>
      </c>
      <c r="H65" s="1788" t="s">
        <v>2065</v>
      </c>
      <c r="I65" s="1788" t="s">
        <v>2066</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2067</v>
      </c>
      <c r="C76" s="1814" t="s">
        <v>2068</v>
      </c>
      <c r="D76" s="1814" t="s">
        <v>2069</v>
      </c>
      <c r="E76" s="1814" t="s">
        <v>2070</v>
      </c>
      <c r="F76" s="1814" t="s">
        <v>2071</v>
      </c>
      <c r="G76" s="1814" t="s">
        <v>2072</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2137</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2138</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2085</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2087</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2139</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2140</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2141</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2092</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2143</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62.57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44782</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23"/>
      <c r="Q11" s="283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2411" t="s">
        <v>2144</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3"/>
      <c r="Q27" s="2834" t="str">
        <f t="shared" ref="Q27:Q47" si="11">B27</f>
        <v>楼层</v>
      </c>
      <c r="R27" s="1654" t="s">
        <v>25</v>
      </c>
      <c r="S27" s="1655">
        <f>F27</f>
        <v>100</v>
      </c>
      <c r="T27" s="1654" t="s">
        <v>25</v>
      </c>
      <c r="U27" s="1655">
        <f>H27</f>
        <v>100</v>
      </c>
      <c r="V27" s="1654" t="s">
        <v>25</v>
      </c>
      <c r="W27" s="1655">
        <f>J27</f>
        <v>100</v>
      </c>
      <c r="X27" s="2003"/>
      <c r="Y27" s="3613"/>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7"/>
      <c r="Q34" s="1695" t="str">
        <f t="shared" si="11"/>
        <v>项目建筑规模</v>
      </c>
      <c r="R34" s="1696" t="s">
        <v>25</v>
      </c>
      <c r="S34" s="1697" t="e">
        <f t="shared" si="12"/>
        <v>#N/A</v>
      </c>
      <c r="T34" s="1696" t="s">
        <v>25</v>
      </c>
      <c r="U34" s="1697" t="e">
        <f t="shared" si="13"/>
        <v>#N/A</v>
      </c>
      <c r="V34" s="1696" t="s">
        <v>25</v>
      </c>
      <c r="W34" s="1697" t="e">
        <f t="shared" si="14"/>
        <v>#N/A</v>
      </c>
      <c r="X34" s="1698"/>
      <c r="Y34" s="361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7"/>
      <c r="Q37" s="2834" t="str">
        <f t="shared" si="11"/>
        <v>成新度</v>
      </c>
      <c r="R37" s="1654" t="s">
        <v>25</v>
      </c>
      <c r="S37" s="1655" t="e">
        <f t="shared" si="12"/>
        <v>#N/A</v>
      </c>
      <c r="T37" s="1654" t="s">
        <v>25</v>
      </c>
      <c r="U37" s="1655" t="e">
        <f t="shared" si="13"/>
        <v>#N/A</v>
      </c>
      <c r="V37" s="1654" t="s">
        <v>25</v>
      </c>
      <c r="W37" s="1655" t="e">
        <f t="shared" si="14"/>
        <v>#N/A</v>
      </c>
      <c r="X37" s="2003"/>
      <c r="Y37" s="3617"/>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23" t="str">
        <f>A48</f>
        <v>成交单价（元/平方米）</v>
      </c>
      <c r="Q48" s="3623"/>
      <c r="R48" s="3624">
        <f>E48</f>
        <v>0</v>
      </c>
      <c r="S48" s="3624"/>
      <c r="T48" s="3624">
        <f>G48</f>
        <v>0</v>
      </c>
      <c r="U48" s="3624"/>
      <c r="V48" s="3624">
        <f>I48</f>
        <v>0</v>
      </c>
      <c r="W48" s="3624"/>
      <c r="X48" s="1720"/>
      <c r="Y48" s="2002"/>
      <c r="Z48" s="1720"/>
      <c r="AA48" s="1720"/>
      <c r="AB48" s="1720"/>
      <c r="AC48" s="1720"/>
    </row>
    <row r="49" spans="1:29" ht="15.75" thickBot="1">
      <c r="A49" s="1722" t="s">
        <v>2131</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623" t="str">
        <f>A49</f>
        <v>比较价值（元/平方米）</v>
      </c>
      <c r="Q49" s="3623"/>
      <c r="R49" s="3624" t="e">
        <f>IF(E1="售价",ROUND(PRODUCT(R48,AA7:AA47),0),ROUND(PRODUCT(R48,AA7:AA47),1))</f>
        <v>#DIV/0!</v>
      </c>
      <c r="S49" s="3624"/>
      <c r="T49" s="3624" t="e">
        <f>IF(E1="售价",ROUND(PRODUCT(T48,AB7:AB47),0),ROUND(PRODUCT(T48,AB7:AB47),1))</f>
        <v>#DIV/0!</v>
      </c>
      <c r="U49" s="3624"/>
      <c r="V49" s="3624" t="e">
        <f>IF(E1="售价",ROUND(PRODUCT(V48,AC7:AC47),0),ROUND(PRODUCT(V48,AC7:AC47),1))</f>
        <v>#DIV/0!</v>
      </c>
      <c r="W49" s="3624"/>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1"/>
      <c r="M50" s="2916"/>
      <c r="N50" s="2916"/>
      <c r="O50" s="2916"/>
      <c r="P50" s="3629" t="str">
        <f>A50</f>
        <v>估价对象XX用房的比较价值（楼面单价，元/平方米）</v>
      </c>
      <c r="Q50" s="3630"/>
      <c r="R50" s="3631" t="e">
        <f>IF(E1="售价",ROUND(IF(D49="简单平均",AVERAGE(R49:V49),R49*F49+T49*H49+V49*J49),0),ROUND(IF(D49="简单平均",AVERAGE(R49:V49),R49*F49+T49*H49+V49*J49),1))</f>
        <v>#DIV/0!</v>
      </c>
      <c r="S50" s="3631"/>
      <c r="T50" s="3631"/>
      <c r="U50" s="3631"/>
      <c r="V50" s="3631"/>
      <c r="W50" s="3631"/>
      <c r="X50" s="1720"/>
      <c r="Y50" s="1720"/>
      <c r="Z50" s="1720"/>
      <c r="AA50" s="1720"/>
      <c r="AB50" s="1720"/>
      <c r="AC50" s="1720"/>
    </row>
    <row r="51" spans="1:29">
      <c r="G51" s="2925"/>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2136</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2059</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2060</v>
      </c>
      <c r="D66" s="1788" t="s">
        <v>2061</v>
      </c>
      <c r="E66" s="1788" t="s">
        <v>2062</v>
      </c>
      <c r="F66" s="1788" t="s">
        <v>2063</v>
      </c>
      <c r="G66" s="1788" t="s">
        <v>2064</v>
      </c>
      <c r="H66" s="1788" t="s">
        <v>2065</v>
      </c>
      <c r="I66" s="1788" t="s">
        <v>2066</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2155</v>
      </c>
      <c r="C77" s="1814" t="s">
        <v>2068</v>
      </c>
      <c r="D77" s="1814" t="s">
        <v>2069</v>
      </c>
      <c r="E77" s="1814" t="s">
        <v>2070</v>
      </c>
      <c r="F77" s="1814" t="s">
        <v>2071</v>
      </c>
      <c r="G77" s="1814" t="s">
        <v>2072</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2157</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2083</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2085</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2087</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2089</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2090</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2159</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2092</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2160</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62.57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44782</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9.25">
      <c r="A29" s="354" t="s">
        <v>2035</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2136</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62.57</v>
      </c>
      <c r="E3" s="797" t="s">
        <v>2166</v>
      </c>
      <c r="F3" s="293">
        <f>'数据-取费表'!B42</f>
        <v>62.57</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44782</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9.25">
      <c r="A26" s="533" t="s">
        <v>2035</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62.57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44782</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9.25">
      <c r="A26" s="354" t="s">
        <v>2035</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2136</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44782</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100</v>
      </c>
      <c r="G10" s="1686"/>
      <c r="H10" s="1626">
        <f>ROUND(100/'数据-取费表'!B14,0)</f>
        <v>100</v>
      </c>
      <c r="I10" s="1686"/>
      <c r="J10" s="1626">
        <f>ROUND(100/'数据-取费表'!B14,0)</f>
        <v>100</v>
      </c>
      <c r="K10" s="1898"/>
      <c r="L10" s="2917"/>
      <c r="M10" s="2918"/>
      <c r="N10" s="2918"/>
      <c r="O10" s="2963"/>
      <c r="P10" s="3623"/>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2059</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2067</v>
      </c>
      <c r="C87" s="1814" t="s">
        <v>2068</v>
      </c>
      <c r="D87" s="1814" t="s">
        <v>2069</v>
      </c>
      <c r="E87" s="1814" t="s">
        <v>2070</v>
      </c>
      <c r="F87" s="1814" t="s">
        <v>2071</v>
      </c>
      <c r="G87" s="1814" t="s">
        <v>2072</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2148</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2209</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2244</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2245</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2247</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估价对象为北京市房地产，为XX所有。根据《》[]，估价对象建筑面积为62.57平方米。根据《》[]，估价对象（分摊）出让国有建设用地使用权面积为平方米。估价对象用途为。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2022年8月9日（评估专业人员实地查勘之日）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本次估价的“房地产价值”是指在正常市场情况下，在价值时点2022年8月9日，估价对象规划用途为，假定未设立法定优先受偿款下的房地产市场价值。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44782</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2205</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2249</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100</v>
      </c>
      <c r="G10" s="322"/>
      <c r="H10" s="29">
        <f>ROUND(100/'数据-取费表'!B14,0)</f>
        <v>100</v>
      </c>
      <c r="I10" s="322"/>
      <c r="J10" s="29">
        <f>ROUND(100/'数据-取费表'!B14,0)</f>
        <v>100</v>
      </c>
      <c r="K10" s="553"/>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9.25">
      <c r="A34" s="360" t="s">
        <v>2035</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62.57</v>
      </c>
      <c r="E1" s="2028"/>
      <c r="F1" s="2028"/>
      <c r="G1" s="2028"/>
      <c r="H1" s="2028"/>
      <c r="I1" s="2028"/>
      <c r="J1" s="2028"/>
      <c r="K1" s="2968"/>
      <c r="L1" s="2029" t="s">
        <v>2257</v>
      </c>
      <c r="M1" s="2030">
        <f>SUMPRODUCT((区片价!B5:B9=I2)*(区片价!C3:F3=E2)*(区片价!C5:F9))</f>
        <v>0</v>
      </c>
      <c r="N1" s="2031">
        <f>SUMPRODUCT((因素修正幅度!B5:B9=I2)*(因素修正幅度!C3:F3=E2)*(因素修正幅度!C5:F9))</f>
        <v>0</v>
      </c>
      <c r="O1" s="2968"/>
      <c r="P1" s="2968"/>
      <c r="Q1" s="2968"/>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8"/>
      <c r="L2" s="2040" t="s">
        <v>2268</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8"/>
      <c r="L3" s="2040" t="s">
        <v>2275</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2276</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9"/>
      <c r="L6" s="2040" t="s">
        <v>2282</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2283</v>
      </c>
      <c r="C7" s="2059" t="e">
        <f>IF(C8="不临58条商业街",1,ROUND(1+(1.6*E8+1.2*E9+0.8*E10+0.4*E11)*C9,4))</f>
        <v>#DIV/0!</v>
      </c>
      <c r="D7" s="2060" t="s">
        <v>2284</v>
      </c>
      <c r="E7" s="2061"/>
      <c r="F7" s="2062"/>
      <c r="G7" s="2062"/>
      <c r="H7" s="2062"/>
      <c r="I7" s="2062"/>
      <c r="J7" s="2063"/>
      <c r="K7" s="2969"/>
      <c r="L7" s="2040" t="s">
        <v>2285</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01"/>
      <c r="B8" s="50" t="s">
        <v>2288</v>
      </c>
      <c r="C8" s="2067"/>
      <c r="D8" s="65" t="s">
        <v>89</v>
      </c>
      <c r="E8" s="2068" t="e">
        <f>ROUND(C11/E7,4)</f>
        <v>#DIV/0!</v>
      </c>
      <c r="F8" s="2069" t="s">
        <v>2289</v>
      </c>
      <c r="G8" s="2070"/>
      <c r="H8" s="2070"/>
      <c r="I8" s="2070"/>
      <c r="J8" s="2071"/>
      <c r="K8" s="2968"/>
      <c r="L8" s="2040" t="s">
        <v>2290</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2291</v>
      </c>
      <c r="X8" s="3695"/>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01"/>
      <c r="B9" s="50" t="s">
        <v>2304</v>
      </c>
      <c r="C9" s="2073">
        <f>SUMIF(修正!C71:C138,C8,修正!E71:E138)</f>
        <v>0</v>
      </c>
      <c r="D9" s="50" t="s">
        <v>90</v>
      </c>
      <c r="E9" s="50" t="e">
        <f>ROUND(C11/E7,4)</f>
        <v>#DIV/0!</v>
      </c>
      <c r="F9" s="2069" t="s">
        <v>2305</v>
      </c>
      <c r="G9" s="2070"/>
      <c r="H9" s="2070"/>
      <c r="I9" s="2070"/>
      <c r="J9" s="2071"/>
      <c r="K9" s="2968"/>
      <c r="L9" s="2040" t="s">
        <v>2306</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2309</v>
      </c>
      <c r="C10" s="50">
        <f>SUMIF(修正!C71:C138,C8,修正!F71:F138)</f>
        <v>0</v>
      </c>
      <c r="D10" s="50" t="s">
        <v>91</v>
      </c>
      <c r="E10" s="50" t="e">
        <f>ROUND(C11/E7,4)</f>
        <v>#DIV/0!</v>
      </c>
      <c r="F10" s="2069" t="s">
        <v>2310</v>
      </c>
      <c r="G10" s="2070"/>
      <c r="H10" s="2070"/>
      <c r="I10" s="2070"/>
      <c r="J10" s="2071"/>
      <c r="K10" s="2968"/>
      <c r="L10" s="2040" t="s">
        <v>2311</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2312</v>
      </c>
      <c r="C11" s="1536">
        <f>C10/4</f>
        <v>0</v>
      </c>
      <c r="D11" s="1536" t="s">
        <v>92</v>
      </c>
      <c r="E11" s="1536" t="e">
        <f>ROUND(C11/E7,4)</f>
        <v>#DIV/0!</v>
      </c>
      <c r="F11" s="2078" t="s">
        <v>2313</v>
      </c>
      <c r="G11" s="2079"/>
      <c r="H11" s="2079"/>
      <c r="I11" s="2079"/>
      <c r="J11" s="2080"/>
      <c r="K11" s="2968"/>
      <c r="L11" s="2040" t="s">
        <v>2314</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2317</v>
      </c>
      <c r="C12" s="2059">
        <f>ROUND(C15*D15*E15*F15*G15*H15*I15*J15,4)</f>
        <v>1.32</v>
      </c>
      <c r="D12" s="2083" t="s">
        <v>2318</v>
      </c>
      <c r="E12" s="2084"/>
      <c r="F12" s="2084"/>
      <c r="G12" s="2084"/>
      <c r="H12" s="2084"/>
      <c r="I12" s="2084"/>
      <c r="J12" s="2085"/>
      <c r="K12" s="2968"/>
      <c r="L12" s="2086" t="s">
        <v>2319</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2321</v>
      </c>
      <c r="C13" s="2090" t="s">
        <v>2322</v>
      </c>
      <c r="D13" s="1539" t="s">
        <v>2323</v>
      </c>
      <c r="E13" s="1539" t="s">
        <v>2324</v>
      </c>
      <c r="F13" s="264" t="s">
        <v>2325</v>
      </c>
      <c r="G13" s="2091" t="s">
        <v>2326</v>
      </c>
      <c r="H13" s="2091" t="s">
        <v>2326</v>
      </c>
      <c r="I13" s="2091" t="s">
        <v>2326</v>
      </c>
      <c r="J13" s="2092" t="s">
        <v>2326</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2327</v>
      </c>
      <c r="D14" s="2094" t="s">
        <v>2328</v>
      </c>
      <c r="E14" s="2094" t="s">
        <v>2328</v>
      </c>
      <c r="F14" s="2095" t="s">
        <v>2329</v>
      </c>
      <c r="G14" s="2096" t="s">
        <v>2330</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2337</v>
      </c>
      <c r="C16" s="1535">
        <f>ROUND(IF(F17="与级别开发程度一致",0,(G17-E17)/C17),0)</f>
        <v>0</v>
      </c>
      <c r="D16" s="3692" t="s">
        <v>2341</v>
      </c>
      <c r="E16" s="3693"/>
      <c r="F16" s="3692" t="s">
        <v>2338</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44782</v>
      </c>
      <c r="H19" s="2121" t="s">
        <v>2483</v>
      </c>
      <c r="I19" s="2122" t="str">
        <f>IF(H19="季度增幅（自定义）",SUMIF(N21:N24,E2,O21:O24),"")</f>
        <v/>
      </c>
      <c r="J19" s="2123"/>
      <c r="K19" s="2970"/>
      <c r="L19" s="2004" t="s">
        <v>2349</v>
      </c>
      <c r="M19" s="2124">
        <f>ROUND(SUMIF(地价!B2:F2,E2,地价!B41:F41),0)</f>
        <v>423</v>
      </c>
      <c r="N19" s="2125" t="s">
        <v>2350</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1</v>
      </c>
      <c r="D20" s="2130" t="s">
        <v>2353</v>
      </c>
      <c r="E20" s="3072">
        <f>存贷款利率!E22/100</f>
        <v>4.3499999999999997E-2</v>
      </c>
      <c r="F20" s="2130" t="s">
        <v>2342</v>
      </c>
      <c r="G20" s="3073">
        <f>SUMIF(M26:P26,E2,M28:P28)</f>
        <v>0.05</v>
      </c>
      <c r="H20" s="2130" t="s">
        <v>2354</v>
      </c>
      <c r="I20" s="2131">
        <f>'数据-取费表'!B13</f>
        <v>70</v>
      </c>
      <c r="J20" s="2132">
        <f>IF(E2="住宅",70,IF(E2="商业",40,50))</f>
        <v>70</v>
      </c>
      <c r="K20" s="2970"/>
      <c r="L20" s="2133" t="s">
        <v>2355</v>
      </c>
      <c r="M20" s="2134">
        <f>ROUND(SUMPRODUCT((地价!A4:A41=YEAR(G19)&amp;"-"&amp;ROUNDUP(MONTH(G19)/3,0))*(地价!B2:F2=E2)*(地价!B4:F41)),0)</f>
        <v>744</v>
      </c>
      <c r="N20" s="2135" t="s">
        <v>2356</v>
      </c>
      <c r="O20" s="2136" t="s">
        <v>2357</v>
      </c>
      <c r="P20" s="2137" t="s">
        <v>2358</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70"/>
      <c r="L21" s="2970"/>
      <c r="M21" s="2970"/>
      <c r="N21" s="2141" t="s">
        <v>2361</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2364</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2366</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70"/>
      <c r="L24" s="2970"/>
      <c r="M24" s="2970"/>
      <c r="N24" s="2153" t="s">
        <v>2369</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8"/>
      <c r="L25" s="2968"/>
      <c r="M25" s="2968"/>
      <c r="N25" s="2971" t="s">
        <v>2372</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2373</v>
      </c>
      <c r="C26" s="2808" t="e">
        <f>IF(B21="容积率修正",E29+SUM(E33:E39),SUM(V2:V16)+SUM(E33:E39))</f>
        <v>#REF!</v>
      </c>
      <c r="D26" s="2158"/>
      <c r="E26" s="2097"/>
      <c r="F26" s="1406"/>
      <c r="G26" s="2097"/>
      <c r="H26" s="2097"/>
      <c r="I26" s="2097"/>
      <c r="J26" s="2159"/>
      <c r="K26" s="2968"/>
      <c r="L26" s="2974" t="s">
        <v>2332</v>
      </c>
      <c r="M26" s="2060" t="s">
        <v>2333</v>
      </c>
      <c r="N26" s="2060" t="s">
        <v>2334</v>
      </c>
      <c r="O26" s="2060" t="s">
        <v>2335</v>
      </c>
      <c r="P26" s="2975" t="s">
        <v>2336</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8"/>
      <c r="L27" s="2164" t="s">
        <v>2339</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8"/>
      <c r="L28" s="2169" t="s">
        <v>2342</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2379</v>
      </c>
      <c r="C29" s="54">
        <f>ROUND(C5*C18*C19*C20*C21*C24,0)</f>
        <v>0</v>
      </c>
      <c r="D29" s="2172">
        <f>项目基本情况!C12</f>
        <v>62.57</v>
      </c>
      <c r="E29" s="1959">
        <f>ROUND(C29*D29,0)</f>
        <v>0</v>
      </c>
      <c r="F29" s="2173" t="s">
        <v>2380</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2393</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2395</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2336</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2433</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6"/>
      <c r="R80" s="2976"/>
      <c r="S80" s="2976"/>
      <c r="T80" s="2976"/>
      <c r="U80" s="2976"/>
      <c r="V80" s="2976"/>
      <c r="W80" s="2976"/>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2436</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2437</v>
      </c>
      <c r="B91" s="3683" t="s">
        <v>2438</v>
      </c>
      <c r="C91" s="2173" t="s">
        <v>2439</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6"/>
      <c r="R92" s="2976"/>
      <c r="S92" s="2976"/>
      <c r="T92" s="2976"/>
      <c r="U92" s="2976"/>
      <c r="V92" s="2976"/>
      <c r="W92" s="2976"/>
    </row>
    <row r="93" spans="1:33">
      <c r="A93" s="3684"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2444</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A55" sqref="A55:XFD5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44782</v>
      </c>
      <c r="D1" s="1222" t="s">
        <v>935</v>
      </c>
      <c r="E1" s="1228">
        <f>'数据-取费表'!B24</f>
        <v>1.5</v>
      </c>
      <c r="F1" s="1222" t="s">
        <v>936</v>
      </c>
      <c r="G1" s="1229">
        <f ca="1">INDIRECT("d"&amp;$K$1)/100</f>
        <v>3.7000000000000005E-2</v>
      </c>
      <c r="H1" s="1222" t="s">
        <v>966</v>
      </c>
      <c r="I1" s="1229">
        <f ca="1">F4/100</f>
        <v>1.4999999999999999E-2</v>
      </c>
      <c r="J1" s="1223">
        <f>IF(C1&gt;C13,0,MATCH(C1,C$13:C$109,-1))+IF(SUMIF(C13:C109,C1,D13:D109)=0,13,12)</f>
        <v>14</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估价结果一览表（市场价值不需本页表格)</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62.57</v>
      </c>
      <c r="D6" s="3331"/>
      <c r="E6" s="1287"/>
    </row>
    <row r="7" spans="1:5" ht="14.25">
      <c r="A7" s="1287"/>
      <c r="B7" s="3325" t="s">
        <v>594</v>
      </c>
      <c r="C7" s="1293" t="str">
        <f>IF('数据-取费表'!B3="万元","总价（万元）","总价（元）")</f>
        <v>总价（元）</v>
      </c>
      <c r="D7" s="1294">
        <f>IF('数据-取费表'!E3="否",结果表!I102,'结果表 (1修多)'!I104)</f>
        <v>0</v>
      </c>
      <c r="E7" s="1287"/>
    </row>
    <row r="8" spans="1:5" ht="14.25">
      <c r="A8" s="1287"/>
      <c r="B8" s="3325"/>
      <c r="C8" s="1295" t="s">
        <v>924</v>
      </c>
      <c r="D8" s="1296" t="str">
        <f>IF('数据-取费表'!B3="万元",NUMBERSTRING(INT(D7*10000),2)&amp;"元整",NUMBERSTRING(INT(D7),2)&amp;"元整")</f>
        <v>零元整</v>
      </c>
      <c r="E8" s="1287"/>
    </row>
    <row r="9" spans="1:5" ht="14.25">
      <c r="A9" s="1287"/>
      <c r="B9" s="3325"/>
      <c r="C9" s="1297" t="s">
        <v>1020</v>
      </c>
      <c r="D9" s="1294" t="e">
        <f>IF('数据-取费表'!E3="否",结果表!I103,'结果表 (1修多)'!I105)</f>
        <v>#DIV/0!</v>
      </c>
      <c r="E9" s="1287"/>
    </row>
    <row r="10" spans="1:5" ht="14.25">
      <c r="A10" s="1287"/>
      <c r="B10" s="3332"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32" t="str">
        <f>IF('数据-取费表'!E3="否",结果表!F110,'结果表 (1修多)'!F112)</f>
        <v>3.房地产抵押价值</v>
      </c>
      <c r="C15" s="1288" t="str">
        <f>C7</f>
        <v>总价（元）</v>
      </c>
      <c r="D15" s="1294">
        <f>IF('数据-取费表'!E3="否",结果表!I110,'结果表 (1修多)'!I112)</f>
        <v>0</v>
      </c>
      <c r="E15" s="1287"/>
    </row>
    <row r="16" spans="1:5" ht="14.25">
      <c r="A16" s="1287"/>
      <c r="B16" s="3332"/>
      <c r="C16" s="1295" t="s">
        <v>924</v>
      </c>
      <c r="D16" s="1294" t="str">
        <f>IF('数据-取费表'!B3="万元",NUMBERSTRING(INT(D15*10000),2)&amp;"元整",NUMBERSTRING(INT(D15),2)&amp;"元整")</f>
        <v>零元整</v>
      </c>
      <c r="E16" s="1287"/>
    </row>
    <row r="17" spans="1:5" ht="14.25">
      <c r="A17" s="1287"/>
      <c r="B17" s="3332"/>
      <c r="C17" s="1297" t="s">
        <v>1020</v>
      </c>
      <c r="D17" s="1294" t="e">
        <f>IF('数据-取费表'!E3="否",结果表!I111,'结果表 (1修多)'!I113)</f>
        <v>#DIV/0!</v>
      </c>
      <c r="E17" s="1287"/>
    </row>
    <row r="18" spans="1:5" ht="14.25">
      <c r="A18" s="1287"/>
      <c r="B18" s="3332" t="str">
        <f>IF('数据-取费表'!E3="否",结果表!F112,'结果表 (1修多)'!F114)</f>
        <v>——</v>
      </c>
      <c r="C18" s="1288" t="str">
        <f>C7</f>
        <v>总价（元）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IF('数据-取费表'!E3="否",结果表!I102,'结果表 (1修多)'!I104)</f>
        <v>0</v>
      </c>
      <c r="E28" s="1287"/>
    </row>
    <row r="29" spans="1:5" ht="14.25">
      <c r="A29" s="1287"/>
      <c r="B29" s="3334"/>
      <c r="C29" s="1306" t="s">
        <v>924</v>
      </c>
      <c r="D29" s="1307" t="str">
        <f>IF('数据-取费表'!B3="万元",NUMBERSTRING(INT(D28*10000),2)&amp;"元整",NUMBERSTRING(INT(D28),2)&amp;"元整")</f>
        <v>零元整</v>
      </c>
      <c r="E29" s="1287"/>
    </row>
    <row r="30" spans="1:5" ht="14.25">
      <c r="A30" s="1287"/>
      <c r="B30" s="3335"/>
      <c r="C30" s="1297" t="s">
        <v>927</v>
      </c>
      <c r="D30" s="1308" t="e">
        <f>IF('数据-取费表'!E3="否",结果表!I103,'结果表 (1修多)'!I105)</f>
        <v>#DIV/0!</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IF('数据-取费表'!E3="否",结果表!I110,'结果表 (1修多)'!I112)</f>
        <v>0</v>
      </c>
      <c r="E36" s="1287"/>
    </row>
    <row r="37" spans="1:5" ht="14.25">
      <c r="A37" s="1287"/>
      <c r="B37" s="3336"/>
      <c r="C37" s="1306" t="s">
        <v>924</v>
      </c>
      <c r="D37" s="1311" t="str">
        <f>IF('数据-取费表'!B3="万元",NUMBERSTRING(INT(D36*10000),2)&amp;"元整",NUMBERSTRING(INT(D36),2)&amp;"元整")</f>
        <v>零元整</v>
      </c>
      <c r="E37" s="1287"/>
    </row>
    <row r="38" spans="1:5" ht="14.25">
      <c r="A38" s="1287"/>
      <c r="B38" s="3336"/>
      <c r="C38" s="1297" t="s">
        <v>928</v>
      </c>
      <c r="D38" s="1308" t="e">
        <f>IF('数据-取费表'!E3="否",结果表!D113,'结果表 (1修多)'!D117)</f>
        <v>#DIV/0!</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估价结果一览表</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62.57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0" t="s">
        <v>1030</v>
      </c>
      <c r="B5" s="3350"/>
      <c r="C5" s="3350"/>
      <c r="D5" s="3348" t="str">
        <f>IF('数据-取费表'!E3="否",结果表!D122,'结果表 (1修多)'!D126)</f>
        <v>零元整</v>
      </c>
      <c r="E5" s="3348"/>
      <c r="F5" s="3348" t="str">
        <f>IF('数据-取费表'!E3="否",结果表!F122,'结果表 (1修多)'!F126)</f>
        <v>零元整</v>
      </c>
      <c r="G5" s="3348"/>
      <c r="H5" s="3348" t="str">
        <f>IF('数据-取费表'!E3="否",结果表!H122,'结果表 (1修多)'!H126)</f>
        <v>零元整</v>
      </c>
      <c r="I5" s="3348"/>
    </row>
    <row r="6" spans="1:9" ht="15.75">
      <c r="A6" s="3349" t="str">
        <f>IF('数据-取费表'!E3="否",结果表!A123,'结果表 (1修多)'!A127)</f>
        <v>——</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v>
      </c>
      <c r="B8" s="3349"/>
      <c r="C8" s="3349"/>
      <c r="D8" s="3349">
        <f>IF('数据-取费表'!E3="否",结果表!D125,'结果表 (1修多)'!D129)</f>
        <v>0</v>
      </c>
      <c r="E8" s="3349"/>
      <c r="F8" s="3349"/>
      <c r="G8" s="3349"/>
      <c r="H8" s="3349"/>
      <c r="I8" s="3349"/>
    </row>
    <row r="9" spans="1:9" ht="15">
      <c r="A9" s="3350" t="s">
        <v>1030</v>
      </c>
      <c r="B9" s="3350"/>
      <c r="C9" s="3350"/>
      <c r="D9" s="3348" t="e">
        <f>IF('数据-取费表'!E3="否",结果表!D126,'结果表 (1修多)'!D130)</f>
        <v>#DIV/0!</v>
      </c>
      <c r="E9" s="3348"/>
      <c r="F9" s="3348"/>
      <c r="G9" s="3348"/>
      <c r="H9" s="3348"/>
      <c r="I9" s="3348"/>
    </row>
    <row r="10" spans="1:9" ht="15.75">
      <c r="A10" s="3349" t="str">
        <f>IF('数据-取费表'!E3="否",结果表!A127,'结果表 (1修多)'!A131)</f>
        <v>——</v>
      </c>
      <c r="B10" s="3349"/>
      <c r="C10" s="3349"/>
      <c r="D10" s="3349" t="e">
        <f>IF('数据-取费表'!E3="否",结果表!D127,'结果表 (1修多)'!D130)</f>
        <v>#DIV/0!</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2495</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59" t="str">
        <f>IF(项目基本情况!D4="抵押","3.抵押双方在办理抵押登记手续时，应使用本公司出具的正式《不动产估价报告书》，特提醒报告使用者注意。","——")</f>
        <v>——</v>
      </c>
      <c r="B14" s="3361"/>
      <c r="C14" s="3361"/>
      <c r="D14" s="3361"/>
    </row>
    <row r="15" spans="1:4" ht="15.75" customHeight="1">
      <c r="A15" s="3359" t="str">
        <f>IF(项目基本情况!D4="抵押","4.本次评估估价师所知悉的法定优先受偿款情况说明如下：","——")</f>
        <v>——</v>
      </c>
      <c r="B15" s="3361"/>
      <c r="C15" s="3361"/>
      <c r="D15" s="3361"/>
    </row>
    <row r="16" spans="1:4" ht="75" customHeight="1">
      <c r="A16" s="3359" t="str">
        <f>IF(项目基本情况!D4="抵押",CONCATENATE(项目基本情况!J13,项目基本情况!J14,项目基本情况!J15),"——")</f>
        <v>——</v>
      </c>
      <c r="B16" s="3359"/>
      <c r="C16" s="3359"/>
      <c r="D16" s="3359"/>
    </row>
    <row r="17" spans="1:4" ht="63.75" customHeight="1">
      <c r="A17" s="3360" t="s">
        <v>1045</v>
      </c>
      <c r="B17" s="3360"/>
      <c r="C17" s="3360"/>
      <c r="D17" s="3360"/>
    </row>
    <row r="18" spans="1:4" ht="15.75" customHeight="1">
      <c r="A18" s="3359" t="str">
        <f>IF(项目基本情况!D4="抵押",结果表!L106,"——")</f>
        <v>——</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2496</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44811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本次估价的“房地产价值”是指在正常市场情况下，在价值时点2022年8月9日，估价对象规划用途为，假定未设立法定优先受偿款下的房地产市场价值。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2022-09-07T08:43:06Z</dcterms:modified>
</cp:coreProperties>
</file>