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94-P01-P12-吴琼中行重估嘉盛中心房本\P04DYGJ2\"/>
    </mc:Choice>
  </mc:AlternateContent>
  <xr:revisionPtr revIDLastSave="0" documentId="13_ncr:1_{EA18D32B-9AA9-4F3D-974D-C8726D27D138}"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B14" i="74"/>
  <c r="F19" i="6"/>
  <c r="G14" i="73"/>
  <c r="F14" i="73"/>
  <c r="E14" i="73"/>
  <c r="D14" i="74" l="1"/>
  <c r="G14" i="74" s="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3" i="79"/>
  <c r="AG33" i="79" s="1"/>
  <c r="S35" i="79"/>
  <c r="AG35" i="79" s="1"/>
  <c r="W40" i="79"/>
  <c r="AK40" i="79" s="1"/>
  <c r="AH40"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B66" i="71"/>
  <c r="N65" i="71" s="1"/>
  <c r="T68" i="71"/>
  <c r="D68" i="71"/>
  <c r="C67" i="71"/>
  <c r="D67" i="71" s="1"/>
  <c r="Q68" i="71"/>
  <c r="E71" i="71"/>
  <c r="E70" i="71" s="1"/>
  <c r="D72" i="71"/>
  <c r="D76" i="71"/>
  <c r="E79" i="71"/>
  <c r="E78" i="71" s="1"/>
  <c r="D80" i="71"/>
  <c r="C87" i="71"/>
  <c r="C86" i="71" s="1"/>
  <c r="D86" i="71" s="1"/>
  <c r="F28" i="71"/>
  <c r="F27" i="71" s="1"/>
  <c r="F26" i="71" s="1"/>
  <c r="AA3" i="71"/>
  <c r="O67" i="71"/>
  <c r="D63" i="7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S21" i="34"/>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6" i="31"/>
  <c r="R37" i="31"/>
  <c r="R38" i="31"/>
  <c r="S38" i="31" s="1"/>
  <c r="R39" i="31"/>
  <c r="R40" i="31"/>
  <c r="R41" i="31"/>
  <c r="R42" i="31"/>
  <c r="S42" i="31" s="1"/>
  <c r="R43" i="31"/>
  <c r="S43" i="31" s="1"/>
  <c r="R44" i="31"/>
  <c r="R45" i="31"/>
  <c r="R46" i="31"/>
  <c r="S46" i="31" s="1"/>
  <c r="R47" i="31"/>
  <c r="S47" i="31" s="1"/>
  <c r="R48" i="31"/>
  <c r="R49" i="31"/>
  <c r="R50" i="31"/>
  <c r="S50" i="31" s="1"/>
  <c r="R51" i="31"/>
  <c r="S51" i="31" s="1"/>
  <c r="R52" i="31"/>
  <c r="R53" i="31"/>
  <c r="R54" i="31"/>
  <c r="S54" i="31" s="1"/>
  <c r="R55" i="31"/>
  <c r="S55" i="31" s="1"/>
  <c r="R56" i="31"/>
  <c r="R57" i="31"/>
  <c r="S57" i="31" s="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S73" i="31" s="1"/>
  <c r="R74" i="31"/>
  <c r="S74" i="31" s="1"/>
  <c r="R75" i="31"/>
  <c r="R76" i="31"/>
  <c r="R77" i="31"/>
  <c r="S77" i="31" s="1"/>
  <c r="R78" i="31"/>
  <c r="S78" i="31" s="1"/>
  <c r="R79" i="31"/>
  <c r="S79" i="31" s="1"/>
  <c r="R80" i="31"/>
  <c r="R81" i="31"/>
  <c r="S81" i="31" s="1"/>
  <c r="R82" i="31"/>
  <c r="S82" i="31" s="1"/>
  <c r="R83" i="31"/>
  <c r="R84" i="31"/>
  <c r="R85" i="31"/>
  <c r="S85" i="31" s="1"/>
  <c r="R86" i="31"/>
  <c r="S86" i="31" s="1"/>
  <c r="R87" i="31"/>
  <c r="S87" i="31" s="1"/>
  <c r="R88" i="31"/>
  <c r="R89" i="31"/>
  <c r="S89" i="31" s="1"/>
  <c r="R90" i="31"/>
  <c r="R91" i="31"/>
  <c r="S91" i="31" s="1"/>
  <c r="R92" i="31"/>
  <c r="R93" i="31"/>
  <c r="S93" i="31" s="1"/>
  <c r="R94" i="31"/>
  <c r="S94" i="31" s="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S114" i="31" s="1"/>
  <c r="R115" i="31"/>
  <c r="S115" i="31" s="1"/>
  <c r="R116" i="31"/>
  <c r="R117" i="31"/>
  <c r="S117" i="31" s="1"/>
  <c r="R118" i="31"/>
  <c r="S118" i="31" s="1"/>
  <c r="R119" i="31"/>
  <c r="R120" i="31"/>
  <c r="R121" i="31"/>
  <c r="S121" i="31" s="1"/>
  <c r="R122" i="31"/>
  <c r="S122" i="31" s="1"/>
  <c r="R123" i="31"/>
  <c r="S123" i="31" s="1"/>
  <c r="R124" i="31"/>
  <c r="R125" i="31"/>
  <c r="R126" i="31"/>
  <c r="S126" i="31" s="1"/>
  <c r="R127" i="3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R144" i="31"/>
  <c r="R145" i="31"/>
  <c r="R146" i="31"/>
  <c r="S146" i="31" s="1"/>
  <c r="R147" i="31"/>
  <c r="S147" i="31" s="1"/>
  <c r="R148" i="31"/>
  <c r="R149" i="31"/>
  <c r="R150" i="31"/>
  <c r="S150" i="31" s="1"/>
  <c r="R151" i="31"/>
  <c r="S151" i="31" s="1"/>
  <c r="R152" i="31"/>
  <c r="R153" i="31"/>
  <c r="R154" i="31"/>
  <c r="S154" i="31" s="1"/>
  <c r="R155" i="31"/>
  <c r="S155" i="31" s="1"/>
  <c r="R156" i="31"/>
  <c r="R157" i="31"/>
  <c r="S157" i="31" s="1"/>
  <c r="R158" i="31"/>
  <c r="S158" i="31" s="1"/>
  <c r="R159" i="31"/>
  <c r="S159" i="31" s="1"/>
  <c r="R160" i="31"/>
  <c r="R161" i="31"/>
  <c r="S161" i="31" s="1"/>
  <c r="R162" i="31"/>
  <c r="S162" i="31" s="1"/>
  <c r="R163" i="31"/>
  <c r="S163" i="31" s="1"/>
  <c r="R164" i="31"/>
  <c r="R165" i="31"/>
  <c r="R166" i="31"/>
  <c r="S166" i="31" s="1"/>
  <c r="R167" i="31"/>
  <c r="R168" i="31"/>
  <c r="R169" i="31"/>
  <c r="R170" i="31"/>
  <c r="S170" i="31" s="1"/>
  <c r="R171" i="31"/>
  <c r="S171" i="31" s="1"/>
  <c r="R172" i="31"/>
  <c r="R173" i="31"/>
  <c r="S173" i="31" s="1"/>
  <c r="R174" i="31"/>
  <c r="S174" i="31" s="1"/>
  <c r="R175" i="31"/>
  <c r="S175" i="31" s="1"/>
  <c r="R176" i="31"/>
  <c r="R177" i="31"/>
  <c r="S177" i="31" s="1"/>
  <c r="R178" i="31"/>
  <c r="S178" i="31" s="1"/>
  <c r="R179" i="31"/>
  <c r="S179" i="31" s="1"/>
  <c r="R180" i="31"/>
  <c r="R181" i="3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R198" i="31"/>
  <c r="S198" i="31" s="1"/>
  <c r="R199" i="31"/>
  <c r="R200" i="31"/>
  <c r="R201" i="31"/>
  <c r="R202" i="31"/>
  <c r="S202" i="31" s="1"/>
  <c r="R203" i="31"/>
  <c r="S203" i="31" s="1"/>
  <c r="R204" i="31"/>
  <c r="R205" i="31"/>
  <c r="S205" i="31" s="1"/>
  <c r="R206" i="31"/>
  <c r="S206" i="31" s="1"/>
  <c r="R207" i="31"/>
  <c r="S207" i="31" s="1"/>
  <c r="R208" i="31"/>
  <c r="R209" i="31"/>
  <c r="S209" i="31" s="1"/>
  <c r="R210" i="31"/>
  <c r="S210" i="31" s="1"/>
  <c r="R211" i="31"/>
  <c r="S211" i="31" s="1"/>
  <c r="R212" i="31"/>
  <c r="R213" i="31"/>
  <c r="R214" i="31"/>
  <c r="S214" i="31" s="1"/>
  <c r="R215" i="31"/>
  <c r="S215" i="31" s="1"/>
  <c r="R216" i="31"/>
  <c r="R217" i="31"/>
  <c r="R218" i="31"/>
  <c r="S218" i="31" s="1"/>
  <c r="R219" i="31"/>
  <c r="S219" i="31" s="1"/>
  <c r="R220" i="31"/>
  <c r="R221" i="31"/>
  <c r="S221" i="31" s="1"/>
  <c r="R222" i="31"/>
  <c r="S222" i="31" s="1"/>
  <c r="R223" i="31"/>
  <c r="S223" i="31" s="1"/>
  <c r="R224" i="31"/>
  <c r="R225" i="31"/>
  <c r="S225" i="31" s="1"/>
  <c r="R226" i="31"/>
  <c r="S226" i="31" s="1"/>
  <c r="R227" i="31"/>
  <c r="R228" i="31"/>
  <c r="R229" i="31"/>
  <c r="R230" i="31"/>
  <c r="S230" i="31" s="1"/>
  <c r="R231" i="31"/>
  <c r="S231" i="31" s="1"/>
  <c r="R232" i="31"/>
  <c r="R233" i="31"/>
  <c r="R234" i="31"/>
  <c r="S234" i="31" s="1"/>
  <c r="R235" i="31"/>
  <c r="S235" i="31" s="1"/>
  <c r="R236" i="31"/>
  <c r="R237" i="31"/>
  <c r="S237" i="31" s="1"/>
  <c r="R238" i="31"/>
  <c r="S238" i="31" s="1"/>
  <c r="R239" i="31"/>
  <c r="R240" i="31"/>
  <c r="R241" i="31"/>
  <c r="S241" i="31" s="1"/>
  <c r="R242" i="31"/>
  <c r="S242" i="31" s="1"/>
  <c r="R243" i="31"/>
  <c r="S243" i="31" s="1"/>
  <c r="R244" i="31"/>
  <c r="R245" i="31"/>
  <c r="R246" i="31"/>
  <c r="S246" i="31" s="1"/>
  <c r="R247" i="31"/>
  <c r="S247" i="31" s="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R430" i="31"/>
  <c r="S430" i="31" s="1"/>
  <c r="R431" i="31"/>
  <c r="S431" i="31" s="1"/>
  <c r="R432" i="31"/>
  <c r="S432" i="31" s="1"/>
  <c r="R433" i="31"/>
  <c r="S433" i="31" s="1"/>
  <c r="R434" i="31"/>
  <c r="R435" i="31"/>
  <c r="S435" i="31" s="1"/>
  <c r="R436" i="31"/>
  <c r="S436" i="31" s="1"/>
  <c r="R437" i="31"/>
  <c r="R438" i="31"/>
  <c r="S438" i="31" s="1"/>
  <c r="R439" i="31"/>
  <c r="S439" i="31" s="1"/>
  <c r="R440" i="31"/>
  <c r="S440" i="31" s="1"/>
  <c r="R441" i="31"/>
  <c r="S441" i="31" s="1"/>
  <c r="R442" i="31"/>
  <c r="R443" i="31"/>
  <c r="S443" i="31" s="1"/>
  <c r="R444" i="31"/>
  <c r="S444" i="31" s="1"/>
  <c r="R445" i="31"/>
  <c r="S445" i="31" s="1"/>
  <c r="R446" i="31"/>
  <c r="S446" i="31" s="1"/>
  <c r="R447" i="31"/>
  <c r="R448" i="31"/>
  <c r="S448" i="31" s="1"/>
  <c r="R449" i="31"/>
  <c r="R450" i="31"/>
  <c r="S450" i="31" s="1"/>
  <c r="R451" i="31"/>
  <c r="R452" i="31"/>
  <c r="S452" i="31" s="1"/>
  <c r="R453" i="31"/>
  <c r="R454" i="31"/>
  <c r="S454" i="31" s="1"/>
  <c r="R455" i="31"/>
  <c r="R456" i="31"/>
  <c r="S456" i="31" s="1"/>
  <c r="R457" i="31"/>
  <c r="S457" i="31" s="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S498" i="31" s="1"/>
  <c r="R499" i="31"/>
  <c r="R500" i="31"/>
  <c r="S500" i="31" s="1"/>
  <c r="R501" i="31"/>
  <c r="R502" i="31"/>
  <c r="S502" i="31" s="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R520" i="31"/>
  <c r="S520" i="31" s="1"/>
  <c r="R521" i="31"/>
  <c r="R522" i="31"/>
  <c r="S522" i="31" s="1"/>
  <c r="R523" i="31"/>
  <c r="R524" i="31"/>
  <c r="S524" i="31" s="1"/>
  <c r="C25" i="31"/>
  <c r="R25" i="31" s="1"/>
  <c r="S25" i="31" s="1"/>
  <c r="C26" i="31"/>
  <c r="R26" i="31" s="1"/>
  <c r="S26" i="31" s="1"/>
  <c r="C27" i="31"/>
  <c r="R27" i="31" s="1"/>
  <c r="S27" i="31" s="1"/>
  <c r="C28" i="31"/>
  <c r="R28" i="31" s="1"/>
  <c r="S28" i="31" s="1"/>
  <c r="C29" i="31"/>
  <c r="C30" i="31"/>
  <c r="R30" i="31" s="1"/>
  <c r="S30" i="31" s="1"/>
  <c r="C31" i="31"/>
  <c r="R31" i="31" s="1"/>
  <c r="S31" i="31" s="1"/>
  <c r="C32" i="31"/>
  <c r="R32" i="31" s="1"/>
  <c r="S32" i="31" s="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60" i="31"/>
  <c r="S350" i="31"/>
  <c r="S336" i="31"/>
  <c r="S328" i="31"/>
  <c r="S326" i="31"/>
  <c r="S310" i="31"/>
  <c r="S294" i="31"/>
  <c r="S284" i="31"/>
  <c r="S280" i="31"/>
  <c r="S276" i="31"/>
  <c r="S272" i="31"/>
  <c r="S268" i="31"/>
  <c r="S264" i="31"/>
  <c r="S260" i="31"/>
  <c r="S256" i="31"/>
  <c r="S252" i="31"/>
  <c r="S251" i="31"/>
  <c r="S249" i="31"/>
  <c r="S248" i="31"/>
  <c r="S245" i="31"/>
  <c r="S244" i="31"/>
  <c r="S240" i="31"/>
  <c r="S239" i="31"/>
  <c r="S236" i="31"/>
  <c r="S233" i="31"/>
  <c r="S232" i="31"/>
  <c r="S229" i="31"/>
  <c r="S228" i="31"/>
  <c r="S227" i="31"/>
  <c r="S224" i="31"/>
  <c r="S429" i="31"/>
  <c r="S427" i="31"/>
  <c r="S220" i="31"/>
  <c r="S217" i="31"/>
  <c r="S216" i="31"/>
  <c r="S213" i="31"/>
  <c r="S212" i="31"/>
  <c r="S208" i="31"/>
  <c r="S204" i="31"/>
  <c r="S201" i="31"/>
  <c r="S200" i="31"/>
  <c r="S199" i="31"/>
  <c r="S197" i="31"/>
  <c r="S196" i="31"/>
  <c r="S192" i="31"/>
  <c r="S188" i="31"/>
  <c r="S185" i="31"/>
  <c r="S184" i="31"/>
  <c r="S181" i="31"/>
  <c r="S180" i="31"/>
  <c r="S176" i="31"/>
  <c r="S172" i="31"/>
  <c r="S169" i="31"/>
  <c r="S168" i="31"/>
  <c r="S167" i="31"/>
  <c r="S165" i="31"/>
  <c r="S164" i="31"/>
  <c r="S160" i="31"/>
  <c r="S156" i="31"/>
  <c r="S153" i="31"/>
  <c r="S152" i="31"/>
  <c r="S149" i="31"/>
  <c r="S148" i="31"/>
  <c r="S145" i="31"/>
  <c r="S144" i="31"/>
  <c r="S143" i="31"/>
  <c r="S141" i="31"/>
  <c r="S140" i="31"/>
  <c r="S137" i="31"/>
  <c r="S136" i="31"/>
  <c r="S133" i="31"/>
  <c r="S132" i="31"/>
  <c r="S129" i="31"/>
  <c r="S128" i="31"/>
  <c r="S127" i="31"/>
  <c r="S125" i="31"/>
  <c r="S124" i="31"/>
  <c r="S497" i="31"/>
  <c r="S485" i="31"/>
  <c r="S481" i="31"/>
  <c r="S469" i="31"/>
  <c r="S442" i="31"/>
  <c r="S437" i="31"/>
  <c r="S434" i="31"/>
  <c r="S120" i="31"/>
  <c r="S119" i="31"/>
  <c r="S116" i="31"/>
  <c r="S112" i="31"/>
  <c r="S506" i="31"/>
  <c r="S465" i="31"/>
  <c r="S461" i="31"/>
  <c r="S455" i="31"/>
  <c r="S453" i="31"/>
  <c r="S451" i="31"/>
  <c r="S53" i="31"/>
  <c r="S52" i="31"/>
  <c r="S49" i="31"/>
  <c r="S48" i="31"/>
  <c r="S45" i="31"/>
  <c r="S44" i="31"/>
  <c r="S41" i="31"/>
  <c r="S40" i="31"/>
  <c r="S39" i="31"/>
  <c r="S37" i="31"/>
  <c r="S36" i="31"/>
  <c r="S76" i="31"/>
  <c r="S75" i="31"/>
  <c r="S72" i="31"/>
  <c r="S68" i="31"/>
  <c r="S67" i="31"/>
  <c r="S64" i="31"/>
  <c r="S60" i="31"/>
  <c r="S59" i="31"/>
  <c r="S56" i="31"/>
  <c r="S24" i="31"/>
  <c r="S96" i="31"/>
  <c r="S92" i="31"/>
  <c r="S90" i="31"/>
  <c r="S88" i="31"/>
  <c r="S84" i="31"/>
  <c r="S83" i="31"/>
  <c r="S80" i="31"/>
  <c r="S98" i="31"/>
  <c r="S99" i="31"/>
  <c r="S100" i="31"/>
  <c r="S101" i="31"/>
  <c r="S102" i="31"/>
  <c r="S103" i="31"/>
  <c r="S104" i="31"/>
  <c r="S105" i="31"/>
  <c r="S106" i="31"/>
  <c r="S107" i="31"/>
  <c r="S108" i="31"/>
  <c r="S109" i="31"/>
  <c r="S110" i="31"/>
  <c r="S111" i="31"/>
  <c r="S447" i="31"/>
  <c r="S449"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9" i="31"/>
  <c r="S521"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B131" i="34"/>
  <c r="F47" i="34" s="1"/>
  <c r="S47" i="34" s="1"/>
  <c r="B129" i="34"/>
  <c r="B127" i="34"/>
  <c r="B99" i="34"/>
  <c r="B97" i="34"/>
  <c r="F31" i="34" s="1"/>
  <c r="S31" i="34" s="1"/>
  <c r="B95" i="34"/>
  <c r="B93" i="34"/>
  <c r="B75" i="34"/>
  <c r="B73" i="34"/>
  <c r="F13" i="34" s="1"/>
  <c r="AA13" i="34" s="1"/>
  <c r="B71" i="34"/>
  <c r="J12" i="34" s="1"/>
  <c r="W12" i="34" s="1"/>
  <c r="B130" i="33"/>
  <c r="B128" i="33"/>
  <c r="F45" i="33" s="1"/>
  <c r="B126" i="33"/>
  <c r="H44" i="33" s="1"/>
  <c r="B98" i="33"/>
  <c r="B96" i="33"/>
  <c r="B94" i="33"/>
  <c r="F29" i="33" s="1"/>
  <c r="S29" i="33" s="1"/>
  <c r="B74" i="33"/>
  <c r="H14" i="33" s="1"/>
  <c r="U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J30" i="21" s="1"/>
  <c r="B94" i="21"/>
  <c r="J29" i="21" s="1"/>
  <c r="AC29" i="21" s="1"/>
  <c r="B92" i="21"/>
  <c r="J28" i="21" s="1"/>
  <c r="W28" i="21" s="1"/>
  <c r="B90" i="21"/>
  <c r="J27" i="21" s="1"/>
  <c r="W27" i="21"/>
  <c r="B74" i="21"/>
  <c r="J14" i="21" s="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H36" i="39"/>
  <c r="AB36" i="39" s="1"/>
  <c r="J35" i="39"/>
  <c r="AC35" i="39" s="1"/>
  <c r="F35" i="39"/>
  <c r="AA35" i="39"/>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W22" i="35"/>
  <c r="F36" i="34"/>
  <c r="J35" i="34"/>
  <c r="U34" i="34"/>
  <c r="H39" i="33"/>
  <c r="AB39" i="33"/>
  <c r="U33" i="33"/>
  <c r="U35" i="33"/>
  <c r="S40" i="33"/>
  <c r="W33" i="33"/>
  <c r="W39" i="33"/>
  <c r="S27" i="35"/>
  <c r="F11" i="40"/>
  <c r="AA11" i="40"/>
  <c r="H11" i="40"/>
  <c r="AB11" i="40"/>
  <c r="AB3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AB12" i="35"/>
  <c r="W32" i="40"/>
  <c r="F37" i="39"/>
  <c r="AA37" i="39"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AA41"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W14" i="21"/>
  <c r="F14" i="21"/>
  <c r="S14" i="21" s="1"/>
  <c r="H14" i="21"/>
  <c r="U14" i="21" s="1"/>
  <c r="H28" i="21"/>
  <c r="AB28" i="21" s="1"/>
  <c r="F28" i="21"/>
  <c r="AA28" i="21"/>
  <c r="H30" i="21"/>
  <c r="U30" i="2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J29" i="33"/>
  <c r="H29" i="33"/>
  <c r="U29" i="33" s="1"/>
  <c r="J31" i="33"/>
  <c r="W31" i="33" s="1"/>
  <c r="H31" i="33"/>
  <c r="F31" i="33"/>
  <c r="H45" i="33"/>
  <c r="J45" i="33"/>
  <c r="W45" i="33" s="1"/>
  <c r="AA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W12" i="40"/>
  <c r="J14" i="33"/>
  <c r="H30" i="33"/>
  <c r="AB30" i="33"/>
  <c r="F30" i="33"/>
  <c r="J30" i="33"/>
  <c r="F44" i="33"/>
  <c r="S44" i="33" s="1"/>
  <c r="J46" i="33"/>
  <c r="AC46" i="33"/>
  <c r="F46" i="33"/>
  <c r="AA46" i="33" s="1"/>
  <c r="H46" i="33"/>
  <c r="J29" i="34"/>
  <c r="F29" i="34"/>
  <c r="S29" i="34"/>
  <c r="H29" i="34"/>
  <c r="AB29" i="34" s="1"/>
  <c r="H31" i="34"/>
  <c r="H45" i="34"/>
  <c r="U45" i="34" s="1"/>
  <c r="J45" i="34"/>
  <c r="W45" i="34" s="1"/>
  <c r="F45" i="34"/>
  <c r="S45" i="34" s="1"/>
  <c r="F13" i="35"/>
  <c r="J13" i="35"/>
  <c r="AC13" i="35"/>
  <c r="H13" i="35"/>
  <c r="U13" i="35" s="1"/>
  <c r="J25" i="35"/>
  <c r="W25" i="35" s="1"/>
  <c r="F25" i="35"/>
  <c r="S25" i="35" s="1"/>
  <c r="H25" i="35"/>
  <c r="AB25" i="35"/>
  <c r="J35" i="35"/>
  <c r="AC35" i="35" s="1"/>
  <c r="F35" i="35"/>
  <c r="AA35" i="35" s="1"/>
  <c r="H35" i="35"/>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J36" i="37"/>
  <c r="AC36" i="37"/>
  <c r="J10" i="36"/>
  <c r="AC10" i="36" s="1"/>
  <c r="AB30" i="21"/>
  <c r="AA14" i="37"/>
  <c r="AB46" i="34"/>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AZ532" i="3" s="1"/>
  <c r="BA530" i="3"/>
  <c r="BA528" i="3"/>
  <c r="BA526" i="3"/>
  <c r="BA524" i="3"/>
  <c r="BA522" i="3"/>
  <c r="BA520" i="3"/>
  <c r="BA518" i="3"/>
  <c r="AZ518" i="3" s="1"/>
  <c r="BA516" i="3"/>
  <c r="BA514" i="3"/>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W23" i="35"/>
  <c r="U26" i="37"/>
  <c r="AC36" i="34"/>
  <c r="AC31" i="33"/>
  <c r="AC45" i="33"/>
  <c r="U19" i="21"/>
  <c r="W44"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1" i="3"/>
  <c r="BA379" i="3"/>
  <c r="AZ379" i="3" s="1"/>
  <c r="BL380" i="3"/>
  <c r="G381" i="3"/>
  <c r="BA383" i="3"/>
  <c r="AZ383" i="3" s="1"/>
  <c r="BL384" i="3"/>
  <c r="G385" i="3"/>
  <c r="BA387" i="3"/>
  <c r="AZ387" i="3" s="1"/>
  <c r="BL388" i="3"/>
  <c r="G389" i="3"/>
  <c r="BA391" i="3"/>
  <c r="AZ391" i="3" s="1"/>
  <c r="BL392" i="3"/>
  <c r="G393" i="3"/>
  <c r="AZ291" i="3"/>
  <c r="BO5" i="3"/>
  <c r="BM5" i="3"/>
  <c r="BJ5" i="3"/>
  <c r="BF5" i="3"/>
  <c r="BD5" i="3"/>
  <c r="AC5" i="3"/>
  <c r="AZ506" i="3"/>
  <c r="AZ496" i="3"/>
  <c r="G548" i="3"/>
  <c r="G538" i="3"/>
  <c r="G520" i="3"/>
  <c r="G502" i="3"/>
  <c r="BS5" i="3"/>
  <c r="BP5" i="3"/>
  <c r="G29" i="6" s="1"/>
  <c r="BN5" i="3"/>
  <c r="BK5" i="3"/>
  <c r="BI5" i="3"/>
  <c r="BG5" i="3"/>
  <c r="BE5" i="3"/>
  <c r="BC5" i="3"/>
  <c r="G17" i="3"/>
  <c r="BA17" i="3"/>
  <c r="BT5" i="3"/>
  <c r="AZ350" i="3"/>
  <c r="BA15" i="3"/>
  <c r="BB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6" i="3"/>
  <c r="AZ271" i="3"/>
  <c r="AZ133" i="3"/>
  <c r="AZ74"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33" i="3"/>
  <c r="AZ465" i="3"/>
  <c r="W12" i="33"/>
  <c r="AC12" i="33"/>
  <c r="AA32" i="36"/>
  <c r="S32" i="36"/>
  <c r="AZ437" i="3"/>
  <c r="BL14" i="3"/>
  <c r="U30" i="33"/>
  <c r="AA47" i="34"/>
  <c r="W28" i="37"/>
  <c r="S19" i="39"/>
  <c r="F12" i="33"/>
  <c r="H12" i="39"/>
  <c r="AB12" i="39" s="1"/>
  <c r="F39" i="40"/>
  <c r="BA14" i="3"/>
  <c r="AZ254"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C26" i="36"/>
  <c r="AA22" i="36"/>
  <c r="W14" i="36"/>
  <c r="AB14" i="36"/>
  <c r="U22" i="36"/>
  <c r="S16"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E19" i="69"/>
  <c r="E19" i="68"/>
  <c r="E19" i="11"/>
  <c r="E1" i="73"/>
  <c r="G22" i="69"/>
  <c r="G22" i="68"/>
  <c r="G26" i="12"/>
  <c r="G22" i="11"/>
  <c r="C6" i="43"/>
  <c r="B19" i="53"/>
  <c r="B37" i="72" s="1"/>
  <c r="C7" i="2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J19" i="37"/>
  <c r="W19" i="37" s="1"/>
  <c r="G75" i="37"/>
  <c r="AA19" i="37"/>
  <c r="AA23" i="37"/>
  <c r="J23" i="37"/>
  <c r="W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B25" i="33"/>
  <c r="AA25" i="33"/>
  <c r="G87" i="33"/>
  <c r="H87" i="33"/>
  <c r="I87" i="33" s="1"/>
  <c r="J87" i="33" s="1"/>
  <c r="K87" i="33" s="1"/>
  <c r="L87" i="33" s="1"/>
  <c r="M87" i="33" s="1"/>
  <c r="J25" i="33"/>
  <c r="AC25" i="33" s="1"/>
  <c r="AB23" i="33"/>
  <c r="U23" i="33"/>
  <c r="F23" i="33"/>
  <c r="G85" i="33"/>
  <c r="AA19" i="33"/>
  <c r="H19" i="33"/>
  <c r="U19" i="33" s="1"/>
  <c r="H17" i="33"/>
  <c r="U17" i="33" s="1"/>
  <c r="F17" i="33"/>
  <c r="S17" i="33" s="1"/>
  <c r="W17" i="33"/>
  <c r="S37" i="21"/>
  <c r="AA23" i="21"/>
  <c r="AB15" i="21"/>
  <c r="J23" i="21"/>
  <c r="F85" i="21"/>
  <c r="G85" i="21" s="1"/>
  <c r="H23" i="21"/>
  <c r="AB23" i="21" s="1"/>
  <c r="S13" i="21"/>
  <c r="D6" i="52"/>
  <c r="AP7" i="1"/>
  <c r="AB45" i="21"/>
  <c r="AA32" i="21"/>
  <c r="S32" i="21"/>
  <c r="W9" i="21"/>
  <c r="AB32" i="21"/>
  <c r="U32" i="21"/>
  <c r="U32" i="39"/>
  <c r="AC32" i="39"/>
  <c r="W32" i="39"/>
  <c r="J11" i="37"/>
  <c r="AC11" i="37" s="1"/>
  <c r="H70" i="34"/>
  <c r="I70" i="34" s="1"/>
  <c r="J70" i="34" s="1"/>
  <c r="K70" i="34" s="1"/>
  <c r="L70" i="34" s="1"/>
  <c r="M70" i="34"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E2" i="69"/>
  <c r="E11" i="76"/>
  <c r="F20" i="31"/>
  <c r="E13" i="76"/>
  <c r="B7" i="76"/>
  <c r="D6" i="73"/>
  <c r="F7" i="73"/>
  <c r="F3" i="73"/>
  <c r="E7" i="76"/>
  <c r="AO13" i="1"/>
  <c r="E2" i="68"/>
  <c r="D19" i="9"/>
  <c r="C19" i="9"/>
  <c r="F4" i="73"/>
  <c r="B8" i="76"/>
  <c r="E9" i="76"/>
  <c r="B12" i="76"/>
  <c r="C20" i="9"/>
  <c r="D35" i="9"/>
  <c r="F6" i="73"/>
  <c r="B13" i="76"/>
  <c r="D34" i="9"/>
  <c r="E8" i="76"/>
  <c r="B9" i="76"/>
  <c r="B11" i="76"/>
  <c r="F5" i="73"/>
  <c r="D20" i="9"/>
  <c r="E10" i="76"/>
  <c r="B10" i="76"/>
  <c r="G1" i="15" l="1"/>
  <c r="B6" i="1"/>
  <c r="E6" i="1" s="1"/>
  <c r="G1" i="67"/>
  <c r="K1" i="12"/>
  <c r="G23" i="43"/>
  <c r="C23" i="43" s="1"/>
  <c r="C7" i="33"/>
  <c r="C7" i="36"/>
  <c r="C46" i="36" s="1"/>
  <c r="D46" i="36" s="1"/>
  <c r="E46" i="36" s="1"/>
  <c r="F46" i="36" s="1"/>
  <c r="G46" i="36" s="1"/>
  <c r="H46" i="36" s="1"/>
  <c r="I46" i="36" s="1"/>
  <c r="C7" i="34"/>
  <c r="M47" i="9"/>
  <c r="C7" i="35"/>
  <c r="C48" i="35" s="1"/>
  <c r="D48" i="35" s="1"/>
  <c r="C7" i="40"/>
  <c r="C63" i="40" s="1"/>
  <c r="C7" i="39"/>
  <c r="C67" i="39" s="1"/>
  <c r="AZ365" i="3"/>
  <c r="AZ314" i="3"/>
  <c r="AC27" i="33"/>
  <c r="AC23" i="37"/>
  <c r="U9" i="21"/>
  <c r="S36" i="33"/>
  <c r="S17" i="37"/>
  <c r="W33" i="34"/>
  <c r="AA40" i="34"/>
  <c r="S30" i="40"/>
  <c r="AZ14" i="3"/>
  <c r="S15" i="37"/>
  <c r="AZ388" i="3"/>
  <c r="AZ345" i="3"/>
  <c r="AZ334" i="3"/>
  <c r="AZ372" i="3"/>
  <c r="AZ347" i="3"/>
  <c r="AZ337" i="3"/>
  <c r="AZ192" i="3"/>
  <c r="AZ123" i="3"/>
  <c r="AZ376" i="3"/>
  <c r="AZ309" i="3"/>
  <c r="AA11" i="39"/>
  <c r="AA44" i="33"/>
  <c r="U45" i="33"/>
  <c r="AB45" i="33"/>
  <c r="S12" i="36"/>
  <c r="AA12" i="36"/>
  <c r="W17" i="21"/>
  <c r="U12" i="39"/>
  <c r="AA27" i="40"/>
  <c r="AB27" i="40"/>
  <c r="AZ362" i="3"/>
  <c r="AZ307" i="3"/>
  <c r="AZ390" i="3"/>
  <c r="AZ351" i="3"/>
  <c r="AZ336" i="3"/>
  <c r="AZ140" i="3"/>
  <c r="AB11" i="33"/>
  <c r="U11" i="33"/>
  <c r="S29" i="35"/>
  <c r="AA29" i="35"/>
  <c r="AC31" i="40"/>
  <c r="W31" i="40"/>
  <c r="W25" i="33"/>
  <c r="F29" i="6"/>
  <c r="E29" i="6" s="1"/>
  <c r="K15" i="1" s="1"/>
  <c r="AZ318" i="3"/>
  <c r="AZ346" i="3"/>
  <c r="AZ306" i="3"/>
  <c r="W12" i="37"/>
  <c r="AC12" i="37"/>
  <c r="AB14" i="40"/>
  <c r="U14" i="40"/>
  <c r="AB46" i="33"/>
  <c r="U46" i="33"/>
  <c r="AA11" i="36"/>
  <c r="S11" i="36"/>
  <c r="S13" i="33"/>
  <c r="AA13" i="33"/>
  <c r="U23" i="34"/>
  <c r="AB23" i="34"/>
  <c r="S36" i="39"/>
  <c r="AA36" i="39"/>
  <c r="B97" i="43"/>
  <c r="B75" i="43"/>
  <c r="AZ160" i="3"/>
  <c r="AA21" i="40"/>
  <c r="S21" i="40"/>
  <c r="J39" i="37"/>
  <c r="F39" i="37"/>
  <c r="S39" i="37" s="1"/>
  <c r="H44" i="39"/>
  <c r="J44" i="39"/>
  <c r="AZ515" i="3"/>
  <c r="AZ523" i="3"/>
  <c r="AZ547" i="3"/>
  <c r="AZ569" i="3"/>
  <c r="AZ571" i="3"/>
  <c r="AZ579" i="3"/>
  <c r="AZ516" i="3"/>
  <c r="AZ524" i="3"/>
  <c r="F25" i="36"/>
  <c r="H47" i="34"/>
  <c r="J13" i="34"/>
  <c r="AC11" i="35"/>
  <c r="J34" i="36"/>
  <c r="W34" i="36" s="1"/>
  <c r="W8" i="40"/>
  <c r="B79" i="43"/>
  <c r="H9" i="33"/>
  <c r="F9" i="33"/>
  <c r="AA9" i="33" s="1"/>
  <c r="J26" i="33"/>
  <c r="F26" i="33"/>
  <c r="H26" i="33"/>
  <c r="AC9" i="34"/>
  <c r="W9" i="34"/>
  <c r="F12" i="35"/>
  <c r="S12" i="35" s="1"/>
  <c r="J12" i="35"/>
  <c r="J12" i="36"/>
  <c r="H12" i="36"/>
  <c r="AZ413" i="3"/>
  <c r="AZ443" i="3"/>
  <c r="AZ505" i="3"/>
  <c r="AZ525" i="3"/>
  <c r="AZ529" i="3"/>
  <c r="AZ537" i="3"/>
  <c r="AZ526" i="3"/>
  <c r="AZ564" i="3"/>
  <c r="AZ580" i="3"/>
  <c r="J47" i="34"/>
  <c r="J31" i="34"/>
  <c r="H13" i="34"/>
  <c r="U13" i="34" s="1"/>
  <c r="J44" i="33"/>
  <c r="F14" i="33"/>
  <c r="F34" i="36"/>
  <c r="W28" i="36"/>
  <c r="U30" i="36"/>
  <c r="AB30" i="36"/>
  <c r="AZ577" i="3"/>
  <c r="AZ513" i="3"/>
  <c r="AZ575" i="3"/>
  <c r="AZ528" i="3"/>
  <c r="AZ548" i="3"/>
  <c r="AZ566" i="3"/>
  <c r="AZ574" i="3"/>
  <c r="AZ582" i="3"/>
  <c r="AZ502" i="3"/>
  <c r="S38" i="33"/>
  <c r="S38" i="40"/>
  <c r="H39" i="37"/>
  <c r="U34" i="35"/>
  <c r="BL587" i="3"/>
  <c r="AZ587" i="3" s="1"/>
  <c r="BL586" i="3"/>
  <c r="AZ586" i="3" s="1"/>
  <c r="J36" i="35"/>
  <c r="AC36" i="35" s="1"/>
  <c r="J24" i="36"/>
  <c r="H24" i="36"/>
  <c r="F24" i="36"/>
  <c r="AB30" i="37"/>
  <c r="U30" i="37"/>
  <c r="F44" i="39"/>
  <c r="BL550" i="3"/>
  <c r="BL15" i="3"/>
  <c r="AZ15" i="3" s="1"/>
  <c r="BA398" i="3"/>
  <c r="BA399" i="3"/>
  <c r="AZ399" i="3" s="1"/>
  <c r="BL401" i="3"/>
  <c r="AZ401" i="3" s="1"/>
  <c r="BL404" i="3"/>
  <c r="AZ404" i="3" s="1"/>
  <c r="BL405" i="3"/>
  <c r="BL407" i="3"/>
  <c r="BA412" i="3"/>
  <c r="AZ412" i="3" s="1"/>
  <c r="BA414" i="3"/>
  <c r="BA415" i="3"/>
  <c r="BA416" i="3"/>
  <c r="AZ416" i="3" s="1"/>
  <c r="BA418" i="3"/>
  <c r="AZ418" i="3" s="1"/>
  <c r="BA421" i="3"/>
  <c r="AZ421" i="3" s="1"/>
  <c r="BA423" i="3"/>
  <c r="AZ423" i="3" s="1"/>
  <c r="BA425" i="3"/>
  <c r="BA426" i="3"/>
  <c r="AZ426" i="3" s="1"/>
  <c r="BA427" i="3"/>
  <c r="AZ427" i="3" s="1"/>
  <c r="BL455" i="3"/>
  <c r="BL458" i="3"/>
  <c r="AZ458" i="3" s="1"/>
  <c r="BL459" i="3"/>
  <c r="BL464" i="3"/>
  <c r="BA466" i="3"/>
  <c r="AZ466" i="3" s="1"/>
  <c r="BA467" i="3"/>
  <c r="BA468" i="3"/>
  <c r="BA476" i="3"/>
  <c r="AZ476" i="3" s="1"/>
  <c r="BA477" i="3"/>
  <c r="BA478" i="3"/>
  <c r="BL480" i="3"/>
  <c r="AZ480" i="3" s="1"/>
  <c r="BA483" i="3"/>
  <c r="AZ217" i="3"/>
  <c r="AZ228" i="3"/>
  <c r="AZ403" i="3"/>
  <c r="AZ405" i="3"/>
  <c r="AZ407" i="3"/>
  <c r="AZ419" i="3"/>
  <c r="G429" i="3"/>
  <c r="G430" i="3"/>
  <c r="BL431" i="3"/>
  <c r="G433" i="3"/>
  <c r="BL434" i="3"/>
  <c r="G436" i="3"/>
  <c r="G437" i="3"/>
  <c r="BL438" i="3"/>
  <c r="BL439" i="3"/>
  <c r="AZ439" i="3" s="1"/>
  <c r="BA441" i="3"/>
  <c r="AZ441" i="3" s="1"/>
  <c r="BL445" i="3"/>
  <c r="BL446" i="3"/>
  <c r="BA449" i="3"/>
  <c r="AZ449" i="3" s="1"/>
  <c r="AZ454" i="3"/>
  <c r="BL475" i="3"/>
  <c r="BL479" i="3"/>
  <c r="BA487" i="3"/>
  <c r="AZ487" i="3" s="1"/>
  <c r="AB8" i="39"/>
  <c r="C15" i="39"/>
  <c r="AA9" i="40"/>
  <c r="S31" i="35"/>
  <c r="U31" i="36"/>
  <c r="G587" i="3"/>
  <c r="F25" i="37"/>
  <c r="BA551" i="3"/>
  <c r="AZ551" i="3" s="1"/>
  <c r="BA550" i="3"/>
  <c r="AZ550" i="3" s="1"/>
  <c r="BL548" i="3"/>
  <c r="G399" i="3"/>
  <c r="BL400" i="3"/>
  <c r="AZ400" i="3" s="1"/>
  <c r="BL408" i="3"/>
  <c r="BL411" i="3"/>
  <c r="BL413" i="3"/>
  <c r="G416" i="3"/>
  <c r="BL417" i="3"/>
  <c r="BL418" i="3"/>
  <c r="BL420" i="3"/>
  <c r="G423" i="3"/>
  <c r="BL424" i="3"/>
  <c r="AZ424" i="3" s="1"/>
  <c r="BL428" i="3"/>
  <c r="BL429" i="3"/>
  <c r="BL432" i="3"/>
  <c r="BL435" i="3"/>
  <c r="AZ435" i="3" s="1"/>
  <c r="BL436" i="3"/>
  <c r="BA439" i="3"/>
  <c r="BA440" i="3"/>
  <c r="AZ440" i="3" s="1"/>
  <c r="BA442" i="3"/>
  <c r="AZ442" i="3" s="1"/>
  <c r="BA445" i="3"/>
  <c r="BA447" i="3"/>
  <c r="AZ447" i="3" s="1"/>
  <c r="AZ459" i="3"/>
  <c r="AZ460" i="3"/>
  <c r="BL585" i="3"/>
  <c r="AZ585" i="3" s="1"/>
  <c r="BL398" i="3"/>
  <c r="G402" i="3"/>
  <c r="BL403" i="3"/>
  <c r="G405"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AZ436" i="3" s="1"/>
  <c r="BA438" i="3"/>
  <c r="G442" i="3"/>
  <c r="G443" i="3"/>
  <c r="BA446" i="3"/>
  <c r="AZ446" i="3" s="1"/>
  <c r="G448" i="3"/>
  <c r="BL448" i="3"/>
  <c r="AZ448" i="3" s="1"/>
  <c r="G450" i="3"/>
  <c r="BL453" i="3"/>
  <c r="BL454" i="3"/>
  <c r="BA457" i="3"/>
  <c r="BL450" i="3"/>
  <c r="BL452" i="3"/>
  <c r="AZ452" i="3" s="1"/>
  <c r="G454" i="3"/>
  <c r="G455" i="3"/>
  <c r="BL456" i="3"/>
  <c r="BA464" i="3"/>
  <c r="AZ464" i="3" s="1"/>
  <c r="BL467" i="3"/>
  <c r="BL468" i="3"/>
  <c r="BL470" i="3"/>
  <c r="AZ470" i="3" s="1"/>
  <c r="G472" i="3"/>
  <c r="G473" i="3"/>
  <c r="BL473" i="3"/>
  <c r="AZ473" i="3" s="1"/>
  <c r="BL474" i="3"/>
  <c r="G475" i="3"/>
  <c r="BA482" i="3"/>
  <c r="BA484" i="3"/>
  <c r="AZ484" i="3" s="1"/>
  <c r="G491" i="3"/>
  <c r="BA303" i="3"/>
  <c r="AZ303" i="3" s="1"/>
  <c r="BA307" i="3"/>
  <c r="G311" i="3"/>
  <c r="BL314" i="3"/>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BL238" i="3"/>
  <c r="BL250" i="3"/>
  <c r="AZ250" i="3" s="1"/>
  <c r="BA259" i="3"/>
  <c r="AZ259" i="3" s="1"/>
  <c r="BA263" i="3"/>
  <c r="AZ263" i="3" s="1"/>
  <c r="BA281" i="3"/>
  <c r="G291" i="3"/>
  <c r="BA239" i="3"/>
  <c r="BL239" i="3"/>
  <c r="BA242" i="3"/>
  <c r="AZ242" i="3" s="1"/>
  <c r="BA245" i="3"/>
  <c r="AZ245" i="3" s="1"/>
  <c r="BA246" i="3"/>
  <c r="BL248" i="3"/>
  <c r="AZ248" i="3" s="1"/>
  <c r="BA269" i="3"/>
  <c r="AZ269" i="3" s="1"/>
  <c r="BA276" i="3"/>
  <c r="BL286" i="3"/>
  <c r="AZ286" i="3" s="1"/>
  <c r="G299" i="3"/>
  <c r="BA450" i="3"/>
  <c r="BA453" i="3"/>
  <c r="BA455" i="3"/>
  <c r="AZ455" i="3" s="1"/>
  <c r="BL457" i="3"/>
  <c r="BL460" i="3"/>
  <c r="BL461" i="3"/>
  <c r="AZ461" i="3" s="1"/>
  <c r="BL463" i="3"/>
  <c r="AZ463" i="3" s="1"/>
  <c r="G465" i="3"/>
  <c r="BA471" i="3"/>
  <c r="AZ471" i="3" s="1"/>
  <c r="G486" i="3"/>
  <c r="G488" i="3"/>
  <c r="BL317" i="3"/>
  <c r="BA349" i="3"/>
  <c r="AZ349" i="3" s="1"/>
  <c r="BA353" i="3"/>
  <c r="BL353" i="3"/>
  <c r="BA358" i="3"/>
  <c r="AZ358" i="3" s="1"/>
  <c r="BL365" i="3"/>
  <c r="BA368" i="3"/>
  <c r="BL368" i="3"/>
  <c r="BA374" i="3"/>
  <c r="AZ374" i="3" s="1"/>
  <c r="BA388" i="3"/>
  <c r="BA396" i="3"/>
  <c r="BA209" i="3"/>
  <c r="BL217" i="3"/>
  <c r="BA219" i="3"/>
  <c r="AZ219" i="3" s="1"/>
  <c r="BA221" i="3"/>
  <c r="BA223" i="3"/>
  <c r="AZ223" i="3" s="1"/>
  <c r="BL228" i="3"/>
  <c r="BA230" i="3"/>
  <c r="AZ230" i="3" s="1"/>
  <c r="BL232" i="3"/>
  <c r="BL234" i="3"/>
  <c r="BA236" i="3"/>
  <c r="BA238" i="3"/>
  <c r="BL240" i="3"/>
  <c r="AZ240" i="3" s="1"/>
  <c r="G243" i="3"/>
  <c r="BA244" i="3"/>
  <c r="AZ244" i="3" s="1"/>
  <c r="BL244" i="3"/>
  <c r="BA255" i="3"/>
  <c r="AZ255" i="3" s="1"/>
  <c r="BL261" i="3"/>
  <c r="BA265" i="3"/>
  <c r="BA267" i="3"/>
  <c r="AZ267" i="3" s="1"/>
  <c r="G271" i="3"/>
  <c r="BA274" i="3"/>
  <c r="AZ274" i="3" s="1"/>
  <c r="BL274" i="3"/>
  <c r="BL278" i="3"/>
  <c r="BA279" i="3"/>
  <c r="BA283" i="3"/>
  <c r="AZ283" i="3" s="1"/>
  <c r="BL298" i="3"/>
  <c r="G116" i="3"/>
  <c r="BL483" i="3"/>
  <c r="AZ483" i="3" s="1"/>
  <c r="BA486" i="3"/>
  <c r="BL489" i="3"/>
  <c r="BL491" i="3"/>
  <c r="AZ491" i="3" s="1"/>
  <c r="BL492" i="3"/>
  <c r="BA315" i="3"/>
  <c r="AZ315" i="3" s="1"/>
  <c r="BA333" i="3"/>
  <c r="BL346" i="3"/>
  <c r="BA384" i="3"/>
  <c r="AZ384" i="3" s="1"/>
  <c r="BA395" i="3"/>
  <c r="AZ395" i="3" s="1"/>
  <c r="BA208" i="3"/>
  <c r="AZ208" i="3" s="1"/>
  <c r="BA211" i="3"/>
  <c r="AZ211" i="3" s="1"/>
  <c r="BL213" i="3"/>
  <c r="BL215" i="3"/>
  <c r="BA222" i="3"/>
  <c r="AZ222" i="3" s="1"/>
  <c r="BA224" i="3"/>
  <c r="AZ224" i="3" s="1"/>
  <c r="BA226" i="3"/>
  <c r="AZ226" i="3" s="1"/>
  <c r="AZ270" i="3"/>
  <c r="BL293" i="3"/>
  <c r="BL294" i="3"/>
  <c r="BA297" i="3"/>
  <c r="AZ297" i="3" s="1"/>
  <c r="BL297" i="3"/>
  <c r="BL300" i="3"/>
  <c r="BA302" i="3"/>
  <c r="G115" i="3"/>
  <c r="BA117" i="3"/>
  <c r="BA130" i="3"/>
  <c r="BL130" i="3"/>
  <c r="BA137" i="3"/>
  <c r="BL138" i="3"/>
  <c r="BA140" i="3"/>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C55" i="71"/>
  <c r="D54" i="71"/>
  <c r="AZ126" i="3"/>
  <c r="AZ52" i="3"/>
  <c r="G67" i="3"/>
  <c r="BL68" i="3"/>
  <c r="BA69" i="3"/>
  <c r="AZ69" i="3" s="1"/>
  <c r="C44" i="71"/>
  <c r="D43" i="71"/>
  <c r="BL255" i="3"/>
  <c r="BL257" i="3"/>
  <c r="AZ257" i="3" s="1"/>
  <c r="BL258" i="3"/>
  <c r="BA262" i="3"/>
  <c r="AZ262" i="3" s="1"/>
  <c r="BL265" i="3"/>
  <c r="BA273" i="3"/>
  <c r="AZ273" i="3" s="1"/>
  <c r="BA278" i="3"/>
  <c r="AZ278" i="3" s="1"/>
  <c r="BA280" i="3"/>
  <c r="AZ280" i="3" s="1"/>
  <c r="BL283" i="3"/>
  <c r="BL284" i="3"/>
  <c r="AZ284" i="3" s="1"/>
  <c r="G288" i="3"/>
  <c r="BL292" i="3"/>
  <c r="BA294" i="3"/>
  <c r="AZ294" i="3" s="1"/>
  <c r="BL295" i="3"/>
  <c r="BA298" i="3"/>
  <c r="AZ298" i="3" s="1"/>
  <c r="BL301" i="3"/>
  <c r="AZ301" i="3" s="1"/>
  <c r="BL302" i="3"/>
  <c r="BA114" i="3"/>
  <c r="BL123" i="3"/>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BL54" i="3"/>
  <c r="BL55" i="3"/>
  <c r="AZ55" i="3" s="1"/>
  <c r="G58" i="3"/>
  <c r="BA59" i="3"/>
  <c r="BL61" i="3"/>
  <c r="G64" i="3"/>
  <c r="BA64" i="3"/>
  <c r="AZ64" i="3" s="1"/>
  <c r="D31" i="71"/>
  <c r="C32" i="71"/>
  <c r="D50" i="71"/>
  <c r="C51" i="71"/>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AZ18" i="3" s="1"/>
  <c r="G19" i="3"/>
  <c r="BL19" i="3"/>
  <c r="BA20" i="3"/>
  <c r="AZ20" i="3" s="1"/>
  <c r="BL25" i="3"/>
  <c r="BL27" i="3"/>
  <c r="BA28" i="3"/>
  <c r="AZ28" i="3" s="1"/>
  <c r="BA31" i="3"/>
  <c r="AZ31" i="3" s="1"/>
  <c r="BA32" i="3"/>
  <c r="G38" i="3"/>
  <c r="BA38" i="3"/>
  <c r="BA41" i="3"/>
  <c r="AZ41" i="3" s="1"/>
  <c r="BA42" i="3"/>
  <c r="G46" i="3"/>
  <c r="G47" i="3"/>
  <c r="BL48" i="3"/>
  <c r="BA51" i="3"/>
  <c r="AZ51" i="3" s="1"/>
  <c r="G55" i="3"/>
  <c r="BL69" i="3"/>
  <c r="D34" i="71"/>
  <c r="C35" i="71"/>
  <c r="F66" i="71"/>
  <c r="Q67" i="71"/>
  <c r="V24" i="71"/>
  <c r="E23" i="71"/>
  <c r="E22" i="71" s="1"/>
  <c r="E21" i="71" s="1"/>
  <c r="E20" i="71" s="1"/>
  <c r="E19" i="71" s="1"/>
  <c r="E18" i="71" s="1"/>
  <c r="E17" i="71" s="1"/>
  <c r="E16" i="71" s="1"/>
  <c r="S21" i="33"/>
  <c r="S21" i="37"/>
  <c r="B77" i="43"/>
  <c r="AA28" i="71"/>
  <c r="AB27" i="71"/>
  <c r="E75" i="71"/>
  <c r="E74" i="71" s="1"/>
  <c r="AB25" i="71"/>
  <c r="X26" i="71"/>
  <c r="Y25" i="71"/>
  <c r="Z25" i="71" s="1"/>
  <c r="Y29" i="71"/>
  <c r="Z29" i="71" s="1"/>
  <c r="AB32" i="71"/>
  <c r="X33" i="71"/>
  <c r="BL56" i="3"/>
  <c r="BA58" i="3"/>
  <c r="BL59" i="3"/>
  <c r="BL60" i="3"/>
  <c r="BA61" i="3"/>
  <c r="BA68" i="3"/>
  <c r="AZ68" i="3" s="1"/>
  <c r="BA73" i="3"/>
  <c r="AZ73" i="3" s="1"/>
  <c r="BA80" i="3"/>
  <c r="BL84" i="3"/>
  <c r="BA89" i="3"/>
  <c r="G103" i="3"/>
  <c r="BA103" i="3"/>
  <c r="AZ103" i="3" s="1"/>
  <c r="BA104" i="3"/>
  <c r="BA106" i="3"/>
  <c r="BL108" i="3"/>
  <c r="AZ108" i="3" s="1"/>
  <c r="BL111" i="3"/>
  <c r="P66" i="71"/>
  <c r="C66" i="71"/>
  <c r="AA27" i="71"/>
  <c r="AB26" i="71"/>
  <c r="S28" i="71"/>
  <c r="C83" i="71"/>
  <c r="C79" i="71"/>
  <c r="C75" i="71"/>
  <c r="C71" i="71"/>
  <c r="C39" i="71"/>
  <c r="Y28" i="71"/>
  <c r="Z28" i="71" s="1"/>
  <c r="C28" i="71"/>
  <c r="X35" i="71"/>
  <c r="Y30" i="71"/>
  <c r="Z30" i="71" s="1"/>
  <c r="X28" i="71"/>
  <c r="X32" i="71"/>
  <c r="F38" i="71"/>
  <c r="F39" i="71" s="1"/>
  <c r="F40" i="71" s="1"/>
  <c r="V40" i="71" s="1"/>
  <c r="AB38" i="71"/>
  <c r="F75" i="71"/>
  <c r="F74" i="71" s="1"/>
  <c r="B79" i="71"/>
  <c r="B78" i="71" s="1"/>
  <c r="BA45" i="3"/>
  <c r="AZ45" i="3" s="1"/>
  <c r="BA46" i="3"/>
  <c r="BL49" i="3"/>
  <c r="AZ49" i="3" s="1"/>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B88" i="43"/>
  <c r="G70" i="3"/>
  <c r="BL70" i="3"/>
  <c r="AZ70" i="3" s="1"/>
  <c r="BL71" i="3"/>
  <c r="BL72" i="3"/>
  <c r="AZ72" i="3" s="1"/>
  <c r="G74" i="3"/>
  <c r="G75" i="3"/>
  <c r="BL75" i="3"/>
  <c r="AZ75" i="3" s="1"/>
  <c r="G79" i="3"/>
  <c r="BL81" i="3"/>
  <c r="BA82" i="3"/>
  <c r="AZ82" i="3" s="1"/>
  <c r="BL83" i="3"/>
  <c r="G86" i="3"/>
  <c r="G87" i="3"/>
  <c r="BA90" i="3"/>
  <c r="AZ90" i="3" s="1"/>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31" i="3"/>
  <c r="AZ445" i="3"/>
  <c r="AZ456" i="3"/>
  <c r="AZ467" i="3"/>
  <c r="AZ468" i="3"/>
  <c r="W35" i="39"/>
  <c r="F27" i="34"/>
  <c r="C21" i="39"/>
  <c r="U9" i="36"/>
  <c r="U14" i="37"/>
  <c r="H12" i="21"/>
  <c r="G526" i="3"/>
  <c r="AZ420" i="3"/>
  <c r="AZ434" i="3"/>
  <c r="AZ438" i="3"/>
  <c r="AZ450" i="3"/>
  <c r="G28" i="6"/>
  <c r="G30" i="6" s="1"/>
  <c r="G31" i="6" s="1"/>
  <c r="U26" i="21"/>
  <c r="W36" i="39"/>
  <c r="U23" i="40"/>
  <c r="AC16" i="36"/>
  <c r="AB12" i="33"/>
  <c r="C27" i="39"/>
  <c r="U40" i="40"/>
  <c r="AC9" i="40"/>
  <c r="W36" i="35"/>
  <c r="J12" i="21"/>
  <c r="B73" i="43"/>
  <c r="B76" i="43"/>
  <c r="F9" i="36"/>
  <c r="J40" i="40"/>
  <c r="G562"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BL253" i="3"/>
  <c r="AZ253" i="3" s="1"/>
  <c r="BA261" i="3"/>
  <c r="BA264" i="3"/>
  <c r="AZ264" i="3" s="1"/>
  <c r="BA266" i="3"/>
  <c r="AZ266" i="3" s="1"/>
  <c r="G272" i="3"/>
  <c r="G275" i="3"/>
  <c r="BL276" i="3"/>
  <c r="AZ276" i="3" s="1"/>
  <c r="BL279" i="3"/>
  <c r="BL281" i="3"/>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40" i="3"/>
  <c r="AZ48"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C36" i="69"/>
  <c r="D9" i="68"/>
  <c r="F26" i="15"/>
  <c r="M24" i="15"/>
  <c r="L47" i="67"/>
  <c r="D4" i="73"/>
  <c r="M29" i="15"/>
  <c r="F42" i="67"/>
  <c r="F40" i="67"/>
  <c r="M28" i="67"/>
  <c r="M8" i="15"/>
  <c r="F8" i="67"/>
  <c r="F37" i="15"/>
  <c r="F36" i="67"/>
  <c r="F9" i="15"/>
  <c r="D7" i="73"/>
  <c r="F40" i="15"/>
  <c r="F6" i="15"/>
  <c r="M8" i="67"/>
  <c r="F38" i="67"/>
  <c r="L48" i="15"/>
  <c r="M22" i="67"/>
  <c r="M6" i="67"/>
  <c r="M29" i="67"/>
  <c r="F7" i="15"/>
  <c r="M6" i="15"/>
  <c r="F6" i="67"/>
  <c r="F8" i="15"/>
  <c r="D3" i="73"/>
  <c r="F43" i="67"/>
  <c r="F38" i="15"/>
  <c r="C76" i="15"/>
  <c r="F42" i="15"/>
  <c r="L47" i="15"/>
  <c r="J15" i="15"/>
  <c r="J15" i="67"/>
  <c r="F13" i="67"/>
  <c r="F43" i="15"/>
  <c r="M9" i="67"/>
  <c r="F26" i="67"/>
  <c r="M24" i="67"/>
  <c r="M22" i="15"/>
  <c r="M23" i="15"/>
  <c r="F16" i="67"/>
  <c r="L48" i="67"/>
  <c r="M9" i="15"/>
  <c r="F9" i="67"/>
  <c r="F13" i="15"/>
  <c r="D5" i="73"/>
  <c r="F36" i="15"/>
  <c r="F16" i="15"/>
  <c r="M28" i="15"/>
  <c r="M26" i="15"/>
  <c r="M26" i="67"/>
  <c r="C76" i="67"/>
  <c r="F37" i="67"/>
  <c r="F7" i="67"/>
  <c r="M23" i="67"/>
  <c r="B20" i="31" l="1"/>
  <c r="B21" i="31" s="1"/>
  <c r="C27" i="67"/>
  <c r="F71" i="67"/>
  <c r="F66" i="67"/>
  <c r="C6" i="67"/>
  <c r="C32" i="67" s="1"/>
  <c r="L58" i="67"/>
  <c r="Q60" i="67" s="1"/>
  <c r="M59" i="67"/>
  <c r="N59" i="67"/>
  <c r="L59" i="67"/>
  <c r="Q61" i="67" s="1"/>
  <c r="F51" i="67"/>
  <c r="Q71" i="67"/>
  <c r="F68" i="67"/>
  <c r="F64" i="67"/>
  <c r="F65" i="67"/>
  <c r="L56" i="67"/>
  <c r="I54" i="67"/>
  <c r="J53" i="67"/>
  <c r="F1" i="67" s="1"/>
  <c r="J57" i="67"/>
  <c r="J55" i="67" s="1"/>
  <c r="J58" i="67" s="1"/>
  <c r="Q50" i="67" s="1"/>
  <c r="F50" i="67"/>
  <c r="M7" i="67"/>
  <c r="J6" i="67" s="1"/>
  <c r="J18" i="67" s="1"/>
  <c r="M7" i="15"/>
  <c r="J6" i="15" s="1"/>
  <c r="J18" i="15" s="1"/>
  <c r="F50" i="15"/>
  <c r="J57" i="15"/>
  <c r="J55" i="15" s="1"/>
  <c r="J58" i="15" s="1"/>
  <c r="Q50" i="15" s="1"/>
  <c r="I54" i="15"/>
  <c r="J53" i="15"/>
  <c r="L56" i="15" s="1"/>
  <c r="F64" i="15"/>
  <c r="Q71" i="15"/>
  <c r="M59" i="15"/>
  <c r="L59" i="15"/>
  <c r="Q74" i="15" s="1"/>
  <c r="N59" i="15"/>
  <c r="L58" i="15"/>
  <c r="Q60" i="15" s="1"/>
  <c r="F66" i="15"/>
  <c r="F68" i="15"/>
  <c r="C27" i="15"/>
  <c r="E28" i="6"/>
  <c r="K14" i="1" s="1"/>
  <c r="F26" i="43"/>
  <c r="P6" i="1"/>
  <c r="C13" i="12" s="1"/>
  <c r="N370" i="46"/>
  <c r="F51" i="15"/>
  <c r="F31" i="15"/>
  <c r="C6" i="15"/>
  <c r="C32" i="15" s="1"/>
  <c r="F71" i="15"/>
  <c r="F65" i="15"/>
  <c r="K16" i="1"/>
  <c r="U44" i="39"/>
  <c r="AB44" i="39"/>
  <c r="H26" i="43"/>
  <c r="V20" i="71"/>
  <c r="C40" i="71"/>
  <c r="D39" i="71"/>
  <c r="D83" i="71"/>
  <c r="C82" i="71"/>
  <c r="D82" i="71" s="1"/>
  <c r="O65" i="71"/>
  <c r="D66" i="71"/>
  <c r="O66" i="71"/>
  <c r="AZ58" i="3"/>
  <c r="T32" i="71"/>
  <c r="D32" i="71"/>
  <c r="AZ25" i="3"/>
  <c r="AZ302" i="3"/>
  <c r="AZ368" i="3"/>
  <c r="AZ353" i="3"/>
  <c r="AZ453" i="3"/>
  <c r="AZ239" i="3"/>
  <c r="AZ229" i="3"/>
  <c r="AZ218" i="3"/>
  <c r="AB39" i="37"/>
  <c r="U39" i="37"/>
  <c r="S34" i="36"/>
  <c r="AA34" i="36"/>
  <c r="W31" i="34"/>
  <c r="AC31" i="34"/>
  <c r="U12" i="36"/>
  <c r="AB12" i="36"/>
  <c r="W26" i="33"/>
  <c r="AC26" i="33"/>
  <c r="U47" i="34"/>
  <c r="AB47" i="34"/>
  <c r="D79" i="71"/>
  <c r="C78" i="71"/>
  <c r="D78" i="71" s="1"/>
  <c r="AZ114" i="3"/>
  <c r="AZ112" i="3"/>
  <c r="G5" i="3"/>
  <c r="B3" i="3" s="1"/>
  <c r="E499" i="3" s="1"/>
  <c r="AZ42" i="3"/>
  <c r="AZ32" i="3"/>
  <c r="AZ36" i="3"/>
  <c r="AZ113" i="3"/>
  <c r="AZ295" i="3"/>
  <c r="AZ142" i="3"/>
  <c r="AZ281" i="3"/>
  <c r="AZ215" i="3"/>
  <c r="AA12" i="35"/>
  <c r="AB13" i="34"/>
  <c r="C70" i="71"/>
  <c r="D70" i="71" s="1"/>
  <c r="D71" i="71"/>
  <c r="AZ61" i="3"/>
  <c r="AZ249" i="3"/>
  <c r="AZ59" i="3"/>
  <c r="AZ150" i="3"/>
  <c r="C56" i="71"/>
  <c r="D55" i="71"/>
  <c r="AZ130" i="3"/>
  <c r="AZ238" i="3"/>
  <c r="AZ457" i="3"/>
  <c r="AZ432" i="3"/>
  <c r="AZ417" i="3"/>
  <c r="AA25" i="37"/>
  <c r="S25" i="37"/>
  <c r="AZ425" i="3"/>
  <c r="AA24" i="36"/>
  <c r="S24" i="36"/>
  <c r="AA14" i="33"/>
  <c r="S14" i="33"/>
  <c r="AC47" i="34"/>
  <c r="W47" i="34"/>
  <c r="W12" i="36"/>
  <c r="AC12" i="36"/>
  <c r="S25" i="36"/>
  <c r="AA25" i="36"/>
  <c r="AC39" i="37"/>
  <c r="W39" i="37"/>
  <c r="AZ71" i="3"/>
  <c r="C36" i="71"/>
  <c r="D35" i="71"/>
  <c r="AZ137" i="3"/>
  <c r="AZ414" i="3"/>
  <c r="AC24" i="36"/>
  <c r="W24" i="36"/>
  <c r="S26" i="33"/>
  <c r="AA26" i="33"/>
  <c r="W13" i="34"/>
  <c r="AC13" i="34"/>
  <c r="E26" i="43"/>
  <c r="AZ261" i="3"/>
  <c r="G26" i="43"/>
  <c r="J7" i="36"/>
  <c r="N94" i="46"/>
  <c r="AZ89" i="3"/>
  <c r="AZ26" i="3"/>
  <c r="AZ165" i="3"/>
  <c r="AZ279" i="3"/>
  <c r="AZ246" i="3"/>
  <c r="AZ486" i="3"/>
  <c r="AZ213" i="3"/>
  <c r="AA39" i="37"/>
  <c r="G16" i="1"/>
  <c r="F10" i="39" s="1"/>
  <c r="AA10" i="39" s="1"/>
  <c r="T28" i="71"/>
  <c r="D28" i="71"/>
  <c r="U28" i="71" s="1"/>
  <c r="C27" i="71"/>
  <c r="D75" i="71"/>
  <c r="C74" i="71"/>
  <c r="D74" i="71" s="1"/>
  <c r="AZ27" i="3"/>
  <c r="AZ178" i="3"/>
  <c r="C52" i="71"/>
  <c r="D51" i="71"/>
  <c r="D44" i="71"/>
  <c r="T44" i="71"/>
  <c r="AZ265" i="3"/>
  <c r="AZ408" i="3"/>
  <c r="AZ415" i="3"/>
  <c r="AZ398" i="3"/>
  <c r="AA44" i="39"/>
  <c r="S44" i="39"/>
  <c r="AB24" i="36"/>
  <c r="U24" i="36"/>
  <c r="AC44" i="33"/>
  <c r="W44" i="33"/>
  <c r="W12" i="35"/>
  <c r="AC12" i="35"/>
  <c r="AB26" i="33"/>
  <c r="U26" i="33"/>
  <c r="AB9" i="33"/>
  <c r="U9" i="33"/>
  <c r="AC44" i="39"/>
  <c r="W44" i="39"/>
  <c r="J7" i="37"/>
  <c r="K1" i="73"/>
  <c r="E64" i="3"/>
  <c r="E86" i="3"/>
  <c r="E324" i="3"/>
  <c r="L6" i="3"/>
  <c r="E460" i="3"/>
  <c r="E464" i="3"/>
  <c r="E195" i="3"/>
  <c r="E474" i="3"/>
  <c r="E548" i="3"/>
  <c r="E359" i="3"/>
  <c r="E303" i="3"/>
  <c r="E496" i="3"/>
  <c r="E88" i="3"/>
  <c r="E551" i="3"/>
  <c r="E583" i="3"/>
  <c r="E150" i="3"/>
  <c r="E271" i="3"/>
  <c r="AS6" i="3"/>
  <c r="E384" i="3"/>
  <c r="E388" i="3"/>
  <c r="E561" i="3"/>
  <c r="E528" i="3"/>
  <c r="E350" i="3"/>
  <c r="E181" i="3"/>
  <c r="E472" i="3"/>
  <c r="E146" i="3"/>
  <c r="E89" i="3"/>
  <c r="E557" i="3"/>
  <c r="E377" i="3"/>
  <c r="E509" i="3"/>
  <c r="M6" i="3"/>
  <c r="E563" i="3"/>
  <c r="E423" i="3"/>
  <c r="E119"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H10" i="40"/>
  <c r="AB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F11" i="67"/>
  <c r="Q73" i="15"/>
  <c r="AE11" i="1"/>
  <c r="AE6" i="1"/>
  <c r="AE9" i="1"/>
  <c r="F27" i="68"/>
  <c r="AE7" i="1"/>
  <c r="AE8" i="1"/>
  <c r="AE12" i="1"/>
  <c r="AE10" i="1"/>
  <c r="C16" i="67"/>
  <c r="F41" i="67"/>
  <c r="C16" i="15"/>
  <c r="G1" i="73"/>
  <c r="C49" i="67" l="1"/>
  <c r="C49" i="15"/>
  <c r="Q73" i="67"/>
  <c r="Q74" i="67"/>
  <c r="Q61" i="15"/>
  <c r="Q52" i="67"/>
  <c r="F1" i="15"/>
  <c r="J5" i="67"/>
  <c r="J24" i="67" s="1"/>
  <c r="Q52" i="15"/>
  <c r="H10" i="39"/>
  <c r="U10" i="39" s="1"/>
  <c r="J10" i="39"/>
  <c r="W10" i="39" s="1"/>
  <c r="E378" i="3"/>
  <c r="E118" i="3"/>
  <c r="E200" i="3"/>
  <c r="E191" i="3"/>
  <c r="E69" i="3"/>
  <c r="E514" i="3"/>
  <c r="E322" i="3"/>
  <c r="E211" i="3"/>
  <c r="E400" i="3"/>
  <c r="E227" i="3"/>
  <c r="E454" i="3"/>
  <c r="K6" i="3"/>
  <c r="E77" i="3"/>
  <c r="E134" i="3"/>
  <c r="E185" i="3"/>
  <c r="E533" i="3"/>
  <c r="E305" i="3"/>
  <c r="E210" i="3"/>
  <c r="E477" i="3"/>
  <c r="E549" i="3"/>
  <c r="E450" i="3"/>
  <c r="E382" i="3"/>
  <c r="E396" i="3"/>
  <c r="P6" i="3"/>
  <c r="E481" i="3"/>
  <c r="E17" i="3"/>
  <c r="E501" i="3"/>
  <c r="E207" i="3"/>
  <c r="E157" i="3"/>
  <c r="E66" i="3"/>
  <c r="E138" i="3"/>
  <c r="E365" i="3"/>
  <c r="E463" i="3"/>
  <c r="E41" i="3"/>
  <c r="AL6" i="3"/>
  <c r="E292" i="3"/>
  <c r="E131" i="3"/>
  <c r="E487" i="3"/>
  <c r="E242" i="3"/>
  <c r="X6" i="3"/>
  <c r="E161" i="3"/>
  <c r="E215" i="3"/>
  <c r="E201" i="3"/>
  <c r="E526" i="3"/>
  <c r="E70" i="3"/>
  <c r="AO6" i="3"/>
  <c r="E362" i="3"/>
  <c r="E577" i="3"/>
  <c r="E277" i="3"/>
  <c r="E399" i="3"/>
  <c r="E180" i="3"/>
  <c r="E231" i="3"/>
  <c r="E143" i="3"/>
  <c r="E530" i="3"/>
  <c r="E162" i="3"/>
  <c r="E478" i="3"/>
  <c r="E31" i="3"/>
  <c r="E458" i="3"/>
  <c r="E550" i="3"/>
  <c r="E553" i="3"/>
  <c r="E252" i="3"/>
  <c r="E120" i="3"/>
  <c r="E298" i="3"/>
  <c r="E317" i="3"/>
  <c r="E357" i="3"/>
  <c r="E82" i="3"/>
  <c r="E374" i="3"/>
  <c r="E312" i="3"/>
  <c r="E123" i="3"/>
  <c r="E507" i="3"/>
  <c r="E408" i="3"/>
  <c r="E81" i="3"/>
  <c r="E491" i="3"/>
  <c r="AY6" i="3"/>
  <c r="E296" i="3"/>
  <c r="E385" i="3"/>
  <c r="E445" i="3"/>
  <c r="E387" i="3"/>
  <c r="E431" i="3"/>
  <c r="E109" i="3"/>
  <c r="E489" i="3"/>
  <c r="E327" i="3"/>
  <c r="E214" i="3"/>
  <c r="E465" i="3"/>
  <c r="AK6" i="3"/>
  <c r="E495" i="3"/>
  <c r="E361" i="3"/>
  <c r="E439" i="3"/>
  <c r="E410" i="3"/>
  <c r="E441" i="3"/>
  <c r="E447" i="3"/>
  <c r="E585" i="3"/>
  <c r="E351" i="3"/>
  <c r="E99" i="3"/>
  <c r="E230" i="3"/>
  <c r="E334" i="3"/>
  <c r="E394" i="3"/>
  <c r="AA6" i="3"/>
  <c r="E523" i="3"/>
  <c r="E71" i="3"/>
  <c r="E471" i="3"/>
  <c r="E187" i="3"/>
  <c r="E266" i="3"/>
  <c r="E24" i="3"/>
  <c r="E194" i="3"/>
  <c r="E16" i="3"/>
  <c r="E205" i="3"/>
  <c r="E84" i="3"/>
  <c r="E442"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72" i="3"/>
  <c r="E193" i="3"/>
  <c r="E293" i="3"/>
  <c r="E415" i="3"/>
  <c r="E151" i="3"/>
  <c r="E125" i="3"/>
  <c r="E581" i="3"/>
  <c r="E32" i="3"/>
  <c r="AE6" i="3"/>
  <c r="E434" i="3"/>
  <c r="E221" i="3"/>
  <c r="E338" i="3"/>
  <c r="E328" i="3"/>
  <c r="E126" i="3"/>
  <c r="U6" i="3"/>
  <c r="E168" i="3"/>
  <c r="E313" i="3"/>
  <c r="E307" i="3"/>
  <c r="AD6" i="3"/>
  <c r="E341" i="3"/>
  <c r="E48" i="3"/>
  <c r="E222" i="3"/>
  <c r="E552" i="3"/>
  <c r="E392" i="3"/>
  <c r="E226" i="3"/>
  <c r="E393" i="3"/>
  <c r="E428" i="3"/>
  <c r="T6" i="3"/>
  <c r="E96" i="3"/>
  <c r="E233" i="3"/>
  <c r="E59" i="3"/>
  <c r="E255"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562" i="3"/>
  <c r="E85" i="3"/>
  <c r="E290" i="3"/>
  <c r="E320" i="3"/>
  <c r="E239" i="3"/>
  <c r="E166" i="3"/>
  <c r="AG6" i="3"/>
  <c r="E203" i="3"/>
  <c r="E330" i="3"/>
  <c r="E353" i="3"/>
  <c r="E304" i="3"/>
  <c r="E97" i="3"/>
  <c r="E53" i="3"/>
  <c r="E547" i="3"/>
  <c r="E93" i="3"/>
  <c r="W6" i="3"/>
  <c r="E136" i="3"/>
  <c r="E154" i="3"/>
  <c r="E462" i="3"/>
  <c r="E297" i="3"/>
  <c r="E110" i="3"/>
  <c r="E348" i="3"/>
  <c r="E20" i="3"/>
  <c r="E15" i="3"/>
  <c r="AH6" i="3"/>
  <c r="E80" i="3"/>
  <c r="E13" i="3"/>
  <c r="E102" i="3"/>
  <c r="E494" i="3"/>
  <c r="E249" i="3"/>
  <c r="E95" i="3"/>
  <c r="E286" i="3"/>
  <c r="J5" i="15"/>
  <c r="J24" i="15" s="1"/>
  <c r="D26" i="43"/>
  <c r="C25" i="43" s="1"/>
  <c r="E176" i="3"/>
  <c r="E36" i="3"/>
  <c r="E38" i="3"/>
  <c r="E346" i="3"/>
  <c r="E419" i="3"/>
  <c r="E543" i="3"/>
  <c r="E326" i="3"/>
  <c r="E190" i="3"/>
  <c r="E420" i="3"/>
  <c r="E456" i="3"/>
  <c r="E308" i="3"/>
  <c r="E235" i="3"/>
  <c r="E281" i="3"/>
  <c r="E68" i="3"/>
  <c r="E310" i="3"/>
  <c r="E484" i="3"/>
  <c r="E258" i="3"/>
  <c r="E554" i="3"/>
  <c r="E510" i="3"/>
  <c r="E539" i="3"/>
  <c r="E575" i="3"/>
  <c r="E466" i="3"/>
  <c r="AP6" i="3"/>
  <c r="E417" i="3"/>
  <c r="E152" i="3"/>
  <c r="E349" i="3"/>
  <c r="E409" i="3"/>
  <c r="E46" i="3"/>
  <c r="E371" i="3"/>
  <c r="E67" i="3"/>
  <c r="E355"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433" i="3"/>
  <c r="E212" i="3"/>
  <c r="E502" i="3"/>
  <c r="E449" i="3"/>
  <c r="E517" i="3"/>
  <c r="E37" i="3"/>
  <c r="E241" i="3"/>
  <c r="E544"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E448" i="3"/>
  <c r="E444" i="3"/>
  <c r="E316" i="3"/>
  <c r="E366" i="3"/>
  <c r="E516" i="3"/>
  <c r="E559" i="3"/>
  <c r="E294" i="3"/>
  <c r="E395" i="3"/>
  <c r="E245" i="3"/>
  <c r="E336" i="3"/>
  <c r="E314" i="3"/>
  <c r="E573" i="3"/>
  <c r="E571" i="3"/>
  <c r="E111" i="3"/>
  <c r="E323" i="3"/>
  <c r="E500" i="3"/>
  <c r="E521" i="3"/>
  <c r="E165" i="3"/>
  <c r="E340" i="3"/>
  <c r="E299" i="3"/>
  <c r="E540" i="3"/>
  <c r="E108" i="3"/>
  <c r="E440" i="3"/>
  <c r="E116" i="3"/>
  <c r="E49" i="3"/>
  <c r="E225" i="3"/>
  <c r="E556" i="3"/>
  <c r="E173" i="3"/>
  <c r="E206" i="3"/>
  <c r="E482" i="3"/>
  <c r="E309" i="3"/>
  <c r="E33" i="3"/>
  <c r="E160" i="3"/>
  <c r="E389" i="3"/>
  <c r="E479" i="3"/>
  <c r="E430" i="3"/>
  <c r="E536" i="3"/>
  <c r="T40" i="71"/>
  <c r="D40" i="71"/>
  <c r="D56" i="71"/>
  <c r="T56" i="71"/>
  <c r="C26" i="71"/>
  <c r="D26" i="71" s="1"/>
  <c r="D27" i="71"/>
  <c r="E3" i="6"/>
  <c r="T49" i="34"/>
  <c r="G49" i="34" s="1"/>
  <c r="G53" i="34" s="1"/>
  <c r="H53" i="34" s="1"/>
  <c r="D36" i="71"/>
  <c r="T36" i="71"/>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AC10" i="39" l="1"/>
  <c r="AC6" i="3"/>
  <c r="H6" i="3"/>
  <c r="E6" i="3" s="1"/>
  <c r="F25" i="12"/>
  <c r="C26" i="12" s="1"/>
  <c r="D25" i="12" s="1"/>
  <c r="G54" i="34"/>
  <c r="H54" i="34" s="1"/>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7" i="67"/>
  <c r="C14" i="67"/>
  <c r="F41" i="68" l="1"/>
  <c r="H22" i="6"/>
  <c r="H21" i="6"/>
  <c r="C26" i="68"/>
  <c r="D22" i="68" s="1"/>
  <c r="C26" i="11"/>
  <c r="D22" i="11" s="1"/>
  <c r="C23" i="68"/>
  <c r="C44" i="11"/>
  <c r="D41" i="11" s="1"/>
  <c r="H25" i="6"/>
  <c r="E53" i="34"/>
  <c r="F53" i="34"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4"/>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1" i="1"/>
  <c r="AO6" i="1"/>
  <c r="AO9" i="1"/>
  <c r="AO12"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E97" i="9" l="1"/>
  <c r="E96" i="9"/>
  <c r="C96" i="9"/>
  <c r="M68" i="9"/>
  <c r="L68" i="9"/>
  <c r="M67" i="9"/>
  <c r="L67" i="9"/>
  <c r="B47" i="72"/>
  <c r="D4" i="52"/>
  <c r="C73" i="9"/>
  <c r="C78" i="9"/>
  <c r="B53" i="72"/>
  <c r="F5" i="52"/>
  <c r="F119" i="9"/>
  <c r="B52" i="72"/>
  <c r="G4" i="52"/>
  <c r="H5" i="52"/>
  <c r="H119" i="9"/>
  <c r="B32" i="72"/>
  <c r="D14" i="53"/>
  <c r="D54" i="9"/>
  <c r="C68" i="9"/>
  <c r="C5" i="74"/>
  <c r="C81" i="9"/>
  <c r="M48" i="9"/>
  <c r="C6" i="74"/>
  <c r="B49" i="72"/>
  <c r="D5" i="52"/>
  <c r="D118" i="9"/>
  <c r="D119" i="9"/>
  <c r="N58" i="9"/>
  <c r="D55" i="9"/>
  <c r="M53" i="9"/>
  <c r="N57" i="9"/>
  <c r="P57" i="9"/>
  <c r="H102" i="9"/>
  <c r="D7" i="53"/>
  <c r="B21" i="72"/>
  <c r="D9" i="52"/>
  <c r="D123" i="9"/>
  <c r="L63" i="9"/>
  <c r="M63" i="9"/>
  <c r="M69" i="9"/>
  <c r="N69" i="9"/>
  <c r="B20" i="72"/>
  <c r="H108" i="9"/>
  <c r="D15" i="53"/>
  <c r="B31" i="72"/>
  <c r="C85" i="9"/>
  <c r="C95" i="9"/>
  <c r="C97" i="9"/>
  <c r="D58" i="9"/>
  <c r="D56" i="9"/>
  <c r="M54" i="9"/>
  <c r="M65" i="9"/>
  <c r="L65" i="9"/>
  <c r="B48" i="72"/>
  <c r="E118" i="9"/>
  <c r="E4" i="52"/>
  <c r="C72" i="9"/>
  <c r="C79" i="9"/>
  <c r="C80" i="9"/>
  <c r="E80" i="9"/>
  <c r="E81" i="9"/>
  <c r="C64" i="9"/>
  <c r="C63" i="9"/>
  <c r="C67" i="9"/>
  <c r="D59" i="9"/>
  <c r="M55" i="9"/>
  <c r="M64" i="9"/>
  <c r="L64" i="9"/>
  <c r="M66" i="9"/>
  <c r="L66" i="9"/>
  <c r="G118" i="9"/>
  <c r="F118" i="9"/>
  <c r="F4" i="52"/>
  <c r="B51" i="72"/>
  <c r="N60" i="9"/>
  <c r="M49" i="9"/>
  <c r="N59" i="9"/>
  <c r="N61" i="9"/>
  <c r="D122" i="9"/>
  <c r="D8" i="52"/>
  <c r="D5" i="53"/>
  <c r="D6" i="53"/>
  <c r="B22" i="72"/>
  <c r="C105" i="9"/>
  <c r="I4" i="52"/>
  <c r="D53" i="9"/>
  <c r="D52" i="9"/>
  <c r="D45" i="9"/>
  <c r="C93" i="9"/>
  <c r="C86" i="9"/>
  <c r="H4" i="52"/>
  <c r="C104" i="9"/>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<sst xmlns="http://schemas.openxmlformats.org/spreadsheetml/2006/main" count="7820" uniqueCount="3417">
  <si>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</si>
  <si>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</si>
  <si>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</si>
  <si>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</si>
  <si>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</si>
  <si>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</si>
  <si>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</si>
  <si>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</si>
  <si>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</si>
  <si>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</si>
  <si>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</si>
  <si>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</si>
  <si>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</si>
  <si>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</si>
  <si>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</si>
  <si>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</si>
  <si>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</si>
  <si>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</si>
  <si>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</si>
  <si>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</si>
  <si>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</si>
  <si>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</si>
  <si>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</si>
  <si>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</si>
  <si>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</si>
  <si>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</si>
  <si>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</si>
  <si>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</si>
  <si>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</si>
  <si>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</si>
  <si>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</si>
  <si>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</si>
  <si>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</si>
  <si>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</si>
  <si>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</si>
  <si>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</si>
  <si>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</si>
  <si>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</si>
  <si>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</si>
  <si>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</si>
  <si>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</si>
  <si>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</si>
  <si>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</si>
  <si>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</si>
  <si>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</si>
  <si>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</si>
  <si>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</si>
  <si>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</si>
  <si>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</si>
  <si>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</si>
  <si>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</si>
  <si>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</si>
  <si>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</si>
  <si>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</si>
  <si>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</si>
  <si>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</si>
  <si>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</si>
  <si>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</si>
  <si>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</si>
  <si>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</si>
  <si>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</si>
  <si>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</si>
  <si>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</si>
  <si>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</si>
  <si>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</si>
  <si>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</si>
  <si>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</si>
  <si>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</si>
  <si>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</si>
  <si>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</si>
  <si>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</si>
  <si>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</si>
  <si>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</si>
  <si>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</si>
  <si>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</si>
  <si>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</si>
  <si>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</si>
  <si>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</si>
  <si>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</si>
  <si>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</si>
  <si>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</si>
  <si>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</si>
  <si>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</si>
  <si>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</si>
  <si>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</si>
  <si>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</si>
  <si>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</si>
  <si>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</si>
  <si>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</si>
  <si>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</si>
  <si>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</si>
  <si>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</si>
  <si>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</si>
  <si>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</si>
  <si>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</si>
  <si>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</si>
  <si>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</si>
  <si>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</si>
  <si>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</si>
  <si>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</si>
  <si>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</si>
  <si>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</si>
  <si>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</si>
  <si>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</si>
  <si>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</si>
  <si>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</si>
  <si>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</si>
  <si>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</si>
  <si>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</si>
  <si>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</si>
  <si>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</si>
  <si>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</si>
  <si>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</si>
  <si>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</si>
  <si>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</si>
  <si>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</si>
  <si>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</si>
  <si>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</si>
  <si>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</si>
  <si>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</si>
  <si>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</si>
  <si>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</si>
  <si>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</si>
  <si>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</si>
  <si>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</si>
  <si>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</si>
  <si>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</si>
  <si>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</si>
  <si>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</si>
  <si>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</si>
  <si>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</si>
  <si>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</si>
  <si>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</si>
  <si>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</si>
  <si>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</si>
  <si>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</si>
  <si>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</si>
  <si>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</si>
  <si>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</si>
  <si>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</si>
  <si>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</si>
  <si>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</si>
  <si>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</si>
  <si>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</si>
  <si>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</si>
  <si>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</si>
  <si>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</si>
  <si>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</si>
  <si>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</si>
  <si>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</si>
  <si>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</si>
  <si>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</si>
  <si>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</si>
  <si>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</si>
  <si>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</si>
  <si>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</si>
  <si>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</si>
  <si>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</si>
  <si>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</si>
  <si>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</si>
  <si>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</si>
  <si>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</si>
  <si>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</si>
  <si>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</si>
  <si>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</si>
  <si>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</si>
  <si>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</si>
  <si>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</si>
  <si>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</si>
  <si>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</si>
  <si>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</si>
  <si>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</si>
  <si>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</si>
  <si>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</si>
  <si>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</si>
  <si>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</si>
  <si>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</si>
  <si>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</si>
  <si>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</si>
  <si>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</si>
  <si>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</si>
  <si>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</si>
  <si>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</si>
  <si>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</si>
  <si>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</si>
  <si>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</si>
  <si>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</si>
  <si>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</si>
  <si>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</si>
  <si>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</si>
  <si>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</si>
  <si>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</si>
  <si>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</si>
  <si>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</si>
  <si>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</si>
  <si>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</si>
  <si>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</si>
  <si>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</si>
  <si>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</si>
  <si>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</si>
  <si>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</si>
  <si>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</si>
  <si>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</si>
  <si>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</si>
  <si>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</si>
  <si>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</si>
  <si>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</si>
  <si>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</si>
  <si>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</si>
  <si>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</si>
  <si>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</si>
  <si>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</si>
  <si>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</si>
  <si>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</si>
  <si>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</si>
  <si>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</si>
  <si>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</si>
  <si>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</si>
  <si>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</si>
  <si>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</si>
  <si>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</si>
  <si>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</si>
  <si>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</si>
  <si>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</si>
  <si>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</si>
  <si>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</si>
  <si>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</si>
  <si>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</si>
  <si>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</si>
  <si>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</si>
  <si>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</si>
  <si>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</si>
  <si>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</si>
  <si>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</si>
  <si>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</si>
  <si>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</si>
  <si>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</si>
  <si>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</si>
  <si>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</si>
  <si>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</si>
  <si>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</si>
  <si>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</si>
  <si>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</si>
  <si>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</si>
  <si>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</si>
  <si>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</si>
  <si>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</si>
  <si>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</si>
  <si>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</si>
  <si>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</si>
  <si>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</si>
  <si>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</si>
  <si>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</si>
  <si>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</si>
  <si>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</si>
  <si>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</si>
  <si>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</si>
  <si>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</si>
  <si>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</si>
  <si>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</si>
  <si>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</si>
  <si>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</si>
  <si>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</si>
  <si>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</si>
  <si>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</si>
  <si>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</si>
  <si>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</si>
  <si>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</si>
  <si>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</si>
  <si>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</si>
  <si>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</si>
  <si>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</si>
  <si>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</si>
  <si>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</si>
  <si>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</si>
  <si>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</si>
  <si>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</si>
  <si>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</si>
  <si>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</si>
  <si>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</si>
  <si>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</si>
  <si>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</si>
  <si>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</si>
  <si>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</si>
  <si>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</si>
  <si>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</si>
  <si>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</si>
  <si>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</si>
  <si>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</si>
  <si>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</si>
  <si>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</si>
  <si>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</si>
  <si>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</si>
  <si>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</si>
  <si>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</si>
  <si>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</si>
  <si>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</si>
  <si>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</si>
  <si>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</si>
  <si>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</si>
  <si>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</si>
  <si>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</si>
  <si>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</si>
  <si>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</si>
  <si>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</si>
  <si>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</si>
  <si>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</si>
  <si>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</si>
  <si>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</si>
  <si>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</si>
  <si>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</si>
  <si>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</si>
  <si>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</si>
  <si>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</si>
  <si>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</si>
  <si>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</si>
  <si>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</si>
  <si>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</si>
  <si>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</si>
  <si>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</si>
  <si>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</si>
  <si>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</si>
  <si>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</si>
  <si>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</si>
  <si>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</si>
  <si>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</si>
  <si>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</si>
  <si>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</si>
  <si>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</si>
  <si>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</si>
  <si>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</si>
  <si>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</si>
  <si>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</si>
  <si>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</si>
  <si>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</si>
  <si>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</si>
  <si>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</si>
  <si>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</si>
  <si>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</si>
  <si>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</si>
  <si>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</si>
  <si>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</si>
  <si>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</si>
  <si>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</si>
  <si>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</si>
  <si>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</si>
  <si>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</si>
  <si>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</si>
  <si>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</si>
  <si>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</si>
  <si>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</si>
  <si>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</si>
  <si>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</si>
  <si>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</si>
  <si>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</si>
  <si>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</si>
  <si>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</si>
  <si>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</si>
  <si>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</si>
  <si>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</si>
  <si>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</si>
  <si>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</si>
  <si>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</si>
  <si>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</si>
  <si>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</si>
  <si>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</si>
  <si>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</si>
  <si>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</si>
  <si>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</si>
  <si>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</si>
  <si>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</si>
  <si>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</si>
  <si>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</si>
  <si>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</si>
  <si>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</si>
  <si>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</si>
  <si>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</si>
  <si>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</si>
  <si>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</si>
  <si>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</si>
  <si>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</si>
  <si>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</si>
  <si>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</si>
  <si>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</si>
  <si>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</si>
  <si>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</si>
  <si>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</si>
  <si>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</si>
  <si>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</si>
  <si>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</si>
  <si>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</si>
  <si>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</si>
  <si>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</si>
  <si>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</si>
  <si>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</si>
  <si>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</si>
  <si>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</si>
  <si>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</si>
  <si>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</si>
  <si>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</si>
  <si>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</si>
  <si>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</si>
  <si>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</si>
  <si>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</si>
  <si>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</si>
  <si>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</si>
  <si>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</si>
  <si>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</si>
  <si>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</si>
  <si>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</si>
  <si>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</si>
  <si>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</si>
  <si>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</si>
  <si>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</si>
  <si>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</si>
  <si>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</si>
  <si>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</si>
  <si>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</si>
  <si>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</si>
  <si>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</si>
  <si>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</si>
  <si>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</si>
  <si>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</si>
  <si>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</si>
  <si>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</si>
  <si>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</si>
  <si>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</si>
  <si>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</si>
  <si>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</si>
  <si>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</si>
  <si>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</si>
  <si>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</si>
  <si>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</si>
  <si>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</si>
  <si>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</si>
  <si>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</si>
  <si>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</si>
  <si>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</si>
  <si>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</si>
  <si>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</si>
  <si>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</si>
  <si>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</si>
  <si>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</si>
  <si>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</si>
  <si>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</si>
  <si>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</si>
  <si>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</si>
  <si>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</si>
  <si>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</si>
  <si>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</si>
  <si>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</si>
  <si>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</si>
  <si>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</si>
  <si>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</si>
  <si>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</si>
  <si>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</si>
  <si>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</si>
  <si>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</si>
  <si>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</si>
  <si>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</si>
  <si>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</si>
  <si>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</si>
  <si>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</si>
  <si>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</si>
  <si>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</si>
  <si>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</si>
  <si>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</si>
  <si>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</si>
  <si>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</si>
  <si>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</si>
  <si>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</si>
  <si>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</si>
  <si>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</si>
  <si>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</si>
  <si>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</si>
  <si>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</si>
  <si>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</si>
  <si>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</si>
  <si>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</si>
  <si>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</si>
  <si>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</si>
  <si>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</si>
  <si>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</si>
  <si>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</si>
  <si>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</si>
  <si>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</si>
  <si>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</si>
  <si>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</si>
  <si>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</si>
  <si>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</si>
  <si>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</si>
  <si>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</si>
  <si>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</si>
  <si>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</si>
  <si>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</si>
  <si>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</si>
  <si>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</si>
  <si>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</si>
  <si>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</si>
  <si>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</si>
  <si>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</si>
  <si>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</si>
  <si>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</si>
  <si>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</si>
  <si>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</si>
  <si>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</si>
  <si>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</si>
  <si>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</si>
  <si>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</si>
  <si>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</si>
  <si>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</si>
  <si>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</si>
  <si>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</si>
  <si>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</si>
  <si>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</si>
  <si>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</si>
  <si>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</si>
  <si>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</si>
  <si>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</si>
  <si>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</si>
  <si>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</si>
  <si>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</si>
  <si>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</si>
  <si>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</si>
  <si>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</si>
  <si>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</si>
  <si>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</si>
  <si>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</si>
  <si>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</si>
  <si>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</si>
  <si>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</si>
  <si>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</si>
  <si>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</si>
  <si>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</si>
  <si>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</si>
  <si>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</si>
  <si>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</si>
  <si>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</si>
  <si>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</si>
  <si>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</si>
  <si>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</si>
  <si>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</si>
  <si>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</si>
  <si>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</si>
  <si>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</si>
  <si>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</si>
  <si>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</si>
  <si>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</si>
  <si>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</si>
  <si>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</si>
  <si>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</si>
  <si>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</si>
  <si>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</si>
  <si>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</si>
  <si>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</si>
  <si>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</si>
  <si>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</si>
  <si>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</si>
  <si>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</si>
  <si>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</si>
  <si>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</si>
  <si>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</si>
  <si>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</si>
  <si>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</si>
  <si>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</si>
  <si>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</si>
  <si>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</si>
  <si>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</si>
  <si>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</si>
  <si>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</si>
  <si>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</si>
  <si>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</si>
  <si>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</si>
  <si>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</si>
  <si>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</si>
  <si>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</si>
  <si>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</si>
  <si>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</si>
  <si>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</si>
  <si>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</si>
  <si>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</si>
  <si>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</si>
  <si>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</si>
  <si>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</si>
  <si>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</si>
  <si>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</si>
  <si>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</si>
  <si>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</si>
  <si>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</si>
  <si>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</si>
  <si>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</si>
  <si>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</si>
  <si>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</si>
  <si>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</si>
  <si>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</si>
  <si>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</si>
  <si>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</si>
  <si>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</si>
  <si>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</si>
  <si>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</si>
  <si>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</si>
  <si>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</si>
  <si>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</si>
  <si>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</si>
  <si>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</si>
  <si>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</si>
  <si>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</si>
  <si>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</si>
  <si>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</si>
  <si>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</si>
  <si>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</si>
  <si>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</si>
  <si>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</si>
  <si>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</si>
  <si>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</si>
  <si>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</si>
  <si>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</si>
  <si>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</si>
  <si>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</si>
  <si>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</si>
  <si>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</si>
  <si>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</si>
  <si>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</si>
  <si>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</si>
  <si>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</si>
  <si>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</si>
  <si>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</si>
  <si>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</si>
  <si>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</si>
  <si>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</si>
  <si>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</si>
  <si>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</si>
  <si>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</si>
  <si>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</si>
  <si>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</si>
  <si>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</si>
  <si>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</si>
  <si>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</si>
  <si>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</si>
  <si>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</si>
  <si>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</si>
  <si>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</si>
  <si>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</si>
  <si>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</si>
  <si>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</si>
  <si>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</si>
  <si>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</si>
  <si>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</si>
  <si>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</si>
  <si>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</si>
  <si>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</si>
  <si>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</si>
  <si>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</si>
  <si>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</si>
  <si>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</si>
  <si>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</si>
  <si>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</si>
  <si>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</si>
  <si>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</si>
  <si>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</si>
  <si>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</si>
  <si>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</si>
  <si>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</si>
  <si>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</si>
  <si>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</si>
  <si>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</si>
  <si>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</si>
  <si>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</si>
  <si>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</si>
  <si>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</si>
  <si>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</si>
  <si>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</si>
  <si>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</si>
  <si>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</si>
  <si>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</si>
  <si>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</si>
  <si>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</si>
  <si>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</si>
  <si>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</si>
  <si>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</si>
  <si>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</si>
  <si>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</si>
  <si>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</si>
  <si>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</si>
  <si>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</si>
  <si>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</si>
  <si>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</si>
  <si>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</si>
  <si>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</si>
  <si>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</si>
  <si>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</si>
  <si>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</si>
  <si>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</si>
  <si>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</si>
  <si>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</si>
  <si>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</si>
  <si>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</si>
  <si>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</si>
  <si>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</si>
  <si>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</si>
  <si>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</si>
  <si>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</si>
  <si>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</si>
  <si>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</si>
  <si>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</si>
  <si>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</si>
  <si>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</si>
  <si>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</si>
  <si>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</si>
  <si>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</si>
  <si>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</si>
  <si>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</si>
  <si>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</si>
  <si>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</si>
  <si>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</si>
  <si>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</si>
  <si>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</si>
  <si>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</si>
  <si>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</si>
  <si>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</si>
  <si>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</si>
  <si>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</si>
  <si>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</si>
  <si>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</si>
  <si>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</si>
  <si>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</si>
  <si>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</si>
  <si>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</si>
  <si>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</si>
  <si>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</si>
  <si>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</si>
  <si>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</si>
  <si>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</si>
  <si>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</si>
  <si>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</si>
  <si>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</si>
  <si>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</si>
  <si>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</si>
  <si>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</si>
  <si>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</si>
  <si>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</si>
  <si>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</si>
  <si>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</si>
  <si>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</si>
  <si>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</si>
  <si>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</si>
  <si>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</si>
  <si>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</si>
  <si>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</si>
  <si>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</si>
  <si>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</si>
  <si>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</si>
  <si>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</si>
  <si>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</si>
  <si>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</si>
  <si>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</si>
  <si>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</si>
  <si>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</si>
  <si>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</si>
  <si>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</si>
  <si>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</si>
  <si>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</si>
  <si>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</si>
  <si>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</si>
  <si>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</si>
  <si>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</si>
  <si>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</si>
  <si>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</si>
  <si>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</si>
  <si>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</si>
  <si>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</si>
  <si>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</si>
  <si>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</si>
  <si>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</si>
  <si>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</si>
  <si>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</si>
  <si>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</si>
  <si>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</si>
  <si>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</si>
  <si>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</si>
  <si>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</si>
  <si>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</si>
  <si>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</si>
  <si>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</si>
  <si>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</si>
  <si>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</si>
  <si>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</si>
  <si>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</si>
  <si>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</si>
  <si>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</si>
  <si>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</si>
  <si>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</si>
  <si>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</si>
  <si>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</si>
  <si>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</si>
  <si>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</si>
  <si>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</si>
  <si>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</si>
  <si>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</si>
  <si>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</si>
  <si>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</si>
  <si>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</si>
  <si>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</si>
  <si>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</si>
  <si>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</si>
  <si>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</si>
  <si>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</si>
  <si>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</si>
  <si>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</si>
  <si>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</si>
  <si>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</si>
  <si>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</si>
  <si>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</si>
  <si>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</si>
  <si>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</si>
  <si>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</si>
  <si>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</si>
  <si>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</si>
  <si>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</si>
  <si>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</si>
  <si>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</si>
  <si>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</si>
  <si>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</si>
  <si>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</si>
  <si>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</si>
  <si>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</si>
  <si>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</si>
  <si>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</si>
  <si>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</si>
  <si>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</si>
  <si>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</si>
  <si>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</si>
  <si>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</si>
  <si>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</si>
  <si>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</si>
  <si>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</si>
  <si>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</si>
  <si>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</si>
  <si>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</si>
  <si>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</si>
  <si>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</si>
  <si>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</si>
  <si>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</si>
  <si>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</si>
  <si>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</si>
  <si>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</si>
  <si>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</si>
  <si>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</si>
  <si>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</si>
  <si>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</si>
  <si>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</si>
  <si>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</si>
  <si>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</si>
  <si>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</si>
  <si>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</si>
  <si>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</si>
  <si>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</si>
  <si>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</si>
  <si>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</si>
  <si>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</si>
  <si>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</si>
  <si>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</si>
  <si>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</si>
  <si>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</si>
  <si>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</si>
  <si>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</si>
  <si>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</si>
  <si>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</si>
  <si>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</si>
  <si>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</si>
  <si>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</si>
  <si>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</si>
  <si>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</si>
  <si>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</si>
  <si>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</si>
  <si>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</si>
  <si>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</si>
  <si>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</si>
  <si>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</si>
  <si>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</si>
  <si>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</si>
  <si>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</si>
  <si>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</si>
  <si>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</si>
  <si>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</si>
  <si>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</si>
  <si>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</si>
  <si>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</si>
  <si>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</si>
  <si>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</si>
  <si>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</si>
  <si>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</si>
  <si>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</si>
  <si>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</si>
  <si>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</si>
  <si>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</si>
  <si>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</si>
  <si>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</si>
  <si>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</si>
  <si>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</si>
  <si>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</si>
  <si>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</si>
  <si>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</si>
  <si>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</si>
  <si>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</si>
  <si>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</si>
  <si>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</si>
  <si>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</si>
  <si>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</si>
  <si>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</si>
  <si>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</si>
  <si>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</si>
  <si>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</si>
  <si>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</si>
  <si>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</si>
  <si>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</si>
  <si>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</si>
  <si>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</si>
  <si>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</si>
  <si>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</si>
  <si>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</si>
  <si>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</si>
  <si>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</si>
  <si>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</si>
  <si>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</si>
  <si>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</si>
  <si>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</si>
  <si>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</si>
  <si>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</si>
  <si>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</si>
  <si>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</si>
  <si>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</si>
  <si>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</si>
  <si>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</si>
  <si>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</si>
  <si>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</si>
  <si>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</si>
  <si>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</si>
  <si>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</si>
  <si>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</si>
  <si>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</si>
  <si>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</si>
  <si>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</si>
  <si>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</si>
  <si>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</si>
  <si>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</si>
  <si>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</si>
  <si>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</si>
  <si>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</si>
  <si>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</si>
  <si>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</si>
  <si>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</si>
  <si>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</si>
  <si>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</si>
  <si>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</si>
  <si>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</si>
  <si>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</si>
  <si>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</si>
  <si>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</si>
  <si>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</si>
  <si>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</si>
  <si>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</si>
  <si>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</si>
  <si>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</si>
  <si>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</si>
  <si>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</si>
  <si>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</si>
  <si>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</si>
  <si>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</si>
  <si>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</si>
  <si>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</si>
  <si>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</si>
  <si>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</si>
  <si>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</si>
  <si>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</si>
  <si>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</si>
  <si>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</si>
  <si>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</si>
  <si>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</si>
  <si>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</si>
  <si>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</si>
  <si>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</si>
  <si>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</si>
  <si>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</si>
  <si>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</si>
  <si>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</si>
  <si>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</si>
  <si>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</si>
  <si>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</si>
  <si>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</si>
  <si>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</si>
  <si>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</si>
  <si>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</si>
  <si>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</si>
  <si>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</si>
  <si>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</si>
  <si>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</si>
  <si>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</si>
  <si>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</si>
  <si>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</si>
  <si>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</si>
  <si>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</si>
  <si>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</si>
  <si>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</si>
  <si>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</si>
  <si>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</si>
  <si>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</si>
  <si>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</si>
  <si>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</si>
  <si>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</si>
  <si>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</si>
  <si>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</si>
  <si>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</si>
  <si>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</si>
  <si>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</si>
  <si>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</si>
  <si>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</si>
  <si>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</si>
  <si>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</si>
  <si>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</si>
  <si>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</si>
  <si>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</si>
  <si>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</si>
  <si>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</si>
  <si>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</si>
  <si>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</si>
  <si>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</si>
  <si>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</si>
  <si>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</si>
  <si>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</si>
  <si>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</si>
  <si>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</si>
  <si>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</si>
  <si>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</si>
  <si>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</si>
  <si>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</si>
  <si>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</si>
  <si>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</si>
  <si>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</si>
  <si>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</si>
  <si>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</si>
  <si>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</si>
  <si>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</si>
  <si>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</si>
  <si>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</si>
  <si>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</si>
  <si>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</si>
  <si>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</si>
  <si>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</si>
  <si>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</si>
  <si>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</si>
  <si>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</si>
  <si>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</si>
  <si>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</si>
  <si>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</si>
  <si>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</si>
  <si>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</si>
  <si>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</si>
  <si>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</si>
  <si>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</si>
  <si>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</si>
  <si>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</si>
  <si>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</si>
  <si>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</si>
  <si>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</si>
  <si>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</si>
  <si>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</si>
  <si>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</si>
  <si>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</si>
  <si>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</si>
  <si>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</si>
  <si>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</si>
  <si>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</si>
  <si>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</si>
  <si>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</si>
  <si>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</si>
  <si>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</si>
  <si>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</si>
  <si>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</si>
  <si>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</si>
  <si>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</si>
  <si>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</si>
  <si>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</si>
  <si>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</si>
  <si>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</si>
  <si>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</si>
  <si>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</si>
  <si>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</si>
  <si>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</si>
  <si>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</si>
  <si>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</si>
  <si>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</si>
  <si>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</si>
  <si>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</si>
  <si>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</si>
  <si>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</si>
  <si>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</si>
  <si>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</si>
  <si>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</si>
  <si>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</si>
  <si>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</si>
  <si>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</si>
  <si>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</si>
  <si>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</si>
  <si>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</si>
  <si>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</si>
  <si>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</si>
  <si>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</si>
  <si>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</si>
  <si>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</si>
  <si>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</si>
  <si>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</si>
  <si>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</si>
  <si>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</si>
  <si>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</si>
  <si>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</si>
  <si>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</si>
  <si>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</si>
  <si>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</si>
  <si>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</si>
  <si>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</si>
  <si>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</si>
  <si>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</si>
  <si>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</si>
  <si>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</si>
  <si>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</si>
  <si>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</si>
  <si>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</si>
  <si>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</si>
  <si>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</si>
  <si>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</si>
  <si>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</si>
  <si>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</si>
  <si>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</si>
  <si>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</si>
  <si>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</si>
  <si>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</si>
  <si>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</si>
  <si>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</si>
  <si>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</si>
  <si>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</si>
  <si>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</si>
  <si>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</si>
  <si>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</si>
  <si>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</si>
  <si>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</si>
  <si>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</si>
  <si>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</si>
  <si>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</si>
  <si>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</si>
  <si>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</si>
  <si>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</si>
  <si>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</si>
  <si>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</si>
  <si>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</si>
  <si>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</si>
  <si>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</si>
  <si>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</si>
  <si>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</si>
  <si>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</si>
  <si>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</si>
  <si>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</si>
  <si>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</si>
  <si>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</si>
  <si>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</si>
  <si>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</si>
  <si>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</si>
  <si>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</si>
  <si>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</si>
  <si>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</si>
  <si>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</si>
  <si>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</si>
  <si>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</si>
  <si>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</si>
  <si>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</si>
  <si>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</si>
  <si>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</si>
  <si>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</si>
  <si>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</si>
  <si>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</si>
  <si>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</si>
  <si>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</si>
  <si>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</si>
  <si>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</si>
  <si>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</si>
  <si>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</si>
  <si>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</si>
  <si>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</si>
  <si>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</si>
  <si>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</si>
  <si>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</si>
  <si>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</si>
  <si>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</si>
  <si>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</si>
  <si>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</si>
  <si>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</si>
  <si>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</si>
  <si>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</si>
  <si>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</si>
  <si>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</si>
  <si>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</si>
  <si>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</si>
  <si>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</si>
  <si>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</si>
  <si>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</si>
  <si>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</si>
  <si>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</si>
  <si>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</si>
  <si>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</si>
  <si>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</si>
  <si>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</si>
  <si>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</si>
  <si>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</si>
  <si>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</si>
  <si>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</si>
  <si>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</si>
  <si>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</si>
  <si>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</si>
  <si>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</si>
  <si>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</si>
  <si>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</si>
  <si>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</si>
  <si>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</si>
  <si>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</si>
  <si>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</si>
  <si>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</si>
  <si>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</si>
  <si>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</si>
  <si>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</si>
  <si>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</si>
  <si>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</si>
  <si>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</si>
  <si>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</si>
  <si>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</si>
  <si>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</si>
  <si>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</si>
  <si>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</si>
  <si>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</si>
  <si>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</si>
  <si>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</si>
  <si>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</si>
  <si>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</si>
  <si>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</si>
  <si>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</si>
  <si>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</si>
  <si>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</si>
  <si>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</si>
  <si>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</si>
  <si>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</si>
  <si>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</si>
  <si>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</si>
  <si>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</si>
  <si>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</si>
  <si>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</si>
  <si>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</si>
  <si>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</si>
  <si>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</si>
  <si>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</si>
  <si>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</si>
  <si>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</si>
  <si>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</si>
  <si>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</si>
  <si>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</si>
  <si>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</si>
  <si>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</si>
  <si>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</si>
  <si>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</si>
  <si>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</si>
  <si>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</si>
  <si>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</si>
  <si>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</si>
  <si>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</si>
  <si>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</si>
  <si>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</si>
  <si>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</si>
  <si>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</si>
  <si>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</si>
  <si>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</si>
  <si>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</si>
  <si>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</si>
  <si>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</si>
  <si>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</si>
  <si>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</si>
  <si>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</si>
  <si>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</si>
  <si>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</si>
  <si>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</si>
  <si>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</si>
  <si>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</si>
  <si>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</si>
  <si>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</si>
  <si>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</si>
  <si>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</si>
  <si>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</si>
  <si>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</si>
  <si>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</si>
  <si>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</si>
  <si>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</si>
  <si>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</si>
  <si>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</si>
  <si>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</si>
  <si>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</si>
  <si>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</si>
  <si>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</si>
  <si>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</si>
  <si>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</si>
  <si>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</si>
  <si>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</si>
  <si>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</si>
  <si>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</si>
  <si>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</si>
  <si>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</si>
  <si>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</si>
  <si>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</si>
  <si>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</si>
  <si>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</si>
  <si>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</si>
  <si>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</si>
  <si>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</si>
  <si>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</si>
  <si>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</si>
  <si>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</si>
  <si>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</si>
  <si>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</si>
  <si>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</si>
  <si>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</si>
  <si>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</si>
  <si>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</si>
  <si>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</si>
  <si>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</si>
  <si>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</si>
  <si>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</si>
  <si>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</si>
  <si>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</si>
  <si>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</si>
  <si>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</si>
  <si>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</si>
  <si>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</si>
  <si>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</si>
  <si>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</si>
  <si>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</si>
  <si>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</si>
  <si>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</si>
  <si>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</si>
  <si>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</si>
  <si>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</si>
  <si>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</si>
  <si>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</si>
  <si>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</si>
  <si>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</si>
  <si>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</si>
  <si>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</si>
  <si>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</si>
  <si>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</si>
  <si>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</si>
  <si>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</si>
  <si>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</si>
  <si>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</si>
  <si>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</si>
  <si>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</si>
  <si>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</si>
  <si>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</si>
  <si>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</si>
  <si>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</si>
  <si>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</si>
  <si>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</si>
  <si>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</si>
  <si>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</si>
  <si>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</si>
  <si>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</si>
  <si>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</si>
  <si>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</si>
  <si>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</si>
  <si>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</si>
  <si>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</si>
  <si>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</si>
  <si>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</si>
  <si>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</si>
  <si>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</si>
  <si>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</si>
  <si>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</si>
  <si>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</si>
  <si>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</si>
  <si>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</si>
  <si>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</si>
  <si>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</si>
  <si>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</si>
  <si>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</si>
  <si>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</si>
  <si>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</si>
  <si>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</si>
  <si>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</si>
  <si>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</si>
  <si>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</si>
  <si>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</si>
  <si>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</si>
  <si>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</si>
  <si>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</si>
  <si>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</si>
  <si>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</si>
  <si>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</si>
  <si>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</si>
  <si>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</si>
  <si>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</si>
  <si>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</si>
  <si>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</si>
  <si>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</si>
  <si>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</si>
  <si>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</si>
  <si>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</si>
  <si>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</si>
  <si>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</si>
  <si>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</si>
  <si>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</si>
  <si>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</si>
  <si>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</si>
  <si>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</si>
  <si>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</si>
  <si>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</si>
  <si>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</si>
  <si>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</si>
  <si>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</si>
  <si>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</si>
  <si>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</si>
  <si>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</si>
  <si>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</si>
  <si>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</si>
  <si>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</si>
  <si>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</si>
  <si>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</si>
  <si>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</si>
  <si>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</si>
  <si>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</si>
  <si>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</si>
  <si>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</si>
  <si>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</si>
  <si>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</si>
  <si>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</si>
  <si>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</si>
  <si>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</si>
  <si>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</si>
  <si>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</si>
  <si>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</si>
  <si>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</si>
  <si>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</si>
  <si>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</si>
  <si>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</si>
  <si>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</si>
  <si>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</si>
  <si>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</si>
  <si>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</si>
  <si>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</si>
  <si>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</si>
  <si>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</si>
  <si>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</si>
  <si>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</si>
  <si>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</si>
  <si>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</si>
  <si>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</si>
  <si>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</si>
  <si>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</si>
  <si>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</si>
  <si>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</si>
  <si>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</si>
  <si>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</si>
  <si>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</si>
  <si>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</si>
  <si>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</si>
  <si>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</si>
  <si>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</si>
  <si>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</si>
  <si>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</si>
  <si>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</si>
  <si>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</si>
  <si>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</si>
  <si>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</si>
  <si>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</si>
  <si>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</si>
  <si>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</si>
  <si>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</si>
  <si>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</si>
  <si>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</si>
  <si>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</si>
  <si>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</si>
  <si>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</si>
  <si>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</si>
  <si>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</si>
  <si>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</si>
  <si>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</si>
  <si>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</si>
  <si>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</si>
  <si>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</si>
  <si>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</si>
  <si>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</si>
  <si>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</si>
  <si>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</si>
  <si>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</si>
  <si>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</si>
  <si>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</si>
  <si>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</si>
  <si>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</si>
  <si>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</si>
  <si>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</si>
  <si>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</si>
  <si>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</si>
  <si>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</si>
  <si>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</si>
  <si>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</si>
  <si>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</si>
  <si>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</si>
  <si>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</si>
  <si>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</si>
  <si>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</si>
  <si>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</si>
  <si>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</si>
  <si>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</si>
  <si>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</si>
  <si>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</si>
  <si>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</si>
  <si>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</si>
  <si>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</si>
  <si>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</si>
  <si>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</si>
  <si>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</si>
  <si>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</si>
  <si>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</si>
  <si>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</si>
  <si>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</si>
  <si>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</si>
  <si>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</si>
  <si>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</si>
  <si>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</si>
  <si>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</si>
  <si>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</si>
  <si>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</si>
  <si>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</si>
  <si>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</si>
  <si>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</si>
  <si>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</si>
  <si>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</si>
  <si>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</si>
  <si>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</si>
  <si>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</si>
  <si>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</si>
  <si>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</si>
  <si>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</si>
  <si>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</si>
  <si>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</si>
  <si>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</si>
  <si>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</si>
  <si>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</si>
  <si>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</si>
  <si>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</si>
  <si>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</si>
  <si>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</si>
  <si>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</si>
  <si>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</si>
  <si>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</si>
  <si>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</si>
  <si>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</si>
  <si>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</si>
  <si>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</si>
  <si>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</si>
  <si>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</si>
  <si>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</si>
  <si>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</si>
  <si>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</si>
  <si>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</si>
  <si>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</si>
  <si>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</si>
  <si>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</si>
  <si>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</si>
  <si>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</si>
  <si>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</si>
  <si>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</si>
  <si>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</si>
  <si>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</si>
  <si>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</si>
  <si>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</si>
  <si>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</si>
  <si>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</si>
  <si>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</si>
  <si>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</si>
  <si>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</si>
  <si>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</si>
  <si>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</si>
  <si>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</si>
  <si>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</si>
  <si>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</si>
  <si>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</si>
  <si>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</si>
  <si>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</si>
  <si>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</si>
  <si>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</si>
  <si>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</si>
  <si>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</si>
  <si>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</si>
  <si>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</si>
  <si>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</si>
  <si>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</si>
  <si>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</si>
  <si>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</si>
  <si>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</si>
  <si>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</si>
  <si>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</si>
  <si>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</si>
  <si>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</si>
  <si>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</si>
  <si>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</si>
  <si>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</si>
  <si>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</si>
  <si>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</si>
  <si>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</si>
  <si>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</si>
  <si>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</si>
  <si>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</si>
  <si>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</si>
  <si>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</si>
  <si>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</si>
  <si>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</si>
  <si>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</si>
  <si>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</si>
  <si>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</si>
  <si>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</si>
  <si>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</si>
  <si>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</si>
  <si>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</si>
  <si>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</si>
  <si>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</si>
  <si>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</si>
  <si>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</si>
  <si>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</si>
  <si>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</si>
  <si>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</si>
  <si>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</si>
  <si>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</si>
  <si>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</si>
  <si>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</si>
  <si>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</si>
  <si>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</si>
  <si>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</si>
  <si>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</si>
  <si>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</si>
  <si>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</si>
  <si>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</si>
  <si>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</si>
  <si>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</si>
  <si>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</si>
  <si>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</si>
  <si>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</si>
  <si>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</si>
  <si>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</si>
  <si>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</si>
  <si>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</si>
  <si>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</si>
  <si>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</si>
  <si>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</si>
  <si>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</si>
  <si>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</si>
  <si>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</si>
  <si>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</si>
  <si>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</si>
  <si>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</si>
  <si>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</si>
  <si>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</si>
  <si>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</si>
  <si>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</si>
  <si>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</si>
  <si>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</si>
  <si>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</si>
  <si>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</si>
  <si>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</si>
  <si>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</si>
  <si>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</si>
  <si>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</si>
  <si>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</si>
  <si>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</si>
  <si>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</si>
  <si>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</si>
  <si>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</si>
  <si>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</si>
  <si>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</si>
  <si>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</si>
  <si>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</si>
  <si>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</si>
  <si>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</si>
  <si>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</si>
  <si>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</si>
  <si>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</si>
  <si>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</si>
  <si>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</si>
  <si>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</si>
  <si>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</si>
  <si>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</si>
  <si>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</si>
  <si>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</si>
  <si>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</si>
  <si>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</si>
  <si>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</si>
  <si>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</si>
  <si>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</si>
  <si>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</si>
  <si>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</si>
  <si>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</si>
  <si>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</si>
  <si>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</si>
  <si>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</si>
  <si>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</si>
  <si>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</si>
  <si>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</si>
  <si>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</si>
  <si>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</si>
  <si>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</si>
  <si>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</si>
  <si>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</si>
  <si>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</si>
  <si>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</si>
  <si>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</si>
  <si>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</si>
  <si>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</si>
  <si>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</si>
  <si>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</si>
  <si>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</si>
  <si>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</si>
  <si>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</si>
  <si>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</si>
  <si>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</si>
  <si>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</si>
  <si>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</si>
  <si>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</si>
  <si>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</si>
  <si>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</si>
  <si>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</si>
  <si>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</si>
  <si>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</si>
  <si>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</si>
  <si>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</si>
  <si>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</si>
  <si>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</si>
  <si>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</si>
  <si>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</si>
  <si>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</si>
  <si>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</si>
  <si>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</si>
  <si>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</si>
  <si>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</si>
  <si>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</si>
  <si>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</si>
  <si>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</si>
  <si>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</si>
  <si>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</si>
  <si>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</si>
  <si>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</si>
  <si>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</si>
  <si>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</si>
  <si>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</si>
  <si>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</si>
  <si>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</si>
  <si>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</si>
  <si>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</si>
  <si>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</si>
  <si>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</si>
  <si>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</si>
  <si>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</si>
  <si>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</si>
  <si>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</si>
  <si>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</si>
  <si>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</si>
  <si>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</si>
  <si>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</si>
  <si>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</si>
  <si>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</si>
  <si>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</si>
  <si>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</si>
  <si>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</si>
  <si>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</si>
  <si>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</si>
  <si>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</si>
  <si>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</si>
  <si>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</si>
  <si>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</si>
  <si>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</si>
  <si>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</si>
  <si>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</si>
  <si>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</si>
  <si>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</si>
  <si>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</si>
  <si>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</si>
  <si>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</si>
  <si>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</si>
  <si>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</si>
  <si>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</si>
  <si>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</si>
  <si>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</si>
  <si>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</si>
  <si>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</si>
  <si>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</si>
  <si>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</si>
  <si>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</si>
  <si>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</si>
  <si>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</si>
  <si>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</si>
  <si>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</si>
  <si>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</si>
  <si>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</si>
  <si>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</si>
  <si>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</si>
  <si>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</si>
  <si>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</si>
  <si>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</si>
  <si>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</si>
  <si>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</si>
  <si>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</si>
  <si>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</si>
  <si>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</si>
  <si>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</si>
  <si>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</si>
  <si>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</si>
  <si>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</si>
  <si>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</si>
  <si>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</si>
  <si>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</si>
  <si>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</si>
  <si>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</si>
  <si>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</si>
  <si>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</si>
  <si>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</si>
  <si>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</si>
  <si>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</si>
  <si>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</si>
  <si>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</si>
  <si>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</si>
  <si>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</si>
  <si>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</si>
  <si>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</si>
  <si>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</si>
  <si>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</si>
  <si>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</si>
  <si>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</si>
  <si>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</si>
  <si>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</si>
  <si>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</si>
  <si>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</si>
  <si>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</si>
  <si>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</si>
  <si>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</si>
  <si>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</si>
  <si>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</si>
  <si>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</si>
  <si>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</si>
  <si>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</si>
  <si>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</si>
  <si>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</si>
  <si>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</si>
  <si>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</si>
  <si>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</si>
  <si>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</si>
  <si>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</si>
  <si>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</si>
  <si>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</si>
  <si>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</si>
  <si>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</si>
  <si>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</si>
  <si>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</si>
  <si>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</si>
  <si>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</si>
  <si>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</si>
  <si>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</si>
  <si>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</si>
  <si>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</si>
  <si>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</si>
  <si>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</si>
  <si>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</si>
  <si>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</si>
  <si>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</si>
  <si>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</si>
  <si>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</si>
  <si>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</si>
  <si>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</si>
  <si>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</si>
  <si>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</si>
  <si>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</si>
  <si>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</si>
  <si>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</si>
  <si>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</si>
  <si>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</si>
  <si>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</si>
  <si>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</si>
  <si>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</si>
  <si>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</si>
  <si>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</si>
  <si>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</si>
  <si>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</si>
  <si>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</si>
  <si>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</si>
  <si>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</si>
  <si>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</si>
  <si>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</si>
  <si>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</si>
  <si>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</si>
  <si>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</si>
  <si>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</si>
  <si>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</si>
  <si>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</si>
  <si>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</si>
  <si>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</si>
  <si>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</si>
  <si>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</si>
  <si>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</si>
  <si>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</si>
  <si>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</si>
  <si>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</si>
  <si>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</si>
  <si>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</si>
  <si>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</si>
  <si>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</si>
  <si>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</si>
  <si>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</si>
  <si>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</si>
  <si>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</si>
  <si>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</si>
  <si>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</si>
  <si>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</si>
  <si>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</si>
  <si>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</si>
  <si>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</si>
  <si>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</si>
  <si>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</si>
  <si>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</si>
  <si>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</si>
  <si>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</si>
  <si>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</si>
  <si>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</si>
  <si>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</si>
  <si>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</si>
  <si>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</si>
  <si>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</si>
  <si>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</si>
  <si>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</si>
  <si>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</si>
  <si>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</si>
  <si>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</si>
  <si>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</si>
  <si>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</si>
  <si>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</si>
  <si>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</si>
  <si>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</si>
  <si>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</si>
  <si>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</si>
  <si>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</si>
  <si>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</si>
  <si>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</si>
  <si>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</si>
  <si>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</si>
  <si>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</si>
  <si>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</si>
  <si>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</si>
  <si>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</si>
  <si>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</si>
  <si>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</si>
  <si>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</si>
  <si>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</si>
  <si>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</si>
  <si>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</si>
  <si>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</si>
  <si>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</si>
  <si>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</si>
  <si>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</si>
  <si>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</si>
  <si>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</si>
  <si>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</si>
  <si>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</si>
  <si>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</si>
  <si>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</si>
  <si>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</si>
  <si>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</si>
  <si>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</si>
  <si>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</si>
  <si>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</si>
  <si>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</si>
  <si>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</si>
  <si>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</si>
  <si>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</si>
  <si>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</si>
  <si>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</si>
  <si>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</si>
  <si>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</si>
  <si>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</si>
  <si>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</si>
  <si>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</si>
  <si>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</si>
  <si>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</si>
  <si>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</si>
  <si>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</si>
  <si>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</si>
  <si>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</si>
  <si>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</si>
  <si>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</si>
  <si>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</si>
  <si>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</si>
  <si>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</si>
  <si>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</si>
  <si>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</si>
  <si>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</si>
  <si>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</si>
  <si>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</si>
  <si>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</si>
  <si>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</si>
  <si>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</si>
  <si>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</si>
  <si>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</si>
  <si>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</si>
  <si>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</si>
  <si>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</si>
  <si>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</si>
  <si>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</si>
  <si>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</si>
  <si>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</si>
  <si>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</si>
  <si>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</si>
  <si>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</si>
  <si>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</si>
  <si>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</si>
  <si>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</si>
  <si>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</si>
  <si>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</si>
  <si>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</si>
  <si>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</si>
  <si>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</si>
  <si>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</si>
  <si>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</si>
  <si>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</si>
  <si>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</si>
  <si>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</si>
  <si>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</si>
  <si>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</si>
  <si>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</si>
  <si>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</si>
  <si>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</si>
  <si>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</si>
  <si>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</si>
  <si>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</si>
  <si>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</si>
  <si>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</si>
  <si>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</si>
  <si>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</si>
  <si>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</si>
  <si>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</si>
  <si>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</si>
  <si>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</si>
  <si>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</si>
  <si>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</si>
  <si>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</si>
  <si>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</si>
  <si>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</si>
  <si>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</si>
  <si>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</si>
  <si>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</si>
  <si>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</si>
  <si>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</si>
  <si>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</si>
  <si>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</si>
  <si>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</si>
  <si>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</si>
  <si>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</si>
  <si>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</si>
  <si>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</si>
  <si>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</si>
  <si>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</si>
  <si>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</si>
  <si>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</si>
  <si>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</si>
  <si>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</si>
  <si>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</si>
  <si>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</si>
  <si>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</si>
  <si>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</si>
  <si>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</si>
  <si>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</si>
  <si>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</si>
  <si>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</si>
  <si>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</si>
  <si>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</si>
  <si>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</si>
  <si>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</si>
  <si>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</si>
  <si>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</si>
  <si>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</si>
  <si>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</si>
  <si>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</si>
  <si>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</si>
  <si>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</si>
  <si>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</si>
  <si>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</si>
  <si>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</si>
  <si>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</si>
  <si>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</si>
  <si>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</si>
  <si>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</si>
  <si>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</si>
  <si>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</si>
  <si>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</si>
  <si>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</si>
  <si>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</si>
  <si>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</si>
  <si>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</si>
  <si>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</si>
  <si>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</si>
  <si>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</si>
  <si>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</si>
  <si>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</si>
  <si>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</si>
  <si>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</si>
  <si>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</si>
  <si>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</si>
  <si>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</si>
  <si>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</si>
  <si>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</si>
  <si>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</si>
  <si>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</si>
  <si>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</si>
  <si>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</si>
  <si>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</si>
  <si>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</si>
  <si>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</si>
  <si>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</si>
  <si>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</si>
  <si>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</si>
  <si>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</si>
  <si>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</si>
  <si>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</si>
  <si>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</si>
  <si>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</si>
  <si>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</si>
  <si>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</si>
  <si>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</si>
  <si>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</si>
  <si>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</si>
  <si>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</si>
  <si>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</si>
  <si>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</si>
  <si>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</si>
  <si>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</si>
  <si>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</si>
  <si>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</si>
  <si>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</si>
  <si>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</si>
  <si>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</si>
  <si>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</si>
  <si>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</si>
  <si>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</si>
  <si>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</si>
  <si>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</si>
  <si>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</si>
  <si>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</si>
  <si>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</si>
  <si>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</si>
  <si>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</si>
  <si>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</si>
  <si>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</si>
  <si>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</si>
  <si>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</si>
  <si>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</si>
  <si>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</si>
  <si>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</si>
  <si>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</si>
  <si>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</si>
  <si>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</si>
  <si>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</si>
  <si>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</si>
  <si>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</si>
  <si>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</si>
  <si>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</si>
  <si>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</si>
  <si>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</si>
  <si>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</si>
  <si>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</si>
  <si>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</si>
  <si>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</si>
  <si>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</si>
  <si>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</si>
  <si>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</si>
  <si>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</si>
  <si>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</si>
  <si>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</si>
  <si>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</si>
  <si>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</si>
  <si>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</si>
  <si>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</si>
  <si>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</si>
  <si>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</si>
  <si>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</si>
  <si>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</si>
  <si>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</si>
  <si>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</si>
  <si>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</si>
  <si>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</si>
  <si>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</si>
  <si>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</si>
  <si>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</si>
  <si>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</si>
  <si>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</si>
  <si>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</si>
  <si>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</si>
  <si>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</si>
  <si>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</si>
  <si>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</si>
  <si>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</si>
  <si>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</si>
  <si>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</si>
  <si>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</si>
  <si>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</si>
  <si>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</si>
  <si>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</si>
  <si>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</si>
  <si>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</si>
  <si>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</si>
  <si>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</si>
  <si>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</si>
  <si>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</si>
  <si>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</si>
  <si>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</si>
  <si>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</si>
  <si>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</si>
  <si>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</si>
  <si>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</si>
  <si>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</si>
  <si>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</si>
  <si>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</si>
  <si>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</si>
  <si>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</si>
  <si>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</si>
  <si>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</si>
  <si>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</si>
  <si>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</si>
  <si>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</si>
  <si>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</si>
  <si>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</si>
  <si>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</si>
  <si>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</si>
  <si>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</si>
  <si>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</si>
  <si>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</si>
  <si>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</si>
  <si>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</si>
  <si>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</si>
  <si>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</si>
  <si>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</si>
  <si>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</si>
  <si>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</si>
  <si>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</si>
  <si>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</si>
  <si>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</si>
  <si>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</si>
  <si>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</si>
  <si>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</si>
  <si>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</si>
  <si>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</si>
  <si>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</si>
  <si>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</si>
  <si>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</si>
  <si>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</si>
  <si>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</si>
  <si>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</si>
  <si>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</si>
  <si>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</si>
  <si>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</si>
  <si>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</si>
  <si>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</si>
  <si>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</si>
  <si>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</si>
  <si>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</si>
  <si>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</si>
  <si>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</si>
  <si>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</si>
  <si>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</si>
  <si>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</si>
  <si>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</si>
  <si>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</si>
  <si>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</si>
  <si>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</si>
  <si>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</si>
  <si>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</si>
  <si>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</si>
  <si>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</si>
  <si>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</si>
  <si>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</si>
  <si>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</si>
  <si>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</si>
  <si>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</si>
  <si>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</si>
  <si>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</si>
  <si>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</si>
  <si>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</si>
  <si>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</si>
  <si>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</si>
  <si>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</si>
  <si>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</si>
  <si>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</si>
  <si>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</si>
  <si>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</si>
  <si>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</si>
  <si>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</si>
  <si>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</si>
  <si>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</si>
  <si>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</si>
  <si>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</si>
  <si>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</si>
  <si>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</si>
  <si>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</si>
  <si>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</si>
  <si>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</si>
  <si>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</si>
  <si>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</si>
  <si>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</si>
  <si>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</si>
  <si>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</si>
  <si>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</si>
  <si>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</si>
  <si>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</si>
  <si>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</si>
  <si>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</si>
  <si>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</si>
  <si>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</si>
  <si>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</si>
  <si>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</si>
  <si>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</si>
  <si>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</si>
  <si>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</si>
  <si>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</si>
  <si>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</si>
  <si>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</si>
  <si>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</si>
  <si>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</si>
  <si>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</si>
  <si>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</si>
  <si>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</si>
  <si>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</si>
  <si>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</si>
  <si>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</si>
  <si>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</si>
  <si>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</si>
  <si>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</si>
  <si>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</si>
  <si>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</si>
  <si>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</si>
  <si>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</si>
  <si>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</si>
  <si>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</si>
  <si>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</si>
  <si>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</si>
  <si>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</si>
  <si>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</si>
  <si>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</si>
  <si>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</si>
  <si>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</si>
  <si>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</si>
  <si>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</si>
  <si>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</si>
  <si>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</si>
  <si>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</si>
  <si>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</si>
  <si>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</si>
  <si>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</si>
  <si>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</si>
  <si>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</si>
  <si>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</si>
  <si>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</si>
  <si>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</si>
  <si>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</si>
  <si>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</si>
  <si>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</si>
  <si>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</si>
  <si>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</si>
  <si>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</si>
  <si>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</si>
  <si>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</si>
  <si>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</si>
  <si>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</si>
  <si>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</si>
  <si>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</si>
  <si>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</si>
  <si>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</si>
  <si>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</si>
  <si>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</si>
  <si>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</si>
  <si>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</si>
  <si>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</si>
  <si>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</si>
  <si>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</si>
  <si>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</si>
  <si>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</si>
  <si>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</si>
  <si>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</si>
  <si>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</si>
  <si>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</si>
  <si>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</si>
  <si>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</si>
  <si>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</si>
  <si>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</si>
  <si>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</si>
  <si>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</si>
  <si>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</si>
  <si>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</si>
  <si>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</si>
  <si>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</si>
  <si>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</si>
  <si>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</si>
  <si>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</si>
  <si>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</si>
  <si>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</si>
  <si>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</si>
  <si>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</si>
  <si>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</si>
  <si>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</si>
  <si>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</si>
  <si>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</si>
  <si>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</si>
  <si>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</si>
  <si>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</si>
  <si>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</si>
  <si>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</si>
  <si>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</si>
  <si>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</si>
  <si>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</si>
  <si>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</si>
  <si>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</si>
  <si>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</si>
  <si>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</si>
  <si>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</si>
  <si>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</si>
  <si>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</si>
  <si>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</si>
  <si>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</si>
  <si>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</si>
  <si>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</si>
  <si>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</si>
  <si>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</si>
  <si>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</si>
  <si>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</si>
  <si>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</si>
  <si>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</si>
  <si>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</si>
  <si>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</si>
  <si>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</si>
  <si>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</si>
  <si>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</si>
  <si>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</si>
  <si>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</si>
  <si>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</si>
  <si>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</si>
  <si>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</si>
  <si>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</si>
  <si>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</si>
  <si>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</si>
  <si>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</si>
  <si>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</si>
  <si>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</si>
  <si>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</si>
  <si>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</si>
  <si>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</si>
  <si>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</si>
  <si>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</si>
  <si>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</si>
  <si>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</si>
  <si>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</si>
  <si>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</si>
  <si>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</si>
  <si>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</si>
  <si>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</si>
  <si>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</si>
  <si>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</si>
  <si>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</si>
  <si>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</si>
  <si>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</si>
  <si>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</si>
  <si>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</si>
  <si>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</si>
  <si>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</si>
  <si>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</si>
  <si>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</si>
  <si>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</si>
  <si>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</si>
  <si>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</si>
  <si>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</si>
  <si>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</si>
  <si>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</si>
  <si>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</si>
  <si>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</si>
  <si>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</si>
  <si>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</si>
  <si>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</si>
  <si>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</si>
  <si>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</si>
  <si>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</si>
  <si>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</si>
  <si>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</si>
  <si>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</si>
  <si>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</si>
  <si>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</si>
  <si>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</si>
  <si>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</si>
  <si>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</si>
  <si>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</si>
  <si>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</si>
  <si>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</si>
  <si>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</si>
  <si>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</si>
  <si>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</si>
  <si>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</si>
  <si>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</si>
  <si>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</si>
  <si>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</si>
  <si>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</si>
  <si>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</si>
  <si>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</si>
  <si>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</si>
  <si>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</si>
  <si>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</si>
  <si>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</si>
  <si>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</si>
  <si>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</si>
  <si>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</si>
  <si>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</si>
  <si>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</si>
  <si>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</si>
  <si>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</si>
  <si>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</si>
  <si>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</si>
  <si>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</si>
  <si>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</si>
  <si>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</si>
  <si>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</si>
  <si>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</si>
  <si>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</si>
  <si>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</si>
  <si>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</si>
  <si>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</si>
  <si>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</si>
  <si>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</si>
  <si>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</si>
  <si>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</si>
  <si>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</si>
  <si>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</si>
  <si>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</si>
  <si>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</si>
  <si>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</si>
  <si>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</si>
  <si>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</si>
  <si>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</si>
  <si>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</si>
  <si>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</si>
  <si>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</si>
  <si>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</si>
  <si>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</si>
  <si>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</si>
  <si>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</si>
  <si>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</si>
  <si>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</si>
  <si>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</si>
  <si>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</si>
  <si>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</si>
  <si>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</si>
  <si>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</si>
  <si>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</si>
  <si>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</si>
  <si>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</si>
  <si>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</si>
  <si>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</si>
  <si>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</si>
  <si>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</si>
  <si>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</si>
  <si>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</si>
  <si>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</si>
  <si>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</si>
  <si>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</si>
  <si>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</si>
  <si>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</si>
  <si>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</si>
  <si>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</si>
  <si>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</si>
  <si>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</si>
  <si>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</si>
  <si>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</si>
  <si>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</si>
  <si>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</si>
  <si>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</si>
  <si>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</si>
  <si>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</si>
  <si>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</si>
  <si>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</si>
  <si>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</si>
  <si>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</si>
  <si>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</si>
  <si>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</si>
  <si>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</si>
  <si>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</si>
  <si>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</si>
  <si>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</si>
  <si>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</si>
  <si>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</si>
  <si>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</si>
  <si>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</si>
  <si>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</si>
  <si>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</si>
  <si>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</si>
  <si>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</si>
  <si>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</si>
  <si>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</si>
  <si>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</si>
  <si>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</si>
  <si>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</si>
  <si>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</si>
  <si>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</si>
  <si>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</si>
  <si>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</si>
  <si>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</si>
  <si>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</si>
  <si>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</si>
  <si>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</si>
  <si>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</si>
  <si>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</si>
  <si>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</si>
  <si>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</si>
  <si>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</si>
  <si>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</si>
  <si>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</si>
  <si>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</si>
  <si>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</si>
  <si>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</si>
  <si>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</si>
  <si>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</si>
  <si>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</si>
  <si>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</si>
  <si>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</si>
  <si>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</si>
  <si>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</si>
  <si>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</si>
  <si>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</si>
  <si>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</si>
  <si>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</si>
  <si>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</si>
  <si>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</si>
  <si>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</si>
  <si>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</si>
  <si>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</si>
  <si>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</si>
  <si>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</si>
  <si>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</si>
  <si>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</si>
  <si>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</si>
  <si>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</si>
  <si>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</si>
  <si>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</si>
  <si>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</si>
  <si>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</si>
  <si>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</si>
  <si>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</si>
  <si>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</si>
  <si>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</si>
  <si>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</si>
  <si>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</si>
  <si>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</si>
  <si>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</si>
  <si>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</si>
  <si>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</si>
  <si>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</si>
  <si>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</si>
  <si>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</si>
  <si>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</si>
  <si>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</si>
  <si>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</si>
  <si>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</si>
  <si>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</si>
  <si>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</si>
  <si>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</si>
  <si>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</si>
  <si>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</si>
  <si>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</si>
  <si>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</si>
  <si>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</si>
  <si>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</si>
  <si>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</si>
  <si>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</si>
  <si>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</si>
  <si>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</si>
  <si>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</si>
  <si>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</si>
  <si>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</si>
  <si>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</si>
  <si>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</si>
  <si>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</si>
  <si>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</si>
  <si>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</si>
  <si>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</si>
  <si>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</si>
  <si>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</si>
  <si>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</si>
  <si>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</si>
  <si>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</si>
  <si>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</si>
  <si>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</si>
  <si>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</si>
  <si>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</si>
  <si>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</si>
  <si>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</si>
  <si>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</si>
  <si>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</si>
  <si>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</si>
  <si>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</si>
  <si>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</si>
  <si>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</si>
  <si>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</si>
  <si>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</si>
  <si>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</si>
  <si>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</si>
  <si>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</si>
  <si>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</si>
  <si>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</si>
  <si>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</si>
  <si>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</si>
  <si>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</si>
  <si>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</si>
  <si>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</si>
  <si>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</si>
  <si>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</si>
  <si>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</si>
  <si>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</si>
  <si>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</si>
  <si>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</si>
  <si>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</si>
  <si>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</si>
  <si>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</si>
  <si>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</si>
  <si>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</si>
  <si>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</si>
  <si>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</si>
  <si>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</si>
  <si>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</si>
  <si>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</si>
  <si>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</si>
  <si>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</si>
  <si>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</si>
  <si>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</si>
  <si>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</si>
  <si>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</si>
  <si>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</si>
  <si>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</si>
  <si>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</si>
  <si>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</si>
  <si>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</si>
  <si>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</si>
  <si>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</si>
  <si>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</si>
  <si>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</si>
  <si>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</si>
  <si>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</si>
  <si>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</si>
  <si>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</si>
  <si>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</si>
  <si>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</si>
  <si>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</si>
  <si>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</si>
  <si>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</si>
  <si>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</si>
  <si>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</si>
  <si>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</si>
  <si>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</si>
  <si>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</si>
  <si>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</si>
  <si>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</si>
  <si>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</si>
  <si>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</si>
  <si>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</si>
  <si>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</si>
  <si>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</si>
  <si>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</si>
  <si>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</si>
  <si>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</si>
  <si>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</si>
  <si>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</si>
  <si>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</si>
  <si>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</si>
  <si>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</si>
  <si>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</si>
  <si>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</si>
  <si>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</si>
  <si>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</si>
  <si>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</si>
  <si>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</si>
  <si>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</si>
  <si>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</si>
  <si>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</si>
  <si>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</si>
  <si>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</si>
  <si>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</si>
  <si>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</si>
  <si>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</si>
  <si>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</si>
  <si>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</si>
  <si>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</si>
  <si>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</si>
  <si>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</si>
  <si>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</si>
  <si>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</si>
  <si>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</si>
  <si>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</si>
  <si>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</si>
  <si>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</si>
  <si>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</si>
  <si>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</si>
  <si>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</si>
  <si>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</si>
  <si>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</si>
  <si>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</si>
  <si>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</si>
  <si>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</si>
  <si>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</si>
  <si>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</si>
  <si>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</si>
  <si>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</si>
  <si>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</si>
  <si>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</si>
  <si>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</si>
  <si>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</si>
  <si>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</si>
  <si>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</si>
  <si>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</si>
  <si>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</si>
  <si>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</si>
  <si>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</si>
  <si>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</si>
  <si>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</si>
  <si>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</si>
  <si>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</si>
  <si>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</si>
  <si>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</si>
  <si>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</si>
  <si>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</si>
  <si>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</si>
  <si>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</si>
  <si>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</si>
  <si>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</si>
  <si>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</si>
  <si>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</si>
  <si>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</si>
  <si>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</si>
  <si>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</si>
  <si>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</si>
  <si>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</si>
  <si>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</si>
  <si>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</si>
  <si>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</si>
  <si>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</si>
  <si>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</si>
  <si>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</si>
  <si>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</si>
  <si>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</si>
  <si>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</si>
  <si>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</si>
  <si>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</si>
  <si>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</si>
  <si>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</si>
  <si>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</si>
  <si>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</si>
  <si>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</si>
  <si>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</si>
  <si>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</si>
  <si>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</si>
  <si>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</si>
  <si>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</si>
  <si>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</si>
  <si>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</si>
  <si>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</si>
  <si>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</si>
  <si>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</si>
  <si>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</si>
  <si>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</si>
  <si>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</si>
  <si>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</si>
  <si>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</si>
  <si>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</si>
  <si>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</si>
  <si>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</si>
  <si>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</si>
  <si>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</si>
  <si>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</si>
  <si>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</si>
  <si>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</si>
  <si>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</si>
  <si>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</si>
  <si>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</si>
  <si>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</si>
  <si>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</si>
  <si>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</si>
  <si>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</si>
  <si>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</si>
  <si>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</si>
  <si>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</si>
  <si>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</si>
  <si>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</si>
  <si>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</si>
  <si>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</si>
  <si>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</si>
  <si>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</si>
  <si>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</si>
  <si>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</si>
  <si>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</si>
  <si>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</si>
  <si>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</si>
  <si>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</si>
  <si>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</si>
  <si>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</si>
  <si>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</si>
  <si>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</si>
  <si>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</si>
  <si>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</si>
  <si>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</si>
  <si>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</si>
  <si>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</si>
  <si>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</si>
  <si>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</si>
  <si>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</si>
  <si>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</si>
  <si>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</si>
  <si>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</si>
  <si>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</si>
  <si>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</si>
  <si>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</si>
  <si>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</si>
  <si>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</si>
  <si>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</si>
  <si>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</si>
  <si>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</si>
  <si>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</si>
  <si>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</si>
  <si>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</si>
  <si>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</si>
  <si>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</si>
  <si>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</si>
  <si>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</si>
  <si>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</si>
  <si>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</si>
  <si>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</si>
  <si>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</si>
  <si>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</si>
  <si>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</si>
  <si>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</si>
  <si>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</si>
  <si>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</si>
  <si>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</si>
  <si>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</si>
  <si>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</si>
  <si>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</si>
  <si>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</si>
  <si>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</si>
  <si>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</si>
  <si>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</si>
  <si>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</si>
  <si>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</si>
  <si>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</si>
  <si>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</si>
  <si>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</si>
  <si>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</si>
  <si>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</si>
  <si>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</si>
  <si>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</si>
  <si>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</si>
  <si>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</si>
  <si>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</si>
  <si>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</si>
  <si>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</si>
  <si>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</si>
  <si>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</si>
  <si>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</si>
  <si>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</si>
  <si>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</si>
  <si>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</si>
  <si>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</si>
  <si>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</si>
  <si>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</si>
  <si>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</si>
  <si>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</si>
  <si>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</si>
  <si>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</si>
  <si>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</si>
  <si>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</si>
  <si>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</si>
  <si>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</si>
  <si>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</si>
  <si>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</si>
  <si>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</si>
  <si>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</si>
  <si>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</si>
  <si>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</si>
  <si>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</si>
  <si>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</si>
  <si>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</si>
  <si>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</si>
  <si>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</si>
  <si>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</si>
  <si>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</si>
  <si>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</si>
  <si>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</si>
  <si>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</si>
  <si>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</si>
  <si>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</si>
  <si>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</si>
  <si>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</si>
  <si>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</si>
  <si>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</si>
  <si>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</si>
  <si>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</si>
  <si>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</si>
  <si>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</si>
  <si>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</si>
  <si>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</si>
  <si>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</si>
  <si>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</si>
  <si>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</si>
  <si>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</si>
  <si>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</si>
  <si>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</si>
  <si>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</si>
  <si>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</si>
  <si>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</si>
  <si>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</si>
  <si>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</si>
  <si>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</si>
  <si>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</si>
  <si>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</si>
  <si>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</si>
  <si>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</si>
  <si>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</si>
  <si>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</si>
  <si>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</si>
  <si>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</si>
  <si>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</si>
  <si>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</si>
  <si>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</si>
  <si>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</si>
  <si>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</si>
  <si>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</si>
  <si>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</si>
  <si>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</si>
  <si>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</si>
  <si>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</si>
  <si>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</si>
  <si>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</si>
  <si>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</si>
  <si>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</si>
  <si>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</si>
  <si>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</si>
  <si>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</si>
  <si>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</si>
  <si>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</si>
  <si>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</si>
  <si>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</si>
  <si>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</si>
  <si>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</si>
  <si>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</si>
  <si>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</si>
  <si>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</si>
  <si>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</si>
  <si>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</si>
  <si>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</si>
  <si>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</si>
  <si>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</si>
  <si>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</si>
  <si>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</si>
  <si>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</si>
  <si>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</si>
  <si>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</si>
  <si>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</si>
  <si>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</si>
  <si>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</si>
  <si>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</si>
  <si>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</si>
  <si>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</si>
  <si>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</si>
  <si>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</si>
  <si>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</si>
  <si>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</si>
  <si>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</si>
  <si>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</si>
  <si>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</si>
  <si>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</si>
  <si>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</si>
  <si>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</si>
  <si>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</si>
  <si>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</si>
  <si>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</si>
  <si>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</si>
  <si>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</si>
  <si>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</si>
  <si>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</si>
  <si>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</si>
  <si>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</si>
  <si>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</si>
  <si>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</si>
  <si>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</si>
  <si>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</si>
  <si>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</si>
  <si>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</si>
  <si>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</si>
  <si>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</si>
  <si>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</si>
  <si>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</si>
  <si>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</si>
  <si>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</si>
  <si>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</si>
  <si>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</si>
  <si>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</si>
  <si>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</si>
  <si>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</si>
  <si>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</si>
  <si>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</si>
  <si>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</si>
  <si>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</si>
  <si>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</si>
  <si>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</si>
  <si>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</si>
  <si>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</si>
  <si>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</si>
  <si>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</si>
  <si>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</si>
  <si>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</si>
  <si>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</si>
  <si>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</si>
  <si>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</si>
  <si>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</si>
  <si>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</si>
  <si>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</si>
  <si>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</si>
  <si>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</si>
  <si>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</si>
  <si>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</si>
  <si>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</si>
  <si>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</si>
  <si>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</si>
  <si>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</si>
  <si>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</si>
  <si>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</si>
  <si>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</si>
  <si>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</si>
  <si>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</si>
  <si>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</si>
  <si>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</si>
  <si>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</si>
  <si>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</si>
  <si>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</si>
  <si>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</si>
  <si>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</si>
  <si>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</si>
  <si>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</si>
  <si>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</si>
  <si>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</si>
  <si>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</si>
  <si>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</si>
  <si>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</si>
  <si>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</si>
  <si>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</si>
  <si>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</si>
  <si>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</si>
  <si>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</si>
  <si>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</si>
  <si>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</si>
  <si>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</si>
  <si>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</si>
  <si>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</si>
  <si>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</si>
  <si>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</si>
  <si>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</si>
  <si>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</si>
  <si>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</si>
  <si>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</si>
  <si>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</si>
  <si>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</si>
  <si>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</si>
  <si>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</si>
  <si>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</si>
  <si>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</si>
  <si>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</si>
  <si>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</si>
  <si>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</si>
  <si>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</si>
  <si>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</si>
  <si>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</si>
  <si>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</si>
  <si>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</si>
  <si>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</si>
  <si>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</si>
  <si>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</si>
  <si>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</si>
  <si>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</si>
  <si>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</si>
  <si>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</si>
  <si>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</si>
  <si>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</si>
  <si>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</si>
  <si>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</si>
  <si>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</si>
  <si>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</si>
  <si>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</si>
  <si>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</si>
  <si>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</si>
  <si>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</si>
  <si>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</si>
  <si>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</si>
  <si>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</si>
  <si>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</si>
  <si>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</si>
  <si>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</si>
  <si>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</si>
  <si>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</si>
  <si>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</si>
  <si>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</si>
  <si>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</si>
  <si>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</si>
  <si>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</si>
  <si>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</si>
  <si>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</si>
  <si>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</si>
  <si>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</si>
  <si>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</si>
  <si>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</si>
  <si>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</si>
  <si>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</si>
  <si>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</si>
  <si>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</si>
  <si>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</si>
  <si>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</si>
  <si>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</si>
  <si>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</si>
  <si>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</si>
  <si>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</si>
  <si>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</si>
  <si>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</si>
  <si>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</si>
  <si>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</si>
  <si>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</si>
  <si>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</si>
  <si>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</si>
  <si>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</si>
  <si>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</si>
  <si>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</si>
  <si>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</si>
  <si>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</si>
  <si>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</si>
  <si>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</si>
  <si>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</si>
  <si>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</si>
  <si>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</si>
  <si>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</si>
  <si>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</si>
  <si>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</si>
  <si>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</si>
  <si>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</si>
  <si>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</si>
  <si>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</si>
  <si>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</si>
  <si>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</si>
  <si>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</si>
  <si>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</si>
  <si>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</si>
  <si>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</si>
  <si>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</si>
  <si>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</si>
  <si>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</si>
  <si>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</si>
  <si>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</si>
  <si>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</si>
  <si>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</si>
  <si>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</si>
  <si>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</si>
  <si>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</si>
  <si>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</si>
  <si>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</si>
  <si>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</si>
  <si>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</si>
  <si>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</si>
  <si>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</si>
  <si>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</si>
  <si>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</si>
  <si>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</si>
  <si>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</si>
  <si>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</si>
  <si>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</si>
  <si>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</si>
  <si>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</si>
  <si>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</si>
  <si>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</si>
  <si>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</si>
  <si>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</si>
  <si>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</si>
  <si>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</si>
  <si>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</si>
  <si>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</si>
  <si>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</si>
  <si>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</si>
  <si>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</si>
  <si>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</si>
  <si>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</si>
  <si>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</si>
  <si>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</si>
  <si>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</si>
  <si>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</si>
  <si>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</si>
  <si>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</si>
  <si>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</si>
  <si>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</si>
  <si>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</si>
  <si>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</si>
  <si>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</si>
  <si>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</si>
  <si>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</si>
  <si>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</si>
  <si>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</si>
  <si>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</si>
  <si>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</si>
  <si>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</si>
  <si>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</si>
  <si>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</si>
  <si>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</si>
  <si>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</si>
  <si>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</si>
  <si>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</si>
  <si>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</si>
  <si>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</si>
  <si>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</si>
  <si>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</si>
  <si>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</si>
  <si>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</si>
  <si>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</si>
  <si>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</si>
  <si>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</si>
  <si>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</si>
  <si>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</si>
  <si>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</si>
  <si>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</si>
  <si>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</si>
  <si>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</si>
  <si>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</si>
  <si>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</si>
  <si>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</si>
  <si>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</si>
  <si>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</si>
  <si>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</si>
  <si>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</si>
  <si>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</si>
  <si>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</si>
  <si>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</si>
  <si>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</si>
  <si>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</si>
  <si>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</si>
  <si>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</si>
  <si>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</si>
  <si>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</si>
  <si>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</si>
  <si>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</si>
  <si>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</si>
  <si>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</si>
  <si>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</si>
  <si>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</si>
  <si>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</si>
  <si>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</si>
  <si>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</si>
  <si>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</si>
  <si>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</si>
  <si>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</si>
  <si>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</si>
  <si>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</si>
  <si>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</si>
  <si>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</si>
  <si>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</si>
  <si>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</si>
  <si>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</si>
  <si>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</si>
  <si>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</si>
  <si>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</si>
  <si>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</si>
  <si>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</si>
  <si>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</si>
  <si>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</si>
  <si>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</si>
  <si>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</si>
  <si>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</si>
  <si>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</si>
  <si>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</si>
  <si>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</si>
  <si>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</si>
  <si>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</si>
  <si>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</si>
  <si>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</si>
  <si>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</si>
  <si>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</si>
  <si>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</si>
  <si>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</si>
  <si>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</si>
  <si>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</si>
  <si>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</si>
  <si>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</si>
  <si>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</si>
  <si>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</si>
  <si>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</si>
  <si>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</si>
  <si>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</si>
  <si>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</si>
  <si>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</si>
  <si>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</si>
  <si>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</si>
  <si>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</si>
  <si>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</si>
  <si>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</si>
  <si>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</si>
  <si>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</si>
  <si>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地上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</si>
</sst>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504825</xdr:colOff>
      <xdr:row>2</xdr:row>
      <xdr:rowOff>152400</xdr:rowOff>
    </xdr:from>
    <xdr:to>
      <xdr:col>12</xdr:col>
      <xdr:colOff>408644</xdr:colOff>
      <xdr:row>16</xdr:row>
      <xdr:rowOff>9243</xdr:rowOff>
    </xdr:to>
    <xdr:pic>
      <xdr:nvPicPr>
        <xdr:cNvPr id="2" name="图片 1">
          <a:extLst>
            <a:ext uri="{FF2B5EF4-FFF2-40B4-BE49-F238E27FC236}">
              <a16:creationId xmlns:a16="http://schemas.microsoft.com/office/drawing/2014/main" id="{46E99C4F-249F-D966-82D4-21038A973977}"/>
            </a:ext>
          </a:extLst>
        </xdr:cNvPr>
        <xdr:cNvPicPr>
          <a:picLocks noChangeAspect="1"/>
        </xdr:cNvPicPr>
      </xdr:nvPicPr>
      <xdr:blipFill>
        <a:blip xmlns:r="http://schemas.openxmlformats.org/officeDocument/2006/relationships" r:embed="rId1"/>
        <a:stretch>
          <a:fillRect/>
        </a:stretch>
      </xdr:blipFill>
      <xdr:spPr>
        <a:xfrm>
          <a:off x="1190625" y="495300"/>
          <a:ext cx="7447619" cy="2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估价对象为北京市房地产，为所有。根据《国有土地使用证》[]，估价对象（分摊）出让国有建设用地使用权面积为0平方米，建筑面积为174.9平方米。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估价对象为北京市房地产,属开发建设的，该项目尚在开发建设中。根据《国有土地使用证》[]，估价对象（分摊）出让国有建设用地使用权面积为0平方米，规划建筑面积为174.9平方米。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v>
      </c>
    </row>
    <row r="13" spans="1:2">
      <c r="A13" s="1119" t="s">
        <v>529</v>
      </c>
      <c r="B13" s="1120"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174.9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04" t="s">
        <v>2579</v>
      </c>
      <c r="J2" s="3204"/>
      <c r="K2" s="3204"/>
      <c r="L2" s="3204"/>
      <c r="M2" s="3204"/>
      <c r="N2" s="3204"/>
      <c r="O2" s="3204"/>
      <c r="P2" s="3204"/>
      <c r="Q2" s="3204"/>
      <c r="R2" s="3204"/>
    </row>
    <row r="3" spans="1:18">
      <c r="A3" s="2763" t="s">
        <v>2500</v>
      </c>
      <c r="B3" s="2764">
        <f>项目基本情况!D3</f>
        <v>45828</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1.49</v>
      </c>
      <c r="D5" s="2768">
        <f>IF(ISERROR(ROUND(POWER(1+E5,A5-C5)*(POWER(1+E5,C5)-1)/(POWER(1+E5,A5)-1),3)),0,ROUND(POWER(1+E5,A5-C5)*(POWER(1+E5,C5)-1)/(POWER(1+E5,A5)-1),4))</f>
        <v>7.17E-2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11.5</v>
      </c>
      <c r="D6" s="2768">
        <f>IF(ISERROR(ROUND(POWER(1+E6,A6-C6)*(POWER(1+E6,C6)-1)/(POWER(1+E6,A6)-1),3)),0,ROUND(POWER(1+E6,A6-C6)*(POWER(1+E6,C6)-1)/(POWER(1+E6,A6)-1),4))</f>
        <v>0.42249999999999999</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25" thickBot="1">
      <c r="A18" s="2773" t="s">
        <v>2515</v>
      </c>
      <c r="B18" s="2774">
        <f>ROUND(B17*F11/F12,2)</f>
        <v>5541.87</v>
      </c>
      <c r="C18" s="2774">
        <f>ROUND(F11/F12,4)</f>
        <v>1.1521999999999999</v>
      </c>
      <c r="D18" s="2775"/>
      <c r="E18" s="2775"/>
      <c r="F18" s="2776"/>
    </row>
    <row r="19" spans="1:14" ht="14.25" thickBot="1"/>
    <row r="20" spans="1:14" s="2809" customFormat="1" ht="14.2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2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3411</v>
      </c>
      <c r="C8" s="2201"/>
      <c r="D8" s="3208" t="s">
        <v>2176</v>
      </c>
      <c r="E8" s="2202" t="s">
        <v>3412</v>
      </c>
      <c r="F8" s="2203"/>
      <c r="G8" s="2442"/>
      <c r="H8" s="2442"/>
      <c r="I8" s="2442"/>
      <c r="J8" s="2245"/>
      <c r="K8" s="2400"/>
      <c r="L8" s="2399"/>
      <c r="M8" s="2399"/>
      <c r="N8" s="2245"/>
      <c r="O8" s="1670"/>
      <c r="P8" s="2245"/>
      <c r="Q8" s="2245"/>
      <c r="R8" s="2245"/>
    </row>
    <row r="9" spans="1:30" ht="13.5" thickBot="1">
      <c r="A9" s="2204" t="s">
        <v>2177</v>
      </c>
      <c r="B9" s="2205" t="s">
        <v>3412</v>
      </c>
      <c r="C9" s="2206"/>
      <c r="D9" s="3209"/>
      <c r="E9" s="2205"/>
      <c r="F9" s="2207"/>
      <c r="G9" s="2443"/>
      <c r="H9" s="2443"/>
      <c r="I9" s="2443"/>
      <c r="J9" s="2245"/>
      <c r="K9" s="2402"/>
      <c r="L9" s="2399"/>
      <c r="M9" s="2399"/>
      <c r="N9" s="2245"/>
      <c r="O9" s="1670"/>
      <c r="P9" s="2245"/>
      <c r="Q9" s="2245"/>
      <c r="R9" s="2245"/>
    </row>
    <row r="10" spans="1:30" ht="13.5" thickTop="1">
      <c r="A10" s="2208" t="s">
        <v>2178</v>
      </c>
      <c r="B10" s="2209" t="s">
        <v>3413</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3414</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v>52849</v>
      </c>
      <c r="F13" s="803"/>
      <c r="G13" s="803"/>
      <c r="H13" s="803"/>
      <c r="I13" s="803"/>
      <c r="J13" s="2803"/>
      <c r="K13" s="2399"/>
      <c r="L13" s="2399"/>
      <c r="M13" s="2245"/>
      <c r="N13" s="1670"/>
      <c r="O13" s="2245"/>
      <c r="P13" s="2245"/>
      <c r="Q13" s="2245"/>
      <c r="AD13" s="1618"/>
    </row>
    <row r="14" spans="1:30">
      <c r="A14" s="1018"/>
      <c r="B14" s="2218" t="s">
        <v>2190</v>
      </c>
      <c r="C14" s="2219"/>
      <c r="D14" s="2219"/>
      <c r="E14" s="2219">
        <v>50</v>
      </c>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19.23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15"/>
      <c r="C16" s="3216"/>
      <c r="D16" s="3217"/>
      <c r="E16" s="2222" t="s">
        <v>2193</v>
      </c>
      <c r="F16" s="3218"/>
      <c r="G16" s="3219"/>
      <c r="H16" s="3219"/>
      <c r="I16" s="3220"/>
      <c r="J16" s="2245"/>
      <c r="K16" s="2403"/>
      <c r="L16" s="1670"/>
      <c r="M16" s="1670"/>
      <c r="N16" s="2245"/>
      <c r="O16" s="1670"/>
      <c r="P16" s="2245"/>
      <c r="Q16" s="2245"/>
      <c r="R16" s="2245"/>
    </row>
    <row r="17" spans="1:28">
      <c r="A17" s="305" t="s">
        <v>2194</v>
      </c>
      <c r="B17" s="294" t="s">
        <v>2195</v>
      </c>
      <c r="C17" s="8">
        <f>'数据-汇总表'!E3</f>
        <v>174.9</v>
      </c>
      <c r="D17" s="1256" t="s">
        <v>2196</v>
      </c>
      <c r="E17" s="3221" t="s">
        <v>2197</v>
      </c>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24" t="s">
        <v>2201</v>
      </c>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1" t="s">
        <v>2205</v>
      </c>
      <c r="C20" s="3212"/>
      <c r="D20" s="3213" t="s">
        <v>2206</v>
      </c>
      <c r="E20" s="3214"/>
      <c r="F20" s="2430" t="s">
        <v>1056</v>
      </c>
      <c r="G20" s="2442"/>
      <c r="H20" s="2442"/>
      <c r="I20" s="2442"/>
      <c r="J20" s="2245"/>
      <c r="K20" s="3210"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8"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8"/>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8"/>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9"/>
      <c r="B30" s="294" t="s">
        <v>2217</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27" t="s">
        <v>2227</v>
      </c>
      <c r="T34" s="315" t="str">
        <f>NUMBERSTRING(7-K34,1)&amp;"通"</f>
        <v>七通</v>
      </c>
      <c r="U34" s="2245"/>
      <c r="V34" s="2245"/>
    </row>
    <row r="35" spans="1:30">
      <c r="A35" s="2236"/>
      <c r="B35" s="3227" t="s">
        <v>2228</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174.9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3415</v>
      </c>
      <c r="E13" s="13">
        <f>IF($C$3="是",ROUND($A$3*G13/$B$3,2),ROUND($A$3*(G13-AT13)/$B$3,2))</f>
        <v>0</v>
      </c>
      <c r="F13" s="29"/>
      <c r="G13" s="30">
        <f>H13+AC13+AT13</f>
        <v>174.9</v>
      </c>
      <c r="H13" s="17">
        <f>SUMIF(I$12:AB$12,"总值",I13:AB13)</f>
        <v>174.9</v>
      </c>
      <c r="I13" s="1514">
        <v>174.9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0</v>
      </c>
      <c r="E3" s="41">
        <f>'数据-基础表'!AZ5</f>
        <v>174.9</v>
      </c>
      <c r="F3" s="2439"/>
      <c r="G3" s="42"/>
      <c r="H3" s="43" t="s">
        <v>1106</v>
      </c>
      <c r="I3" s="802" t="e">
        <f>ROUND('数据-基础表'!B3/'数据-基础表'!A3,2)</f>
        <v>#DIV/0!</v>
      </c>
      <c r="J3" s="2439"/>
      <c r="K3" s="2439"/>
      <c r="L3" s="2439"/>
      <c r="M3" s="2439"/>
      <c r="N3" s="2440"/>
      <c r="O3" s="2439"/>
      <c r="P3" s="2439"/>
    </row>
    <row r="4" spans="1:16" ht="15">
      <c r="A4" s="3245"/>
      <c r="B4" s="3246"/>
      <c r="C4" s="324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8" t="s">
        <v>1111</v>
      </c>
      <c r="C6" s="3248"/>
      <c r="D6" s="43">
        <f>ROUND($D$3*E6/$E$3,2)</f>
        <v>0</v>
      </c>
      <c r="E6" s="44">
        <f>E3-E5</f>
        <v>174.9</v>
      </c>
      <c r="F6" s="2439"/>
      <c r="G6" s="1529" t="s">
        <v>1112</v>
      </c>
      <c r="H6" s="45" t="s">
        <v>1113</v>
      </c>
      <c r="I6" s="2435" t="e">
        <f>ROUND(F31/D31,2)</f>
        <v>#DIV/0!</v>
      </c>
      <c r="J6" s="2439"/>
      <c r="K6" s="2439"/>
      <c r="L6" s="2439"/>
      <c r="M6" s="2439"/>
      <c r="N6" s="2439"/>
      <c r="O6" s="2439"/>
      <c r="P6" s="2439"/>
    </row>
    <row r="7" spans="1:16" ht="15.75" thickBot="1">
      <c r="A7" s="3240"/>
      <c r="B7" s="3241"/>
      <c r="C7" s="324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174.9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174.9</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v>3101</v>
      </c>
      <c r="D19" s="43">
        <f>ROUND($D$3*E19/$E$3,2)</f>
        <v>0</v>
      </c>
      <c r="E19" s="51">
        <f t="shared" ref="E19:E26" si="1">SUM(F19:G19)</f>
        <v>174.9</v>
      </c>
      <c r="F19" s="2558">
        <f>'数据-基础表'!I13</f>
        <v>174.9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174.9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174.9</v>
      </c>
      <c r="F27" s="1072">
        <f>IF(SUM(F19:F26)=E8,SUM(F19:F26),"地上面积有误")</f>
        <v>174.9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174.9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174.9</v>
      </c>
      <c r="F31" s="644">
        <f>F27+F30</f>
        <v>174.9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3101</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174.9</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174.9</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2285</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165.68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45828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729</v>
      </c>
      <c r="C5" s="2300">
        <f ca="1">IF(B5=D14,结果表!H102,ROUND(B5*10000/$B$1,0))</f>
        <v>0</v>
      </c>
      <c r="D5" s="2300" t="e">
        <f>ROUND(B5*10000/$B$2,0)</f>
        <v>#DIV/0!</v>
      </c>
      <c r="E5" s="2462"/>
      <c r="F5" s="2463"/>
      <c r="G5" s="2463"/>
      <c r="H5" s="2463"/>
      <c r="I5" s="2463"/>
      <c r="J5" s="2463"/>
      <c r="K5" s="2463"/>
    </row>
    <row r="6" spans="1:11" ht="16.5">
      <c r="A6" s="2300" t="s">
        <v>656</v>
      </c>
      <c r="B6" s="2300">
        <f>SUM(G14:G23)</f>
        <v>729</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典型户型修正!B27</f>
        <v>165.68</v>
      </c>
      <c r="C14" s="2306"/>
      <c r="D14" s="2306">
        <f>ROUND(B14*E14/10000,0)</f>
        <v>729</v>
      </c>
      <c r="E14" s="2306">
        <f>典型户型修正!R24</f>
        <v>44000</v>
      </c>
      <c r="F14" s="2306" t="e">
        <f>ROUND(D14*10000/C14,0)</f>
        <v>#DIV/0!</v>
      </c>
      <c r="G14" s="2306">
        <f>D14</f>
        <v>729</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N115" sqref="N11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8" t="str">
        <f>项目基本情况!S2</f>
        <v>北京市房地产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c r="D4" s="1626"/>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c r="D14" s="3312"/>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43" t="s">
        <v>2130</v>
      </c>
      <c r="F18" s="3344"/>
      <c r="G18" s="3344"/>
      <c r="H18" s="3344"/>
      <c r="I18" s="3344"/>
      <c r="K18" s="294" t="s">
        <v>1289</v>
      </c>
      <c r="L18" s="294">
        <f>IF(C1="",'数据-汇总表'!E3,SUMIF(项目类型,C1,'数据-汇总表'!E17:E26)+SUMIF(项目类型,C1,'数据-汇总表'!I17:I26))</f>
        <v>174.9</v>
      </c>
      <c r="M18" s="294">
        <f>IF(C1="",'数据-汇总表'!E3,SUMIF(项目类型,C1,'数据-汇总表'!E17:E26))</f>
        <v>174.9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t="e">
        <f ca="1">ROUND(H101*F45,0)</f>
        <v>#REF!</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10">
        <v>1</v>
      </c>
      <c r="K46" s="3254" t="s">
        <v>1331</v>
      </c>
      <c r="L46" s="3254"/>
      <c r="M46" s="3255"/>
      <c r="N46" s="3255"/>
      <c r="O46" s="3255"/>
    </row>
    <row r="47" spans="1:15" ht="12" customHeight="1">
      <c r="A47" s="152" t="s">
        <v>1332</v>
      </c>
      <c r="B47" s="153"/>
      <c r="C47" s="154"/>
      <c r="D47" s="1024" t="s">
        <v>1333</v>
      </c>
      <c r="E47" s="294" t="s">
        <v>1334</v>
      </c>
      <c r="F47" s="155" t="s">
        <v>1335</v>
      </c>
      <c r="G47" s="2333" t="s">
        <v>1336</v>
      </c>
      <c r="H47" s="2334"/>
      <c r="I47" s="151"/>
      <c r="J47" s="2310">
        <v>2</v>
      </c>
      <c r="K47" s="3254" t="s">
        <v>1337</v>
      </c>
      <c r="L47" s="3254"/>
      <c r="M47" s="3256">
        <f>'数据-取费表'!B2</f>
        <v>45828</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54" t="s">
        <v>1340</v>
      </c>
      <c r="L48" s="3254"/>
      <c r="M48" s="3257" t="e">
        <f ca="1">H101</f>
        <v>#REF!</v>
      </c>
      <c r="N48" s="3257"/>
      <c r="O48" s="3257"/>
    </row>
    <row r="49" spans="1:35" ht="25.5" customHeight="1">
      <c r="A49" s="2152" t="s">
        <v>1341</v>
      </c>
      <c r="B49" s="3302" t="s">
        <v>1342</v>
      </c>
      <c r="C49" s="3302"/>
      <c r="D49" s="1478">
        <v>0</v>
      </c>
      <c r="E49" s="316" t="s">
        <v>1343</v>
      </c>
      <c r="F49" s="2233" t="s">
        <v>28</v>
      </c>
      <c r="G49" s="3285"/>
      <c r="H49" s="2134" t="s">
        <v>2133</v>
      </c>
      <c r="I49" s="2135"/>
      <c r="J49" s="2310">
        <v>4</v>
      </c>
      <c r="K49" s="3254" t="str">
        <f>IF(项目基本情况!E8="房地产抵押价值","房地产抵押价值","抵押担保权已注销时的房地产抵押价值")</f>
        <v>房地产抵押价值</v>
      </c>
      <c r="L49" s="3254"/>
      <c r="M49" s="3257" t="str">
        <f ca="1">IF(项目基本情况!E8="房地产抵押价值",H107,H109)</f>
        <v>——</v>
      </c>
      <c r="N49" s="3257"/>
      <c r="O49" s="3257"/>
    </row>
    <row r="50" spans="1:35" ht="25.5" customHeight="1">
      <c r="A50" s="2338"/>
      <c r="B50" s="3302" t="s">
        <v>1344</v>
      </c>
      <c r="C50" s="3302"/>
      <c r="D50" s="2189"/>
      <c r="E50" s="323"/>
      <c r="F50" s="2233"/>
      <c r="G50" s="3286"/>
      <c r="H50" s="2136" t="s">
        <v>2134</v>
      </c>
      <c r="I50" s="2135"/>
      <c r="J50" s="3253" t="s">
        <v>1345</v>
      </c>
      <c r="K50" s="3253"/>
      <c r="L50" s="3253"/>
      <c r="M50" s="3253"/>
      <c r="N50" s="3253"/>
      <c r="O50" s="3253"/>
    </row>
    <row r="51" spans="1:35" ht="20.45" customHeight="1">
      <c r="A51" s="2339"/>
      <c r="B51" s="3302" t="s">
        <v>1346</v>
      </c>
      <c r="C51" s="3302"/>
      <c r="D51" s="1024"/>
      <c r="E51" s="319"/>
      <c r="F51" s="2233"/>
      <c r="G51" s="3287"/>
      <c r="H51" s="2136" t="s">
        <v>2135</v>
      </c>
      <c r="I51" s="2135"/>
      <c r="J51" s="2311" t="s">
        <v>1347</v>
      </c>
      <c r="K51" s="3254" t="s">
        <v>1348</v>
      </c>
      <c r="L51" s="3254"/>
      <c r="M51" s="2311" t="s">
        <v>1349</v>
      </c>
      <c r="N51" s="2311" t="s">
        <v>1350</v>
      </c>
      <c r="O51" s="2311" t="s">
        <v>1351</v>
      </c>
    </row>
    <row r="52" spans="1:35" ht="24" customHeight="1">
      <c r="A52" s="2153" t="s">
        <v>1352</v>
      </c>
      <c r="B52" s="3302" t="s">
        <v>1353</v>
      </c>
      <c r="C52" s="3302"/>
      <c r="D52" s="1024" t="e">
        <f ca="1">ROUND(D45*'数据-取费表'!B41/(1+'数据-取费表'!C42),0)</f>
        <v>#REF!</v>
      </c>
      <c r="E52" s="1256" t="s">
        <v>1354</v>
      </c>
      <c r="F52" s="2340">
        <f>'数据-取费表'!B41</f>
        <v>0</v>
      </c>
      <c r="G52" s="2341"/>
      <c r="H52" s="2331"/>
      <c r="I52" s="1669"/>
      <c r="J52" s="2310">
        <v>1</v>
      </c>
      <c r="K52" s="3279" t="s">
        <v>1355</v>
      </c>
      <c r="L52" s="3279"/>
      <c r="M52" s="2312" t="b">
        <f>D48</f>
        <v>0</v>
      </c>
      <c r="N52" s="2310" t="str">
        <f>E48</f>
        <v>销售额×税（费）率</v>
      </c>
      <c r="O52" s="2313">
        <f>F48</f>
        <v>0</v>
      </c>
    </row>
    <row r="53" spans="1:35" ht="12" customHeight="1">
      <c r="A53" s="2153" t="s">
        <v>1356</v>
      </c>
      <c r="B53" s="3303" t="s">
        <v>2290</v>
      </c>
      <c r="C53" s="3304"/>
      <c r="D53" s="1024" t="e">
        <f ca="1">ROUND(D45*'数据-取费表'!B41/(1+'数据-取费表'!C42),0)</f>
        <v>#REF!</v>
      </c>
      <c r="E53" s="1256" t="s">
        <v>1354</v>
      </c>
      <c r="F53" s="2340">
        <f>'数据-取费表'!B41</f>
        <v>0</v>
      </c>
      <c r="G53" s="2341"/>
      <c r="H53" s="2331"/>
      <c r="I53" s="1669"/>
      <c r="J53" s="2310">
        <v>2</v>
      </c>
      <c r="K53" s="3279" t="s">
        <v>1357</v>
      </c>
      <c r="L53" s="3279"/>
      <c r="M53" s="2312" t="e">
        <f t="shared" ref="M53:O54" ca="1" si="0">D55</f>
        <v>#REF!</v>
      </c>
      <c r="N53" s="2310" t="str">
        <f t="shared" si="0"/>
        <v>销售额×税（费）率</v>
      </c>
      <c r="O53" s="2313" t="str">
        <f t="shared" si="0"/>
        <v>免征</v>
      </c>
    </row>
    <row r="54" spans="1:35" ht="12" customHeight="1">
      <c r="A54" s="2153" t="s">
        <v>1358</v>
      </c>
      <c r="B54" s="3303" t="s">
        <v>2291</v>
      </c>
      <c r="C54" s="3304"/>
      <c r="D54" s="1024" t="e">
        <f ca="1">C68</f>
        <v>#REF!</v>
      </c>
      <c r="E54" s="319" t="s">
        <v>1359</v>
      </c>
      <c r="F54" s="2340">
        <f>'数据-取费表'!B41</f>
        <v>0</v>
      </c>
      <c r="G54" s="2341"/>
      <c r="H54" s="2342"/>
      <c r="I54" s="1669"/>
      <c r="J54" s="2310">
        <v>3</v>
      </c>
      <c r="K54" s="3279" t="s">
        <v>1360</v>
      </c>
      <c r="L54" s="3279"/>
      <c r="M54" s="2312" t="e">
        <f t="shared" ca="1" si="0"/>
        <v>#REF!</v>
      </c>
      <c r="N54" s="2310" t="str">
        <f t="shared" si="0"/>
        <v>增值额×税（费）率</v>
      </c>
      <c r="O54" s="2314" t="str">
        <f t="shared" si="0"/>
        <v>免征</v>
      </c>
    </row>
    <row r="55" spans="1:35" ht="24" customHeight="1">
      <c r="A55" s="3339" t="s">
        <v>1361</v>
      </c>
      <c r="B55" s="3317"/>
      <c r="C55" s="3317"/>
      <c r="D55" s="12" t="e">
        <f ca="1">IF(H55="个人住宅",0,ROUND(D45*I55,0))</f>
        <v>#REF!</v>
      </c>
      <c r="E55" s="1256" t="s">
        <v>1362</v>
      </c>
      <c r="F55" s="2340" t="str">
        <f>IF(H55="正常",I55,"免征")</f>
        <v>免征</v>
      </c>
      <c r="G55" s="2341"/>
      <c r="H55" s="2337"/>
      <c r="I55" s="157">
        <f>'数据-取费表'!B49</f>
        <v>0</v>
      </c>
      <c r="J55" s="2310">
        <f>IF(H59="非个人房产","",4)</f>
        <v>4</v>
      </c>
      <c r="K55" s="3279" t="str">
        <f>IF(H59="非个人房产","——","个人所得税")</f>
        <v>个人所得税</v>
      </c>
      <c r="L55" s="3279"/>
      <c r="M55" s="2315" t="e">
        <f ca="1">D59</f>
        <v>#REF!</v>
      </c>
      <c r="N55" s="1883" t="str">
        <f>E59</f>
        <v>差额计税</v>
      </c>
      <c r="O55" s="2316">
        <f>F59</f>
        <v>0.01</v>
      </c>
    </row>
    <row r="56" spans="1:35" ht="24.75">
      <c r="A56" s="3339" t="s">
        <v>1363</v>
      </c>
      <c r="B56" s="3317"/>
      <c r="C56" s="3317"/>
      <c r="D56" s="12" t="e">
        <f ca="1">IF(H56="个人住宅",D57,D58)</f>
        <v>#REF!</v>
      </c>
      <c r="E56" s="1256" t="s">
        <v>1364</v>
      </c>
      <c r="F56" s="2340" t="str">
        <f>IF(H56="正常",F58,"免征")</f>
        <v>免征</v>
      </c>
      <c r="G56" s="2343" t="s">
        <v>1365</v>
      </c>
      <c r="H56" s="2344"/>
      <c r="I56" s="1670"/>
      <c r="J56" s="2310" t="str">
        <f>IF(项目基本情况!K6="上海银行",IF(J55="",4,J55+1),"")</f>
        <v/>
      </c>
      <c r="K56" s="3260" t="str">
        <f>IF(项目基本情况!K6="上海银行","其他处置费用","")</f>
        <v/>
      </c>
      <c r="L56" s="3261"/>
      <c r="M56" s="2312"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41"/>
      <c r="H57" s="2345"/>
      <c r="I57" s="1670"/>
      <c r="J57" s="3279">
        <f>IF(AND(J55="",J56=""),4,IF(项目基本情况!K6="上海银行",结果表!J56+1,结果表!J55+1))</f>
        <v>5</v>
      </c>
      <c r="K57" s="3279" t="s">
        <v>1367</v>
      </c>
      <c r="L57" s="2317" t="s">
        <v>1368</v>
      </c>
      <c r="M57" s="2318"/>
      <c r="N57" s="2319">
        <f ca="1">SUMIF(M52:M56,"&lt;9e307")</f>
        <v>0</v>
      </c>
      <c r="O57" s="2320"/>
      <c r="P57" s="2465" t="e">
        <f ca="1">N57/M49</f>
        <v>#VALUE!</v>
      </c>
    </row>
    <row r="58" spans="1:35" ht="24.75">
      <c r="A58" s="2153" t="s">
        <v>1352</v>
      </c>
      <c r="B58" s="3303" t="s">
        <v>1369</v>
      </c>
      <c r="C58" s="3302"/>
      <c r="D58" s="12" t="e">
        <f ca="1">IF(H58="转让取得",C81,C97)</f>
        <v>#REF!</v>
      </c>
      <c r="E58" s="1256" t="s">
        <v>1364</v>
      </c>
      <c r="F58" s="294" t="s">
        <v>28</v>
      </c>
      <c r="G58" s="2341"/>
      <c r="H58" s="2344"/>
      <c r="I58" s="1670"/>
      <c r="J58" s="3279"/>
      <c r="K58" s="3279"/>
      <c r="L58" s="2317" t="s">
        <v>1370</v>
      </c>
      <c r="M58" s="2321"/>
      <c r="N58" s="2322" t="str">
        <f ca="1">NUMBERSTRING(INT(N57*10000),2)&amp;"元整"</f>
        <v>零元整</v>
      </c>
      <c r="O58" s="2323"/>
    </row>
    <row r="59" spans="1:35" ht="24.75" thickBot="1">
      <c r="A59" s="3283" t="s">
        <v>1371</v>
      </c>
      <c r="B59" s="3284"/>
      <c r="C59" s="3284"/>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281">
        <f>J57+1</f>
        <v>6</v>
      </c>
      <c r="K59" s="3279" t="s">
        <v>1372</v>
      </c>
      <c r="L59" s="2310" t="s">
        <v>1368</v>
      </c>
      <c r="M59" s="2324"/>
      <c r="N59" s="2325" t="e">
        <f ca="1">M49-N57</f>
        <v>#VALUE!</v>
      </c>
      <c r="O59" s="2326"/>
    </row>
    <row r="60" spans="1:35" ht="12" customHeight="1">
      <c r="A60" s="1671"/>
      <c r="B60" s="646"/>
      <c r="C60" s="646"/>
      <c r="D60" s="646"/>
      <c r="E60" s="1466"/>
      <c r="F60" s="1670"/>
      <c r="G60" s="1670"/>
      <c r="H60" s="151"/>
      <c r="I60" s="121"/>
      <c r="J60" s="3282"/>
      <c r="K60" s="3279"/>
      <c r="L60" s="2317" t="s">
        <v>1370</v>
      </c>
      <c r="M60" s="2321"/>
      <c r="N60" s="2322" t="e">
        <f ca="1">NUMBERSTRING(INT(N59*10000),2)&amp;"元整"</f>
        <v>#VALUE!</v>
      </c>
      <c r="O60" s="2323"/>
    </row>
    <row r="61" spans="1:35" ht="13.5" thickBot="1">
      <c r="A61" s="3338" t="s">
        <v>1373</v>
      </c>
      <c r="B61" s="3338"/>
      <c r="C61" s="3338"/>
      <c r="D61" s="3338"/>
      <c r="E61" s="3338"/>
      <c r="F61" s="1670"/>
      <c r="G61" s="1670"/>
      <c r="H61" s="151"/>
      <c r="I61" s="121"/>
      <c r="J61" s="2310">
        <f>J59+1</f>
        <v>7</v>
      </c>
      <c r="K61" s="3279" t="s">
        <v>1374</v>
      </c>
      <c r="L61" s="3279"/>
      <c r="M61" s="2327"/>
      <c r="N61" s="2328" t="e">
        <f ca="1">ROUND(N59*10000/'数据-汇总表'!E3,0)</f>
        <v>#VALUE!</v>
      </c>
      <c r="O61" s="2329"/>
    </row>
    <row r="62" spans="1:35" ht="12.75">
      <c r="A62" s="3298" t="s">
        <v>1375</v>
      </c>
      <c r="B62" s="3299"/>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62"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62"/>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62"/>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62"/>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62"/>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62"/>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62"/>
      <c r="K69" s="1245" t="s">
        <v>1393</v>
      </c>
      <c r="L69" s="1245"/>
      <c r="M69" s="294" t="e">
        <f ca="1">ROUND(SUM(M63:M68),0)</f>
        <v>#VALUE!</v>
      </c>
      <c r="N69" s="2332" t="e">
        <f ca="1">M69/M49</f>
        <v>#VALUE!</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4" t="s">
        <v>2128</v>
      </c>
      <c r="H90" s="3265"/>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5" t="s">
        <v>1422</v>
      </c>
      <c r="F92" s="3296"/>
      <c r="G92" s="3296"/>
      <c r="H92" s="3297"/>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1">
        <f>C4</f>
        <v>0</v>
      </c>
      <c r="D101" s="2372">
        <f>D4</f>
        <v>0</v>
      </c>
      <c r="E101" s="3258" t="s">
        <v>1431</v>
      </c>
      <c r="F101" s="3259"/>
      <c r="G101" s="1687" t="s">
        <v>1432</v>
      </c>
      <c r="H101" s="2381" t="e">
        <f ca="1">H118</f>
        <v>#REF!</v>
      </c>
      <c r="I101" s="121"/>
    </row>
    <row r="102" spans="1:35" ht="18.75" customHeight="1">
      <c r="A102" s="3290" t="s">
        <v>1433</v>
      </c>
      <c r="B102" s="2370" t="s">
        <v>1432</v>
      </c>
      <c r="C102" s="2371" t="e">
        <f ca="1">IF(D32="楼面单价",ROUND(C19,0),C19)</f>
        <v>#REF!</v>
      </c>
      <c r="D102" s="2372" t="e">
        <f ca="1">IF(D32="楼面单价",ROUND(D19,0),D19)</f>
        <v>#REF!</v>
      </c>
      <c r="E102" s="3258"/>
      <c r="F102" s="3259"/>
      <c r="G102" s="1687" t="s">
        <v>1434</v>
      </c>
      <c r="H102" s="2341" t="e">
        <f ca="1">I118</f>
        <v>#REF!</v>
      </c>
      <c r="I102" s="121"/>
    </row>
    <row r="103" spans="1:35" ht="42.75" customHeight="1">
      <c r="A103" s="3290"/>
      <c r="B103" s="2370" t="s">
        <v>1434</v>
      </c>
      <c r="C103" s="2373" t="e">
        <f ca="1">C20</f>
        <v>#REF!</v>
      </c>
      <c r="D103" s="2374" t="e">
        <f ca="1">D20</f>
        <v>#REF!</v>
      </c>
      <c r="E103" s="3251" t="s">
        <v>1435</v>
      </c>
      <c r="F103" s="3252"/>
      <c r="G103" s="1688" t="s">
        <v>1436</v>
      </c>
      <c r="H103" s="2381">
        <f>IF(D36="正常操作",H104+H105+H106,H105+H106)</f>
        <v>0</v>
      </c>
      <c r="I103" s="121"/>
    </row>
    <row r="104" spans="1:35" ht="18.75" customHeight="1">
      <c r="A104" s="329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1" t="str">
        <f>IF(项目基本情况!E8="已注销","——","3.房地产抵押价值")</f>
        <v>3.房地产抵押价值</v>
      </c>
      <c r="F107" s="3259"/>
      <c r="G107" s="1687" t="s">
        <v>1432</v>
      </c>
      <c r="H107" s="2381" t="e">
        <f ca="1">IF(E107="——","——",H101-H103)</f>
        <v>#REF!</v>
      </c>
      <c r="I107" s="121"/>
    </row>
    <row r="108" spans="1:35" ht="18.75" customHeight="1">
      <c r="A108" s="121"/>
      <c r="B108" s="121"/>
      <c r="C108" s="121"/>
      <c r="D108" s="121"/>
      <c r="E108" s="3291"/>
      <c r="F108" s="3259"/>
      <c r="G108" s="1687" t="s">
        <v>1434</v>
      </c>
      <c r="H108" s="2341">
        <f ca="1">IF(H107=H101,H102,ROUND(H107*10000/'数据-汇总表'!E3,0))</f>
        <v>0</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4" t="str">
        <f>IF(E109="——","——",H101-H105-H106)</f>
        <v>——</v>
      </c>
      <c r="I109" s="121"/>
    </row>
    <row r="110" spans="1:35" ht="18.75" customHeight="1">
      <c r="A110" s="121"/>
      <c r="B110" s="121"/>
      <c r="C110" s="121"/>
      <c r="D110" s="121"/>
      <c r="E110" s="3291"/>
      <c r="F110" s="3259"/>
      <c r="G110" s="1687" t="s">
        <v>1434</v>
      </c>
      <c r="H110" s="2341"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293"/>
      <c r="F112" s="3294"/>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174.9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6" t="s">
        <v>1452</v>
      </c>
      <c r="B119" s="3266"/>
      <c r="C119" s="3266"/>
      <c r="D119" s="3272" t="e">
        <f ca="1">NUMBERSTRING(INT(D118*10000),2)&amp;"元整"</f>
        <v>#REF!</v>
      </c>
      <c r="E119" s="3273"/>
      <c r="F119" s="3272" t="e">
        <f ca="1">NUMBERSTRING(INT(F118*10000),2)&amp;"元整"</f>
        <v>#REF!</v>
      </c>
      <c r="G119" s="3273"/>
      <c r="H119" s="3272" t="e">
        <f ca="1">NUMBERSTRING(INT(H118*10000),2)&amp;"元整"</f>
        <v>#REF!</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t="e">
        <f ca="1">H107</f>
        <v>#REF!</v>
      </c>
      <c r="E122" s="3268"/>
      <c r="F122" s="3268"/>
      <c r="G122" s="3268"/>
      <c r="H122" s="3268"/>
      <c r="I122" s="3269"/>
      <c r="AA122" s="684"/>
    </row>
    <row r="123" spans="1:27" ht="18.75" customHeight="1">
      <c r="A123" s="3266" t="s">
        <v>1452</v>
      </c>
      <c r="B123" s="3266"/>
      <c r="C123" s="3266"/>
      <c r="D123" s="3272" t="e">
        <f ca="1">NUMBERSTRING(INT(D122*10000),2)&amp;"元整"</f>
        <v>#REF!</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457E6-D08D-48D0-9207-0ADECD63E4B6}">
  <dimension ref="A1"/>
  <sheetViews>
    <sheetView workbookViewId="0">
      <selection activeCell="L41" sqref="L41"/>
    </sheetView>
  </sheetViews>
  <sheetFormatPr defaultRowHeight="13.5"/>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174.9</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174.9</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174.9</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5" t="s">
        <v>1544</v>
      </c>
    </row>
    <row r="43" spans="1:7" ht="13.5" customHeight="1">
      <c r="A43" s="734" t="s">
        <v>347</v>
      </c>
      <c r="B43" s="207" t="s">
        <v>1545</v>
      </c>
      <c r="C43" s="230" t="e">
        <f ca="1">ROUND(IF('数据-取费表'!B22&lt;=1,C39*F22*'数据-取费表'!B21/2,C39*(POWER((1+F22),'数据-取费表'!B21/2)-1)),0)</f>
        <v>#VALUE!</v>
      </c>
      <c r="D43" s="230"/>
      <c r="E43" s="230"/>
      <c r="F43" s="231"/>
      <c r="G43" s="3346"/>
    </row>
    <row r="44" spans="1:7" ht="13.5" customHeight="1">
      <c r="A44" s="734" t="s">
        <v>348</v>
      </c>
      <c r="B44" s="207" t="s">
        <v>1546</v>
      </c>
      <c r="C44" s="230" t="e">
        <f ca="1">ROUND(IF('数据-取费表'!B22&lt;=1,C40*F22*'数据-取费表'!B21/2,C40*(POWER((1+F22),'数据-取费表'!B21/2)-1)),4)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174.9</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174.9</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174.9</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5" t="s">
        <v>1591</v>
      </c>
    </row>
    <row r="43" spans="1:7" ht="13.5" customHeight="1">
      <c r="A43" s="734" t="s">
        <v>347</v>
      </c>
      <c r="B43" s="207" t="s">
        <v>1545</v>
      </c>
      <c r="C43" s="230" t="e">
        <f ca="1">ROUND(IF('数据-取费表'!B22&lt;=1,C39*F22*'数据-取费表'!B20/2,C39*(POWER((1+F22),'数据-取费表'!B20/2)-1)),0)</f>
        <v>#VALUE!</v>
      </c>
      <c r="D43" s="230"/>
      <c r="E43" s="230"/>
      <c r="F43" s="231"/>
      <c r="G43" s="3346"/>
    </row>
    <row r="44" spans="1:7" ht="13.5" customHeight="1">
      <c r="A44" s="734" t="s">
        <v>348</v>
      </c>
      <c r="B44" s="207" t="s">
        <v>1546</v>
      </c>
      <c r="C44" s="230" t="e">
        <f ca="1">ROUND(IF('数据-取费表'!B22&lt;=1,C40*F22*'数据-取费表'!B20/2,C40*(POWER((1+F22),'数据-取费表'!B20/2)-1)),4)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174.9</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174.9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174.9</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2108</v>
      </c>
      <c r="E6" s="294" t="s">
        <v>696</v>
      </c>
      <c r="F6" s="295">
        <f ca="1">INDIRECT("'数据-取费表'!u"&amp;$G$1)</f>
        <v>0</v>
      </c>
      <c r="G6" s="1292"/>
      <c r="H6" s="1006" t="s">
        <v>398</v>
      </c>
      <c r="I6" s="3350" t="s">
        <v>694</v>
      </c>
      <c r="J6" s="293">
        <f ca="1">ROUND(M6*M8*M7*(1-M9)/10000,0)</f>
        <v>0</v>
      </c>
      <c r="K6" s="147"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2105</v>
      </c>
      <c r="E6" s="294" t="s">
        <v>696</v>
      </c>
      <c r="F6" s="295">
        <f ca="1">INDIRECT("'数据-取费表'!u"&amp;$G$1)</f>
        <v>0</v>
      </c>
      <c r="G6" s="1292"/>
      <c r="H6" s="1006" t="s">
        <v>398</v>
      </c>
      <c r="I6" s="3350" t="s">
        <v>694</v>
      </c>
      <c r="J6" s="293">
        <f ca="1">ROUND(M6*M8*M7*(1-M9),0)</f>
        <v>0</v>
      </c>
      <c r="K6" s="1284" t="s">
        <v>2106</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3358</v>
      </c>
      <c r="E2" s="3140"/>
      <c r="F2" s="2598"/>
      <c r="G2" s="2599"/>
      <c r="H2" s="2600"/>
      <c r="I2" s="2601"/>
      <c r="J2" s="3353" t="s">
        <v>2316</v>
      </c>
      <c r="K2" s="3354"/>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55" t="s">
        <v>2326</v>
      </c>
      <c r="K3" s="3356"/>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55" t="s">
        <v>2328</v>
      </c>
      <c r="K4" s="3356"/>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357" t="s">
        <v>2332</v>
      </c>
      <c r="B6" s="3358"/>
      <c r="C6" s="3359"/>
      <c r="D6" s="2622"/>
      <c r="E6" s="2623"/>
      <c r="F6" s="2624"/>
      <c r="G6" s="2625"/>
      <c r="H6" s="2600"/>
      <c r="I6" s="2601"/>
      <c r="J6" s="3360">
        <v>1</v>
      </c>
      <c r="K6" s="336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60"/>
      <c r="K7" s="3362"/>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364" t="s">
        <v>2346</v>
      </c>
      <c r="C8" s="3365"/>
      <c r="D8" s="2641" t="s">
        <v>2347</v>
      </c>
      <c r="E8" s="2642" t="s">
        <v>2348</v>
      </c>
      <c r="F8" s="2643" t="s">
        <v>2349</v>
      </c>
      <c r="G8" s="2644"/>
      <c r="H8" s="2600"/>
      <c r="I8" s="2601"/>
      <c r="J8" s="3360"/>
      <c r="K8" s="3362"/>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364" t="s">
        <v>2352</v>
      </c>
      <c r="C9" s="3365"/>
      <c r="D9" s="2641">
        <f>ROUND(D6*E9,0)</f>
        <v>0</v>
      </c>
      <c r="E9" s="2645"/>
      <c r="F9" s="2646" t="s">
        <v>2353</v>
      </c>
      <c r="G9" s="2625"/>
      <c r="H9" s="2600"/>
      <c r="I9" s="2601"/>
      <c r="J9" s="3360"/>
      <c r="K9" s="3362"/>
      <c r="L9" s="2635" t="s">
        <v>2354</v>
      </c>
      <c r="M9" s="2636"/>
      <c r="N9" s="2612"/>
      <c r="O9" s="2637"/>
      <c r="P9" s="2637"/>
      <c r="Q9" s="2638">
        <v>365</v>
      </c>
      <c r="R9" s="2639">
        <f t="shared" si="0"/>
        <v>0</v>
      </c>
      <c r="S9" s="2593"/>
      <c r="T9" s="2593"/>
      <c r="U9" s="2593"/>
      <c r="V9" s="2601"/>
    </row>
    <row r="10" spans="1:22" s="2605" customFormat="1" ht="13.15" customHeight="1">
      <c r="A10" s="2640">
        <v>2</v>
      </c>
      <c r="B10" s="3364" t="s">
        <v>2355</v>
      </c>
      <c r="C10" s="3365"/>
      <c r="D10" s="2641">
        <f>ROUND(D6*E10,0)</f>
        <v>0</v>
      </c>
      <c r="E10" s="2645"/>
      <c r="F10" s="2646" t="s">
        <v>2356</v>
      </c>
      <c r="G10" s="2625"/>
      <c r="H10" s="2600"/>
      <c r="I10" s="2601"/>
      <c r="J10" s="3360"/>
      <c r="K10" s="3362"/>
      <c r="L10" s="2635" t="s">
        <v>2357</v>
      </c>
      <c r="M10" s="2636"/>
      <c r="N10" s="2612"/>
      <c r="O10" s="2637"/>
      <c r="P10" s="2637"/>
      <c r="Q10" s="2638">
        <v>365</v>
      </c>
      <c r="R10" s="2639">
        <f t="shared" si="0"/>
        <v>0</v>
      </c>
      <c r="S10" s="2593"/>
      <c r="T10" s="2593"/>
      <c r="U10" s="2593"/>
      <c r="V10" s="2601"/>
    </row>
    <row r="11" spans="1:22" s="2605" customFormat="1" ht="13.15" customHeight="1">
      <c r="A11" s="2640">
        <v>3</v>
      </c>
      <c r="B11" s="3364" t="s">
        <v>2358</v>
      </c>
      <c r="C11" s="3365"/>
      <c r="D11" s="2641">
        <f>D12+D14+D15+D16</f>
        <v>0</v>
      </c>
      <c r="E11" s="2647" t="e">
        <f>D11/D6</f>
        <v>#DIV/0!</v>
      </c>
      <c r="F11" s="2643"/>
      <c r="G11" s="2644"/>
      <c r="H11" s="2600"/>
      <c r="I11" s="2601"/>
      <c r="J11" s="3360"/>
      <c r="K11" s="3362"/>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366" t="s">
        <v>2361</v>
      </c>
      <c r="C12" s="3367"/>
      <c r="D12" s="2649">
        <f>ROUND(D13*1.2%*(1-30%),0)</f>
        <v>0</v>
      </c>
      <c r="E12" s="2650">
        <v>1.2E-2</v>
      </c>
      <c r="F12" s="2643" t="s">
        <v>2362</v>
      </c>
      <c r="G12" s="2644"/>
      <c r="H12" s="2600"/>
      <c r="I12" s="2601"/>
      <c r="J12" s="3360"/>
      <c r="K12" s="3362"/>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60"/>
      <c r="K13" s="3362"/>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366" t="s">
        <v>2367</v>
      </c>
      <c r="C14" s="3367"/>
      <c r="D14" s="2649">
        <f>ROUND(E14*B5/10000,0)</f>
        <v>0</v>
      </c>
      <c r="E14" s="2638"/>
      <c r="F14" s="2643" t="s">
        <v>2368</v>
      </c>
      <c r="G14" s="2644"/>
      <c r="H14" s="2600"/>
      <c r="I14" s="2601"/>
      <c r="J14" s="3360"/>
      <c r="K14" s="336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366" t="s">
        <v>2371</v>
      </c>
      <c r="C15" s="3367"/>
      <c r="D15" s="2649">
        <f>ROUND(D6*E15,0)</f>
        <v>0</v>
      </c>
      <c r="E15" s="2650">
        <v>5.5E-2</v>
      </c>
      <c r="F15" s="2643" t="s">
        <v>2372</v>
      </c>
      <c r="G15" s="2625"/>
      <c r="H15" s="2600"/>
      <c r="I15" s="2601"/>
      <c r="J15" s="3360">
        <v>2</v>
      </c>
      <c r="K15" s="336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366" t="s">
        <v>2380</v>
      </c>
      <c r="C16" s="3367"/>
      <c r="D16" s="2660">
        <f>D6*E16</f>
        <v>0</v>
      </c>
      <c r="E16" s="2661"/>
      <c r="F16" s="2646" t="s">
        <v>2381</v>
      </c>
      <c r="G16" s="2625"/>
      <c r="H16" s="2600"/>
      <c r="I16" s="2601"/>
      <c r="J16" s="3360"/>
      <c r="K16" s="3362"/>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368" t="s">
        <v>2383</v>
      </c>
      <c r="C17" s="3369"/>
      <c r="D17" s="2663">
        <f>ROUND(D6*E17,0)</f>
        <v>0</v>
      </c>
      <c r="E17" s="2664"/>
      <c r="F17" s="2665" t="s">
        <v>2384</v>
      </c>
      <c r="G17" s="2625"/>
      <c r="H17" s="2600"/>
      <c r="I17" s="2601"/>
      <c r="J17" s="3360"/>
      <c r="K17" s="3362"/>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60"/>
      <c r="K18" s="3362"/>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60"/>
      <c r="K19" s="336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60"/>
      <c r="K21" s="3362"/>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60"/>
      <c r="K22" s="3362"/>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60"/>
      <c r="K23" s="3362"/>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60"/>
      <c r="K24" s="336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70">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37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53" t="s">
        <v>2316</v>
      </c>
      <c r="K32" s="3354"/>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55" t="s">
        <v>2326</v>
      </c>
      <c r="K33" s="3356"/>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55" t="s">
        <v>2328</v>
      </c>
      <c r="K34" s="335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60">
        <v>1</v>
      </c>
      <c r="K36" s="3361"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60"/>
      <c r="K40" s="3363"/>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0">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37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174.9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379" t="s">
        <v>1668</v>
      </c>
      <c r="S4" s="3380"/>
      <c r="T4" s="3379" t="s">
        <v>1669</v>
      </c>
      <c r="U4" s="3380"/>
      <c r="V4" s="3404" t="s">
        <v>1670</v>
      </c>
      <c r="W4" s="3404"/>
      <c r="X4" s="1265"/>
      <c r="Y4" s="3379" t="s">
        <v>1672</v>
      </c>
      <c r="Z4" s="3380"/>
      <c r="AA4" s="3374" t="s">
        <v>1668</v>
      </c>
      <c r="AB4" s="3374" t="s">
        <v>1669</v>
      </c>
      <c r="AC4" s="3374" t="s">
        <v>1670</v>
      </c>
    </row>
    <row r="5" spans="1:29" ht="15">
      <c r="A5" s="348"/>
      <c r="B5" s="349"/>
      <c r="C5" s="3385" t="s">
        <v>1673</v>
      </c>
      <c r="D5" s="3386"/>
      <c r="E5" s="3383" t="s">
        <v>1674</v>
      </c>
      <c r="F5" s="3384"/>
      <c r="G5" s="3385" t="s">
        <v>1675</v>
      </c>
      <c r="H5" s="3386"/>
      <c r="I5" s="3385" t="s">
        <v>1676</v>
      </c>
      <c r="J5" s="3386"/>
      <c r="K5" s="1745"/>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1745"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7" t="s">
        <v>1680</v>
      </c>
      <c r="Q7" s="3405"/>
      <c r="R7" s="664" t="s">
        <v>20</v>
      </c>
      <c r="S7" s="665">
        <f t="shared" ref="S7:S15" si="0">F7</f>
        <v>0</v>
      </c>
      <c r="T7" s="664" t="s">
        <v>20</v>
      </c>
      <c r="U7" s="665">
        <f t="shared" ref="U7:U15" si="1">H7</f>
        <v>0</v>
      </c>
      <c r="V7" s="664" t="s">
        <v>20</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1"/>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1"/>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1"/>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1"/>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7" t="s">
        <v>1691</v>
      </c>
      <c r="Q15" s="1263" t="str">
        <f t="shared" si="6"/>
        <v>居住社区成熟度</v>
      </c>
      <c r="R15" s="667" t="s">
        <v>18</v>
      </c>
      <c r="S15" s="668">
        <f t="shared" si="0"/>
        <v>100</v>
      </c>
      <c r="T15" s="667" t="s">
        <v>18</v>
      </c>
      <c r="U15" s="668">
        <f t="shared" si="1"/>
        <v>100</v>
      </c>
      <c r="V15" s="667" t="s">
        <v>18</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8"/>
      <c r="Q16" s="1263"/>
      <c r="R16" s="667"/>
      <c r="S16" s="668"/>
      <c r="T16" s="667"/>
      <c r="U16" s="668"/>
      <c r="V16" s="667"/>
      <c r="W16" s="668"/>
      <c r="X16" s="1265"/>
      <c r="Y16" s="341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8"/>
      <c r="Q17" s="1263" t="str">
        <f>B17</f>
        <v>交通便捷度</v>
      </c>
      <c r="R17" s="667" t="s">
        <v>18</v>
      </c>
      <c r="S17" s="668">
        <f>F17</f>
        <v>100</v>
      </c>
      <c r="T17" s="667" t="s">
        <v>18</v>
      </c>
      <c r="U17" s="668">
        <f>H17</f>
        <v>100</v>
      </c>
      <c r="V17" s="667" t="s">
        <v>18</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8"/>
      <c r="Q19" s="1263" t="str">
        <f>B19</f>
        <v>公共配套设施</v>
      </c>
      <c r="R19" s="667" t="s">
        <v>18</v>
      </c>
      <c r="S19" s="668">
        <f>F19</f>
        <v>100</v>
      </c>
      <c r="T19" s="667" t="s">
        <v>18</v>
      </c>
      <c r="U19" s="668">
        <f>H19</f>
        <v>100</v>
      </c>
      <c r="V19" s="667" t="s">
        <v>18</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8"/>
      <c r="Q22" s="1263"/>
      <c r="R22" s="667"/>
      <c r="S22" s="668"/>
      <c r="T22" s="667"/>
      <c r="U22" s="668"/>
      <c r="V22" s="667"/>
      <c r="W22" s="668"/>
      <c r="X22" s="1265"/>
      <c r="Y22" s="341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8"/>
      <c r="Q23" s="1263" t="str">
        <f>B23</f>
        <v>自然及人文环境</v>
      </c>
      <c r="R23" s="667" t="s">
        <v>18</v>
      </c>
      <c r="S23" s="668">
        <f>F23</f>
        <v>100</v>
      </c>
      <c r="T23" s="667" t="s">
        <v>18</v>
      </c>
      <c r="U23" s="668">
        <f>H23</f>
        <v>100</v>
      </c>
      <c r="V23" s="667" t="s">
        <v>18</v>
      </c>
      <c r="W23" s="668">
        <f>J23</f>
        <v>100</v>
      </c>
      <c r="X23" s="1265"/>
      <c r="Y23" s="341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8"/>
      <c r="Q26" s="1263" t="str">
        <f t="shared" si="11"/>
        <v>朝向</v>
      </c>
      <c r="R26" s="667" t="s">
        <v>18</v>
      </c>
      <c r="S26" s="668">
        <f t="shared" si="12"/>
        <v>100</v>
      </c>
      <c r="T26" s="667" t="s">
        <v>18</v>
      </c>
      <c r="U26" s="668">
        <f t="shared" si="13"/>
        <v>100</v>
      </c>
      <c r="V26" s="667" t="s">
        <v>18</v>
      </c>
      <c r="W26" s="668">
        <f t="shared" si="14"/>
        <v>100</v>
      </c>
      <c r="X26" s="1265"/>
      <c r="Y26" s="341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8"/>
      <c r="Q27" s="530">
        <f t="shared" si="11"/>
        <v>111</v>
      </c>
      <c r="R27" s="664" t="s">
        <v>18</v>
      </c>
      <c r="S27" s="665">
        <f t="shared" si="12"/>
        <v>100</v>
      </c>
      <c r="T27" s="664" t="s">
        <v>18</v>
      </c>
      <c r="U27" s="665">
        <f t="shared" si="13"/>
        <v>100</v>
      </c>
      <c r="V27" s="664" t="s">
        <v>18</v>
      </c>
      <c r="W27" s="665">
        <f t="shared" si="14"/>
        <v>100</v>
      </c>
      <c r="X27" s="666"/>
      <c r="Y27" s="341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8"/>
      <c r="Q28" s="1263">
        <f t="shared" si="11"/>
        <v>111</v>
      </c>
      <c r="R28" s="667" t="s">
        <v>18</v>
      </c>
      <c r="S28" s="668">
        <f t="shared" si="12"/>
        <v>100</v>
      </c>
      <c r="T28" s="667" t="s">
        <v>18</v>
      </c>
      <c r="U28" s="668">
        <f t="shared" si="13"/>
        <v>100</v>
      </c>
      <c r="V28" s="667" t="s">
        <v>18</v>
      </c>
      <c r="W28" s="668">
        <f t="shared" si="14"/>
        <v>100</v>
      </c>
      <c r="X28" s="1265"/>
      <c r="Y28" s="341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8"/>
      <c r="Q29" s="1263">
        <f t="shared" si="11"/>
        <v>111</v>
      </c>
      <c r="R29" s="667" t="s">
        <v>18</v>
      </c>
      <c r="S29" s="668">
        <f t="shared" si="12"/>
        <v>100</v>
      </c>
      <c r="T29" s="667" t="s">
        <v>18</v>
      </c>
      <c r="U29" s="668">
        <f t="shared" si="13"/>
        <v>100</v>
      </c>
      <c r="V29" s="667" t="s">
        <v>18</v>
      </c>
      <c r="W29" s="668">
        <f t="shared" si="14"/>
        <v>100</v>
      </c>
      <c r="X29" s="1265"/>
      <c r="Y29" s="341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8"/>
      <c r="Q30" s="1263">
        <f t="shared" si="11"/>
        <v>111</v>
      </c>
      <c r="R30" s="667" t="s">
        <v>18</v>
      </c>
      <c r="S30" s="668">
        <f t="shared" si="12"/>
        <v>100</v>
      </c>
      <c r="T30" s="667" t="s">
        <v>18</v>
      </c>
      <c r="U30" s="668">
        <f t="shared" si="13"/>
        <v>100</v>
      </c>
      <c r="V30" s="667" t="s">
        <v>18</v>
      </c>
      <c r="W30" s="668">
        <f t="shared" si="14"/>
        <v>100</v>
      </c>
      <c r="X30" s="1265"/>
      <c r="Y30" s="341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8"/>
      <c r="Q31" s="1263">
        <f t="shared" si="11"/>
        <v>111</v>
      </c>
      <c r="R31" s="667" t="s">
        <v>18</v>
      </c>
      <c r="S31" s="668">
        <f t="shared" si="12"/>
        <v>100</v>
      </c>
      <c r="T31" s="667" t="s">
        <v>18</v>
      </c>
      <c r="U31" s="668">
        <f t="shared" si="13"/>
        <v>100</v>
      </c>
      <c r="V31" s="667" t="s">
        <v>18</v>
      </c>
      <c r="W31" s="668">
        <f t="shared" si="14"/>
        <v>100</v>
      </c>
      <c r="X31" s="1265"/>
      <c r="Y31" s="341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2" t="s">
        <v>1696</v>
      </c>
      <c r="Q32" s="1263" t="str">
        <f t="shared" si="11"/>
        <v>建筑类型</v>
      </c>
      <c r="R32" s="667" t="s">
        <v>18</v>
      </c>
      <c r="S32" s="668">
        <f t="shared" si="12"/>
        <v>100</v>
      </c>
      <c r="T32" s="667" t="s">
        <v>18</v>
      </c>
      <c r="U32" s="668">
        <f t="shared" si="13"/>
        <v>100</v>
      </c>
      <c r="V32" s="667" t="s">
        <v>18</v>
      </c>
      <c r="W32" s="668">
        <f t="shared" si="14"/>
        <v>100</v>
      </c>
      <c r="X32" s="1265"/>
      <c r="Y32" s="341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3"/>
      <c r="Q33" s="531" t="str">
        <f t="shared" si="11"/>
        <v>项目建筑规模</v>
      </c>
      <c r="R33" s="669" t="s">
        <v>18</v>
      </c>
      <c r="S33" s="670" t="e">
        <f t="shared" si="12"/>
        <v>#N/A</v>
      </c>
      <c r="T33" s="669" t="s">
        <v>18</v>
      </c>
      <c r="U33" s="670" t="e">
        <f t="shared" si="13"/>
        <v>#N/A</v>
      </c>
      <c r="V33" s="669" t="s">
        <v>18</v>
      </c>
      <c r="W33" s="670" t="e">
        <f t="shared" si="14"/>
        <v>#N/A</v>
      </c>
      <c r="X33" s="671"/>
      <c r="Y33" s="341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3"/>
      <c r="Q34" s="1263" t="str">
        <f t="shared" si="11"/>
        <v>建筑结构</v>
      </c>
      <c r="R34" s="667" t="s">
        <v>18</v>
      </c>
      <c r="S34" s="668">
        <f t="shared" si="12"/>
        <v>100</v>
      </c>
      <c r="T34" s="667" t="s">
        <v>18</v>
      </c>
      <c r="U34" s="668">
        <f t="shared" si="13"/>
        <v>100</v>
      </c>
      <c r="V34" s="667" t="s">
        <v>18</v>
      </c>
      <c r="W34" s="668">
        <f t="shared" si="14"/>
        <v>100</v>
      </c>
      <c r="X34" s="1265"/>
      <c r="Y34" s="341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3"/>
      <c r="Q35" s="1263" t="str">
        <f t="shared" si="11"/>
        <v>建筑品质</v>
      </c>
      <c r="R35" s="667" t="s">
        <v>18</v>
      </c>
      <c r="S35" s="668">
        <f t="shared" si="12"/>
        <v>100</v>
      </c>
      <c r="T35" s="667" t="s">
        <v>18</v>
      </c>
      <c r="U35" s="668">
        <f t="shared" si="13"/>
        <v>100</v>
      </c>
      <c r="V35" s="667" t="s">
        <v>18</v>
      </c>
      <c r="W35" s="668">
        <f t="shared" si="14"/>
        <v>100</v>
      </c>
      <c r="X35" s="1265"/>
      <c r="Y35" s="341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3"/>
      <c r="Q36" s="1263" t="str">
        <f t="shared" si="11"/>
        <v>公共部分装修</v>
      </c>
      <c r="R36" s="667" t="s">
        <v>18</v>
      </c>
      <c r="S36" s="668">
        <f t="shared" si="12"/>
        <v>100</v>
      </c>
      <c r="T36" s="667" t="s">
        <v>18</v>
      </c>
      <c r="U36" s="668">
        <f t="shared" si="13"/>
        <v>100</v>
      </c>
      <c r="V36" s="667" t="s">
        <v>18</v>
      </c>
      <c r="W36" s="668">
        <f t="shared" si="14"/>
        <v>100</v>
      </c>
      <c r="X36" s="1265"/>
      <c r="Y36" s="341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3"/>
      <c r="Q37" s="530" t="str">
        <f t="shared" si="11"/>
        <v>成新度</v>
      </c>
      <c r="R37" s="664" t="s">
        <v>18</v>
      </c>
      <c r="S37" s="665" t="e">
        <f t="shared" si="12"/>
        <v>#N/A</v>
      </c>
      <c r="T37" s="664" t="s">
        <v>18</v>
      </c>
      <c r="U37" s="665" t="e">
        <f t="shared" si="13"/>
        <v>#N/A</v>
      </c>
      <c r="V37" s="664" t="s">
        <v>18</v>
      </c>
      <c r="W37" s="665" t="e">
        <f t="shared" si="14"/>
        <v>#N/A</v>
      </c>
      <c r="X37" s="666"/>
      <c r="Y37" s="341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3" t="s">
        <v>1696</v>
      </c>
      <c r="Q38" s="1263" t="str">
        <f t="shared" si="11"/>
        <v>物业管理</v>
      </c>
      <c r="R38" s="667" t="s">
        <v>18</v>
      </c>
      <c r="S38" s="668">
        <f t="shared" si="12"/>
        <v>100</v>
      </c>
      <c r="T38" s="667" t="s">
        <v>18</v>
      </c>
      <c r="U38" s="668">
        <f t="shared" si="13"/>
        <v>100</v>
      </c>
      <c r="V38" s="667" t="s">
        <v>18</v>
      </c>
      <c r="W38" s="668">
        <f t="shared" si="14"/>
        <v>100</v>
      </c>
      <c r="X38" s="1265"/>
      <c r="Y38" s="341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3"/>
      <c r="Q39" s="1263" t="str">
        <f t="shared" si="11"/>
        <v>市政基础设施</v>
      </c>
      <c r="R39" s="667" t="s">
        <v>18</v>
      </c>
      <c r="S39" s="668">
        <f t="shared" si="12"/>
        <v>100</v>
      </c>
      <c r="T39" s="667" t="s">
        <v>18</v>
      </c>
      <c r="U39" s="668">
        <f t="shared" si="13"/>
        <v>100</v>
      </c>
      <c r="V39" s="667" t="s">
        <v>18</v>
      </c>
      <c r="W39" s="668">
        <f t="shared" si="14"/>
        <v>100</v>
      </c>
      <c r="X39" s="1265"/>
      <c r="Y39" s="341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3"/>
      <c r="Q40" s="1263" t="str">
        <f t="shared" si="11"/>
        <v>房型</v>
      </c>
      <c r="R40" s="667" t="s">
        <v>18</v>
      </c>
      <c r="S40" s="668">
        <f t="shared" si="12"/>
        <v>100</v>
      </c>
      <c r="T40" s="667" t="s">
        <v>18</v>
      </c>
      <c r="U40" s="668">
        <f t="shared" si="13"/>
        <v>100</v>
      </c>
      <c r="V40" s="667" t="s">
        <v>18</v>
      </c>
      <c r="W40" s="668">
        <f t="shared" si="14"/>
        <v>100</v>
      </c>
      <c r="X40" s="1265"/>
      <c r="Y40" s="341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3"/>
      <c r="Q41" s="531" t="str">
        <f t="shared" si="11"/>
        <v>单套/主力户型建筑面积</v>
      </c>
      <c r="R41" s="669" t="s">
        <v>18</v>
      </c>
      <c r="S41" s="670">
        <f t="shared" si="12"/>
        <v>100</v>
      </c>
      <c r="T41" s="669" t="s">
        <v>18</v>
      </c>
      <c r="U41" s="670">
        <f t="shared" si="13"/>
        <v>100</v>
      </c>
      <c r="V41" s="669" t="s">
        <v>18</v>
      </c>
      <c r="W41" s="670">
        <f t="shared" si="14"/>
        <v>100</v>
      </c>
      <c r="X41" s="671"/>
      <c r="Y41" s="341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3"/>
      <c r="Q42" s="1263" t="str">
        <f t="shared" si="11"/>
        <v>内部装修</v>
      </c>
      <c r="R42" s="667" t="s">
        <v>18</v>
      </c>
      <c r="S42" s="668">
        <f t="shared" si="12"/>
        <v>100</v>
      </c>
      <c r="T42" s="667" t="s">
        <v>18</v>
      </c>
      <c r="U42" s="668">
        <f t="shared" si="13"/>
        <v>100</v>
      </c>
      <c r="V42" s="667" t="s">
        <v>18</v>
      </c>
      <c r="W42" s="668">
        <f t="shared" si="14"/>
        <v>100</v>
      </c>
      <c r="X42" s="1265"/>
      <c r="Y42" s="341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3"/>
      <c r="Q43" s="1263" t="str">
        <f t="shared" si="11"/>
        <v>内部装修维护情况</v>
      </c>
      <c r="R43" s="667" t="s">
        <v>18</v>
      </c>
      <c r="S43" s="668">
        <f t="shared" si="12"/>
        <v>100</v>
      </c>
      <c r="T43" s="667" t="s">
        <v>18</v>
      </c>
      <c r="U43" s="668">
        <f t="shared" si="13"/>
        <v>100</v>
      </c>
      <c r="V43" s="667" t="s">
        <v>18</v>
      </c>
      <c r="W43" s="668">
        <f t="shared" si="14"/>
        <v>100</v>
      </c>
      <c r="X43" s="1265"/>
      <c r="Y43" s="341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3"/>
      <c r="Q44" s="530">
        <f t="shared" si="11"/>
        <v>111</v>
      </c>
      <c r="R44" s="664" t="s">
        <v>18</v>
      </c>
      <c r="S44" s="665">
        <f t="shared" si="12"/>
        <v>100</v>
      </c>
      <c r="T44" s="664" t="s">
        <v>18</v>
      </c>
      <c r="U44" s="665">
        <f t="shared" si="13"/>
        <v>100</v>
      </c>
      <c r="V44" s="664" t="s">
        <v>18</v>
      </c>
      <c r="W44" s="665">
        <f t="shared" si="14"/>
        <v>100</v>
      </c>
      <c r="X44" s="666"/>
      <c r="Y44" s="341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3"/>
      <c r="Q45" s="1263">
        <f t="shared" si="11"/>
        <v>111</v>
      </c>
      <c r="R45" s="667" t="s">
        <v>18</v>
      </c>
      <c r="S45" s="668">
        <f t="shared" si="12"/>
        <v>100</v>
      </c>
      <c r="T45" s="667" t="s">
        <v>18</v>
      </c>
      <c r="U45" s="668">
        <f t="shared" si="13"/>
        <v>100</v>
      </c>
      <c r="V45" s="667" t="s">
        <v>18</v>
      </c>
      <c r="W45" s="668">
        <f t="shared" si="14"/>
        <v>100</v>
      </c>
      <c r="X45" s="1265"/>
      <c r="Y45" s="341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4"/>
      <c r="Q46" s="1263">
        <f t="shared" si="11"/>
        <v>111</v>
      </c>
      <c r="R46" s="667" t="s">
        <v>17</v>
      </c>
      <c r="S46" s="668">
        <f t="shared" si="12"/>
        <v>100</v>
      </c>
      <c r="T46" s="667" t="s">
        <v>17</v>
      </c>
      <c r="U46" s="668">
        <f t="shared" si="13"/>
        <v>100</v>
      </c>
      <c r="V46" s="667" t="s">
        <v>17</v>
      </c>
      <c r="W46" s="668">
        <f t="shared" si="14"/>
        <v>100</v>
      </c>
      <c r="X46" s="1265"/>
      <c r="Y46" s="341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174.9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404"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404"/>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404"/>
      <c r="AC6" s="3376"/>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1"/>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7" t="s">
        <v>1691</v>
      </c>
      <c r="Q15" s="1263" t="str">
        <f t="shared" si="6"/>
        <v>商业繁华度</v>
      </c>
      <c r="R15" s="667" t="s">
        <v>14</v>
      </c>
      <c r="S15" s="668">
        <f t="shared" si="0"/>
        <v>100</v>
      </c>
      <c r="T15" s="667" t="s">
        <v>14</v>
      </c>
      <c r="U15" s="668">
        <f t="shared" si="1"/>
        <v>100</v>
      </c>
      <c r="V15" s="667" t="s">
        <v>14</v>
      </c>
      <c r="W15" s="668">
        <f t="shared" si="2"/>
        <v>100</v>
      </c>
      <c r="X15" s="1265"/>
      <c r="Y15" s="341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8"/>
      <c r="Q22" s="1263"/>
      <c r="R22" s="667"/>
      <c r="S22" s="668"/>
      <c r="T22" s="667"/>
      <c r="U22" s="668"/>
      <c r="V22" s="667"/>
      <c r="W22" s="668"/>
      <c r="X22" s="1265"/>
      <c r="Y22" s="341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8"/>
      <c r="Q23" s="1263" t="str">
        <f>B23</f>
        <v>自然及人文环境</v>
      </c>
      <c r="R23" s="667" t="s">
        <v>14</v>
      </c>
      <c r="S23" s="668">
        <f>F23</f>
        <v>100</v>
      </c>
      <c r="T23" s="667" t="s">
        <v>14</v>
      </c>
      <c r="U23" s="668">
        <f>H23</f>
        <v>100</v>
      </c>
      <c r="V23" s="667" t="s">
        <v>14</v>
      </c>
      <c r="W23" s="668">
        <f>J23</f>
        <v>100</v>
      </c>
      <c r="X23" s="1265"/>
      <c r="Y23" s="341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8"/>
      <c r="Q25" s="1263" t="str">
        <f t="shared" ref="Q25:Q46" si="11">B25</f>
        <v>临街状况</v>
      </c>
      <c r="R25" s="667" t="s">
        <v>14</v>
      </c>
      <c r="S25" s="668">
        <f>F25</f>
        <v>100</v>
      </c>
      <c r="T25" s="667" t="s">
        <v>14</v>
      </c>
      <c r="U25" s="668">
        <f>H25</f>
        <v>100</v>
      </c>
      <c r="V25" s="667" t="s">
        <v>14</v>
      </c>
      <c r="W25" s="668">
        <f>J25</f>
        <v>100</v>
      </c>
      <c r="X25" s="1265"/>
      <c r="Y25" s="341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8"/>
      <c r="Q26" s="1263" t="str">
        <f t="shared" si="11"/>
        <v>平面位置/可视性</v>
      </c>
      <c r="R26" s="667" t="s">
        <v>14</v>
      </c>
      <c r="S26" s="668">
        <f>F26</f>
        <v>100</v>
      </c>
      <c r="T26" s="667" t="s">
        <v>14</v>
      </c>
      <c r="U26" s="668">
        <f>H26</f>
        <v>100</v>
      </c>
      <c r="V26" s="667" t="s">
        <v>14</v>
      </c>
      <c r="W26" s="668">
        <f>J26</f>
        <v>100</v>
      </c>
      <c r="X26" s="1265"/>
      <c r="Y26" s="341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8"/>
      <c r="Q27" s="530" t="str">
        <f t="shared" si="11"/>
        <v>人流量</v>
      </c>
      <c r="R27" s="664" t="s">
        <v>14</v>
      </c>
      <c r="S27" s="665">
        <f>F27</f>
        <v>100</v>
      </c>
      <c r="T27" s="664" t="s">
        <v>14</v>
      </c>
      <c r="U27" s="665">
        <f>H27</f>
        <v>100</v>
      </c>
      <c r="V27" s="664" t="s">
        <v>14</v>
      </c>
      <c r="W27" s="665">
        <f>J27</f>
        <v>100</v>
      </c>
      <c r="X27" s="666"/>
      <c r="Y27" s="341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8"/>
      <c r="Q29" s="1263">
        <f t="shared" si="11"/>
        <v>111</v>
      </c>
      <c r="R29" s="667" t="s">
        <v>14</v>
      </c>
      <c r="S29" s="668">
        <f t="shared" si="12"/>
        <v>100</v>
      </c>
      <c r="T29" s="667" t="s">
        <v>14</v>
      </c>
      <c r="U29" s="668">
        <f t="shared" si="13"/>
        <v>100</v>
      </c>
      <c r="V29" s="667" t="s">
        <v>14</v>
      </c>
      <c r="W29" s="668">
        <f t="shared" si="14"/>
        <v>100</v>
      </c>
      <c r="X29" s="1265"/>
      <c r="Y29" s="341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2" t="s">
        <v>1696</v>
      </c>
      <c r="Q32" s="1263" t="str">
        <f t="shared" si="11"/>
        <v>商业类型</v>
      </c>
      <c r="R32" s="667" t="s">
        <v>14</v>
      </c>
      <c r="S32" s="668">
        <f t="shared" si="12"/>
        <v>100</v>
      </c>
      <c r="T32" s="667" t="s">
        <v>14</v>
      </c>
      <c r="U32" s="668">
        <f t="shared" si="13"/>
        <v>100</v>
      </c>
      <c r="V32" s="667" t="s">
        <v>14</v>
      </c>
      <c r="W32" s="668">
        <f t="shared" si="14"/>
        <v>100</v>
      </c>
      <c r="X32" s="1265"/>
      <c r="Y32" s="341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3"/>
      <c r="Q33" s="531" t="str">
        <f t="shared" si="11"/>
        <v>项目建筑规模</v>
      </c>
      <c r="R33" s="669" t="s">
        <v>14</v>
      </c>
      <c r="S33" s="670" t="e">
        <f t="shared" si="12"/>
        <v>#N/A</v>
      </c>
      <c r="T33" s="669" t="s">
        <v>14</v>
      </c>
      <c r="U33" s="670" t="e">
        <f t="shared" si="13"/>
        <v>#N/A</v>
      </c>
      <c r="V33" s="669" t="s">
        <v>14</v>
      </c>
      <c r="W33" s="670" t="e">
        <f t="shared" si="14"/>
        <v>#N/A</v>
      </c>
      <c r="X33" s="671"/>
      <c r="Y33" s="341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3"/>
      <c r="Q34" s="1263" t="str">
        <f t="shared" si="11"/>
        <v>建筑结构</v>
      </c>
      <c r="R34" s="667" t="s">
        <v>14</v>
      </c>
      <c r="S34" s="668">
        <f t="shared" si="12"/>
        <v>100</v>
      </c>
      <c r="T34" s="667" t="s">
        <v>14</v>
      </c>
      <c r="U34" s="668">
        <f t="shared" si="13"/>
        <v>100</v>
      </c>
      <c r="V34" s="667" t="s">
        <v>14</v>
      </c>
      <c r="W34" s="668">
        <f t="shared" si="14"/>
        <v>100</v>
      </c>
      <c r="X34" s="1265"/>
      <c r="Y34" s="341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3"/>
      <c r="Q35" s="1263" t="str">
        <f t="shared" si="11"/>
        <v>公共部分装修</v>
      </c>
      <c r="R35" s="667" t="s">
        <v>14</v>
      </c>
      <c r="S35" s="668">
        <f t="shared" si="12"/>
        <v>100</v>
      </c>
      <c r="T35" s="667" t="s">
        <v>14</v>
      </c>
      <c r="U35" s="668">
        <f t="shared" si="13"/>
        <v>100</v>
      </c>
      <c r="V35" s="667" t="s">
        <v>14</v>
      </c>
      <c r="W35" s="668">
        <f t="shared" si="14"/>
        <v>100</v>
      </c>
      <c r="X35" s="1265"/>
      <c r="Y35" s="341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3"/>
      <c r="Q36" s="1263" t="str">
        <f t="shared" si="11"/>
        <v>成新度</v>
      </c>
      <c r="R36" s="667" t="s">
        <v>14</v>
      </c>
      <c r="S36" s="668" t="e">
        <f t="shared" si="12"/>
        <v>#N/A</v>
      </c>
      <c r="T36" s="667" t="s">
        <v>14</v>
      </c>
      <c r="U36" s="668" t="e">
        <f t="shared" si="13"/>
        <v>#N/A</v>
      </c>
      <c r="V36" s="667" t="s">
        <v>14</v>
      </c>
      <c r="W36" s="668" t="e">
        <f t="shared" si="14"/>
        <v>#N/A</v>
      </c>
      <c r="X36" s="1265"/>
      <c r="Y36" s="341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3"/>
      <c r="Q37" s="530" t="str">
        <f t="shared" si="11"/>
        <v>市政基础设施</v>
      </c>
      <c r="R37" s="664" t="s">
        <v>14</v>
      </c>
      <c r="S37" s="665">
        <f t="shared" si="12"/>
        <v>100</v>
      </c>
      <c r="T37" s="664" t="s">
        <v>14</v>
      </c>
      <c r="U37" s="665">
        <f t="shared" si="13"/>
        <v>100</v>
      </c>
      <c r="V37" s="664" t="s">
        <v>14</v>
      </c>
      <c r="W37" s="665">
        <f t="shared" si="14"/>
        <v>100</v>
      </c>
      <c r="X37" s="666"/>
      <c r="Y37" s="341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3" t="s">
        <v>1696</v>
      </c>
      <c r="Q38" s="1263" t="str">
        <f t="shared" si="11"/>
        <v>业态</v>
      </c>
      <c r="R38" s="667" t="s">
        <v>14</v>
      </c>
      <c r="S38" s="668">
        <f t="shared" si="12"/>
        <v>100</v>
      </c>
      <c r="T38" s="667" t="s">
        <v>14</v>
      </c>
      <c r="U38" s="668">
        <f t="shared" si="13"/>
        <v>100</v>
      </c>
      <c r="V38" s="667" t="s">
        <v>14</v>
      </c>
      <c r="W38" s="668">
        <f t="shared" si="14"/>
        <v>100</v>
      </c>
      <c r="X38" s="1265"/>
      <c r="Y38" s="341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3"/>
      <c r="Q39" s="1263" t="str">
        <f t="shared" si="11"/>
        <v>层高</v>
      </c>
      <c r="R39" s="667" t="s">
        <v>14</v>
      </c>
      <c r="S39" s="668">
        <f t="shared" si="12"/>
        <v>100</v>
      </c>
      <c r="T39" s="667" t="s">
        <v>14</v>
      </c>
      <c r="U39" s="668">
        <f t="shared" si="13"/>
        <v>100</v>
      </c>
      <c r="V39" s="667" t="s">
        <v>14</v>
      </c>
      <c r="W39" s="668">
        <f t="shared" si="14"/>
        <v>100</v>
      </c>
      <c r="X39" s="1265"/>
      <c r="Y39" s="341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3"/>
      <c r="Q40" s="1263" t="str">
        <f t="shared" si="11"/>
        <v>单套建筑面积</v>
      </c>
      <c r="R40" s="667" t="s">
        <v>14</v>
      </c>
      <c r="S40" s="668">
        <f t="shared" si="12"/>
        <v>100</v>
      </c>
      <c r="T40" s="667" t="s">
        <v>14</v>
      </c>
      <c r="U40" s="668">
        <f t="shared" si="13"/>
        <v>100</v>
      </c>
      <c r="V40" s="667" t="s">
        <v>14</v>
      </c>
      <c r="W40" s="668">
        <f t="shared" si="14"/>
        <v>100</v>
      </c>
      <c r="X40" s="1265"/>
      <c r="Y40" s="341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3"/>
      <c r="Q41" s="531" t="str">
        <f t="shared" si="11"/>
        <v>进深比</v>
      </c>
      <c r="R41" s="669" t="s">
        <v>14</v>
      </c>
      <c r="S41" s="670">
        <f t="shared" si="12"/>
        <v>100</v>
      </c>
      <c r="T41" s="669" t="s">
        <v>14</v>
      </c>
      <c r="U41" s="670">
        <f t="shared" si="13"/>
        <v>100</v>
      </c>
      <c r="V41" s="669" t="s">
        <v>14</v>
      </c>
      <c r="W41" s="670">
        <f t="shared" si="14"/>
        <v>100</v>
      </c>
      <c r="X41" s="671"/>
      <c r="Y41" s="341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3"/>
      <c r="Q42" s="1263" t="str">
        <f t="shared" si="11"/>
        <v>内部装修</v>
      </c>
      <c r="R42" s="667" t="s">
        <v>14</v>
      </c>
      <c r="S42" s="668">
        <f t="shared" si="12"/>
        <v>100</v>
      </c>
      <c r="T42" s="667" t="s">
        <v>14</v>
      </c>
      <c r="U42" s="668">
        <f t="shared" si="13"/>
        <v>100</v>
      </c>
      <c r="V42" s="667" t="s">
        <v>14</v>
      </c>
      <c r="W42" s="668">
        <f t="shared" si="14"/>
        <v>100</v>
      </c>
      <c r="X42" s="1265"/>
      <c r="Y42" s="341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3"/>
      <c r="Q43" s="1263" t="str">
        <f t="shared" si="11"/>
        <v>内部装修维护情况</v>
      </c>
      <c r="R43" s="667" t="s">
        <v>14</v>
      </c>
      <c r="S43" s="668">
        <f t="shared" si="12"/>
        <v>100</v>
      </c>
      <c r="T43" s="667" t="s">
        <v>14</v>
      </c>
      <c r="U43" s="668">
        <f t="shared" si="13"/>
        <v>100</v>
      </c>
      <c r="V43" s="667" t="s">
        <v>14</v>
      </c>
      <c r="W43" s="668">
        <f t="shared" si="14"/>
        <v>100</v>
      </c>
      <c r="X43" s="1265"/>
      <c r="Y43" s="341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3"/>
      <c r="Q44" s="530">
        <f t="shared" si="11"/>
        <v>111</v>
      </c>
      <c r="R44" s="664" t="s">
        <v>14</v>
      </c>
      <c r="S44" s="665">
        <f t="shared" si="12"/>
        <v>100</v>
      </c>
      <c r="T44" s="664" t="s">
        <v>14</v>
      </c>
      <c r="U44" s="665">
        <f t="shared" si="13"/>
        <v>100</v>
      </c>
      <c r="V44" s="664" t="s">
        <v>14</v>
      </c>
      <c r="W44" s="665">
        <f t="shared" si="14"/>
        <v>100</v>
      </c>
      <c r="X44" s="666"/>
      <c r="Y44" s="341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3"/>
      <c r="Q45" s="1263">
        <f t="shared" si="11"/>
        <v>111</v>
      </c>
      <c r="R45" s="667" t="s">
        <v>14</v>
      </c>
      <c r="S45" s="668">
        <f t="shared" si="12"/>
        <v>100</v>
      </c>
      <c r="T45" s="667" t="s">
        <v>14</v>
      </c>
      <c r="U45" s="668">
        <f t="shared" si="13"/>
        <v>100</v>
      </c>
      <c r="V45" s="667" t="s">
        <v>14</v>
      </c>
      <c r="W45" s="668">
        <f t="shared" si="14"/>
        <v>100</v>
      </c>
      <c r="X45" s="1265"/>
      <c r="Y45" s="341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174.9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0" t="s">
        <v>1771</v>
      </c>
      <c r="S4" s="3421"/>
      <c r="T4" s="3420" t="s">
        <v>1772</v>
      </c>
      <c r="U4" s="3421"/>
      <c r="V4" s="3429" t="s">
        <v>1773</v>
      </c>
      <c r="W4" s="3429"/>
      <c r="X4" s="1809"/>
      <c r="Y4" s="3420" t="s">
        <v>1775</v>
      </c>
      <c r="Z4" s="3421"/>
      <c r="AA4" s="3419" t="s">
        <v>1771</v>
      </c>
      <c r="AB4" s="3419" t="s">
        <v>1772</v>
      </c>
      <c r="AC4" s="3422" t="s">
        <v>1773</v>
      </c>
    </row>
    <row r="5" spans="1:29" ht="15">
      <c r="A5" s="348"/>
      <c r="B5" s="349"/>
      <c r="C5" s="3385" t="s">
        <v>1673</v>
      </c>
      <c r="D5" s="3386"/>
      <c r="E5" s="3383" t="s">
        <v>1674</v>
      </c>
      <c r="F5" s="3384"/>
      <c r="G5" s="3385" t="s">
        <v>1675</v>
      </c>
      <c r="H5" s="3386"/>
      <c r="I5" s="3385" t="s">
        <v>1676</v>
      </c>
      <c r="J5" s="3386"/>
      <c r="K5" s="537"/>
      <c r="L5" s="2487"/>
      <c r="M5" s="2488"/>
      <c r="N5" s="2488"/>
      <c r="O5" s="2488"/>
      <c r="P5" s="3427"/>
      <c r="Q5" s="3399"/>
      <c r="R5" s="3381"/>
      <c r="S5" s="3382"/>
      <c r="T5" s="3381"/>
      <c r="U5" s="3382"/>
      <c r="V5" s="3404"/>
      <c r="W5" s="3404"/>
      <c r="X5" s="1265"/>
      <c r="Y5" s="3381"/>
      <c r="Z5" s="3382"/>
      <c r="AA5" s="3375"/>
      <c r="AB5" s="3375"/>
      <c r="AC5" s="3423"/>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28"/>
      <c r="Q6" s="3401"/>
      <c r="R6" s="3381"/>
      <c r="S6" s="3382"/>
      <c r="T6" s="3402"/>
      <c r="U6" s="3403"/>
      <c r="V6" s="3404"/>
      <c r="W6" s="3404"/>
      <c r="X6" s="1265"/>
      <c r="Y6" s="3402"/>
      <c r="Z6" s="3403"/>
      <c r="AA6" s="3376"/>
      <c r="AB6" s="3376"/>
      <c r="AC6" s="3424"/>
    </row>
    <row r="7" spans="1:29" s="102" customFormat="1" ht="15.7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0"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0"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7" t="s">
        <v>1691</v>
      </c>
      <c r="Q15" s="1263" t="str">
        <f t="shared" si="6"/>
        <v>办公集聚程度</v>
      </c>
      <c r="R15" s="667" t="s">
        <v>14</v>
      </c>
      <c r="S15" s="668">
        <f t="shared" si="0"/>
        <v>100</v>
      </c>
      <c r="T15" s="667" t="s">
        <v>14</v>
      </c>
      <c r="U15" s="668">
        <f t="shared" si="1"/>
        <v>100</v>
      </c>
      <c r="V15" s="667" t="s">
        <v>14</v>
      </c>
      <c r="W15" s="668">
        <f t="shared" si="2"/>
        <v>100</v>
      </c>
      <c r="X15" s="1265"/>
      <c r="Y15" s="341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8"/>
      <c r="Q22" s="1263"/>
      <c r="R22" s="667"/>
      <c r="S22" s="668"/>
      <c r="T22" s="667"/>
      <c r="U22" s="668"/>
      <c r="V22" s="667"/>
      <c r="W22" s="668"/>
      <c r="X22" s="1265"/>
      <c r="Y22" s="341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8"/>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8"/>
      <c r="Q25" s="1263" t="str">
        <f>B25</f>
        <v>毗邻道路的类型与等级</v>
      </c>
      <c r="R25" s="667" t="s">
        <v>14</v>
      </c>
      <c r="S25" s="668">
        <f>F25</f>
        <v>100</v>
      </c>
      <c r="T25" s="667" t="s">
        <v>14</v>
      </c>
      <c r="U25" s="668">
        <f>H25</f>
        <v>100</v>
      </c>
      <c r="V25" s="667" t="s">
        <v>14</v>
      </c>
      <c r="W25" s="668">
        <f>J25</f>
        <v>100</v>
      </c>
      <c r="X25" s="1265"/>
      <c r="Y25" s="341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8"/>
      <c r="Q26" s="1263"/>
      <c r="R26" s="667"/>
      <c r="S26" s="668"/>
      <c r="T26" s="667"/>
      <c r="U26" s="668"/>
      <c r="V26" s="667"/>
      <c r="W26" s="668"/>
      <c r="X26" s="1265"/>
      <c r="Y26" s="341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8"/>
      <c r="Q27" s="1263" t="str">
        <f t="shared" ref="Q27:Q47" si="11">B27</f>
        <v>楼层</v>
      </c>
      <c r="R27" s="667" t="s">
        <v>14</v>
      </c>
      <c r="S27" s="668">
        <f>F27</f>
        <v>100</v>
      </c>
      <c r="T27" s="667" t="s">
        <v>14</v>
      </c>
      <c r="U27" s="668">
        <f>H27</f>
        <v>100</v>
      </c>
      <c r="V27" s="667" t="s">
        <v>14</v>
      </c>
      <c r="W27" s="668">
        <f>J27</f>
        <v>100</v>
      </c>
      <c r="X27" s="1265"/>
      <c r="Y27" s="341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8"/>
      <c r="Q28" s="530" t="str">
        <f t="shared" si="11"/>
        <v>朝向</v>
      </c>
      <c r="R28" s="664" t="s">
        <v>14</v>
      </c>
      <c r="S28" s="665">
        <f>F28</f>
        <v>100</v>
      </c>
      <c r="T28" s="664" t="s">
        <v>14</v>
      </c>
      <c r="U28" s="665">
        <f>H28</f>
        <v>100</v>
      </c>
      <c r="V28" s="664" t="s">
        <v>14</v>
      </c>
      <c r="W28" s="665">
        <f>J28</f>
        <v>100</v>
      </c>
      <c r="X28" s="666"/>
      <c r="Y28" s="341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8"/>
      <c r="Q29" s="1263">
        <f t="shared" si="11"/>
        <v>111</v>
      </c>
      <c r="R29" s="667" t="s">
        <v>14</v>
      </c>
      <c r="S29" s="668">
        <f t="shared" ref="S29:S47" si="12">F29</f>
        <v>100</v>
      </c>
      <c r="T29" s="667" t="s">
        <v>14</v>
      </c>
      <c r="U29" s="668">
        <f t="shared" ref="U29:U47" si="13">H29</f>
        <v>100</v>
      </c>
      <c r="V29" s="667" t="s">
        <v>14</v>
      </c>
      <c r="W29" s="668">
        <f t="shared" ref="W29:W47" si="14">J29</f>
        <v>100</v>
      </c>
      <c r="X29" s="1265"/>
      <c r="Y29" s="341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8"/>
      <c r="Q32" s="1263">
        <f t="shared" si="11"/>
        <v>111</v>
      </c>
      <c r="R32" s="667" t="s">
        <v>14</v>
      </c>
      <c r="S32" s="668">
        <f t="shared" si="12"/>
        <v>100</v>
      </c>
      <c r="T32" s="667" t="s">
        <v>14</v>
      </c>
      <c r="U32" s="668">
        <f t="shared" si="13"/>
        <v>100</v>
      </c>
      <c r="V32" s="667" t="s">
        <v>14</v>
      </c>
      <c r="W32" s="668">
        <f t="shared" si="14"/>
        <v>100</v>
      </c>
      <c r="X32" s="1265"/>
      <c r="Y32" s="341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2" t="s">
        <v>1696</v>
      </c>
      <c r="Q33" s="1263" t="str">
        <f t="shared" si="11"/>
        <v>建筑类型</v>
      </c>
      <c r="R33" s="667" t="s">
        <v>14</v>
      </c>
      <c r="S33" s="668">
        <f t="shared" si="12"/>
        <v>100</v>
      </c>
      <c r="T33" s="667" t="s">
        <v>14</v>
      </c>
      <c r="U33" s="668">
        <f t="shared" si="13"/>
        <v>100</v>
      </c>
      <c r="V33" s="667" t="s">
        <v>14</v>
      </c>
      <c r="W33" s="668">
        <f t="shared" si="14"/>
        <v>100</v>
      </c>
      <c r="X33" s="1265"/>
      <c r="Y33" s="341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3"/>
      <c r="Q34" s="531" t="str">
        <f t="shared" si="11"/>
        <v>项目建筑规模</v>
      </c>
      <c r="R34" s="669" t="s">
        <v>14</v>
      </c>
      <c r="S34" s="670" t="e">
        <f t="shared" si="12"/>
        <v>#N/A</v>
      </c>
      <c r="T34" s="669" t="s">
        <v>14</v>
      </c>
      <c r="U34" s="670" t="e">
        <f t="shared" si="13"/>
        <v>#N/A</v>
      </c>
      <c r="V34" s="669" t="s">
        <v>14</v>
      </c>
      <c r="W34" s="670" t="e">
        <f t="shared" si="14"/>
        <v>#N/A</v>
      </c>
      <c r="X34" s="671"/>
      <c r="Y34" s="341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3"/>
      <c r="Q35" s="1263" t="str">
        <f t="shared" si="11"/>
        <v>建筑结构</v>
      </c>
      <c r="R35" s="667" t="s">
        <v>14</v>
      </c>
      <c r="S35" s="668">
        <f t="shared" si="12"/>
        <v>100</v>
      </c>
      <c r="T35" s="667" t="s">
        <v>14</v>
      </c>
      <c r="U35" s="668">
        <f t="shared" si="13"/>
        <v>100</v>
      </c>
      <c r="V35" s="667" t="s">
        <v>14</v>
      </c>
      <c r="W35" s="668">
        <f t="shared" si="14"/>
        <v>100</v>
      </c>
      <c r="X35" s="1265"/>
      <c r="Y35" s="341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3"/>
      <c r="Q36" s="1263" t="str">
        <f t="shared" si="11"/>
        <v>公共部分装修</v>
      </c>
      <c r="R36" s="667" t="s">
        <v>14</v>
      </c>
      <c r="S36" s="668">
        <f t="shared" si="12"/>
        <v>100</v>
      </c>
      <c r="T36" s="667" t="s">
        <v>14</v>
      </c>
      <c r="U36" s="668">
        <f t="shared" si="13"/>
        <v>100</v>
      </c>
      <c r="V36" s="667" t="s">
        <v>14</v>
      </c>
      <c r="W36" s="668">
        <f t="shared" si="14"/>
        <v>100</v>
      </c>
      <c r="X36" s="1265"/>
      <c r="Y36" s="341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3"/>
      <c r="Q37" s="1263" t="str">
        <f t="shared" si="11"/>
        <v>成新度</v>
      </c>
      <c r="R37" s="667" t="s">
        <v>14</v>
      </c>
      <c r="S37" s="668" t="e">
        <f t="shared" si="12"/>
        <v>#N/A</v>
      </c>
      <c r="T37" s="667" t="s">
        <v>14</v>
      </c>
      <c r="U37" s="668" t="e">
        <f t="shared" si="13"/>
        <v>#N/A</v>
      </c>
      <c r="V37" s="667" t="s">
        <v>14</v>
      </c>
      <c r="W37" s="668" t="e">
        <f t="shared" si="14"/>
        <v>#N/A</v>
      </c>
      <c r="X37" s="1265"/>
      <c r="Y37" s="341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3"/>
      <c r="Q38" s="530" t="str">
        <f t="shared" si="11"/>
        <v>写字楼等级</v>
      </c>
      <c r="R38" s="664" t="s">
        <v>14</v>
      </c>
      <c r="S38" s="665">
        <f t="shared" si="12"/>
        <v>100</v>
      </c>
      <c r="T38" s="664" t="s">
        <v>14</v>
      </c>
      <c r="U38" s="665">
        <f t="shared" si="13"/>
        <v>100</v>
      </c>
      <c r="V38" s="664" t="s">
        <v>14</v>
      </c>
      <c r="W38" s="665">
        <f t="shared" si="14"/>
        <v>100</v>
      </c>
      <c r="X38" s="666"/>
      <c r="Y38" s="341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3" t="s">
        <v>1696</v>
      </c>
      <c r="Q39" s="1263" t="str">
        <f t="shared" si="11"/>
        <v>物业管理</v>
      </c>
      <c r="R39" s="667" t="s">
        <v>14</v>
      </c>
      <c r="S39" s="668">
        <f t="shared" si="12"/>
        <v>100</v>
      </c>
      <c r="T39" s="667" t="s">
        <v>14</v>
      </c>
      <c r="U39" s="668">
        <f t="shared" si="13"/>
        <v>100</v>
      </c>
      <c r="V39" s="667" t="s">
        <v>14</v>
      </c>
      <c r="W39" s="668">
        <f t="shared" si="14"/>
        <v>100</v>
      </c>
      <c r="X39" s="1265"/>
      <c r="Y39" s="341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3"/>
      <c r="Q40" s="1263" t="str">
        <f t="shared" si="11"/>
        <v>市政基础设施</v>
      </c>
      <c r="R40" s="667" t="s">
        <v>14</v>
      </c>
      <c r="S40" s="668">
        <f t="shared" si="12"/>
        <v>100</v>
      </c>
      <c r="T40" s="667" t="s">
        <v>14</v>
      </c>
      <c r="U40" s="668">
        <f t="shared" si="13"/>
        <v>100</v>
      </c>
      <c r="V40" s="667" t="s">
        <v>14</v>
      </c>
      <c r="W40" s="668">
        <f t="shared" si="14"/>
        <v>100</v>
      </c>
      <c r="X40" s="1265"/>
      <c r="Y40" s="341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3"/>
      <c r="Q41" s="1263" t="str">
        <f t="shared" si="11"/>
        <v>层高</v>
      </c>
      <c r="R41" s="667" t="s">
        <v>14</v>
      </c>
      <c r="S41" s="668">
        <f t="shared" si="12"/>
        <v>100</v>
      </c>
      <c r="T41" s="667" t="s">
        <v>14</v>
      </c>
      <c r="U41" s="668">
        <f t="shared" si="13"/>
        <v>100</v>
      </c>
      <c r="V41" s="667" t="s">
        <v>14</v>
      </c>
      <c r="W41" s="668">
        <f t="shared" si="14"/>
        <v>100</v>
      </c>
      <c r="X41" s="1265"/>
      <c r="Y41" s="341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3"/>
      <c r="Q42" s="531" t="str">
        <f t="shared" si="11"/>
        <v>单套建筑面积</v>
      </c>
      <c r="R42" s="669" t="s">
        <v>14</v>
      </c>
      <c r="S42" s="670">
        <f t="shared" si="12"/>
        <v>100</v>
      </c>
      <c r="T42" s="669" t="s">
        <v>14</v>
      </c>
      <c r="U42" s="670">
        <f t="shared" si="13"/>
        <v>100</v>
      </c>
      <c r="V42" s="669" t="s">
        <v>14</v>
      </c>
      <c r="W42" s="670">
        <f t="shared" si="14"/>
        <v>100</v>
      </c>
      <c r="X42" s="671"/>
      <c r="Y42" s="341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3"/>
      <c r="Q43" s="1263" t="str">
        <f t="shared" si="11"/>
        <v>内部装修</v>
      </c>
      <c r="R43" s="667" t="s">
        <v>14</v>
      </c>
      <c r="S43" s="668">
        <f t="shared" si="12"/>
        <v>100</v>
      </c>
      <c r="T43" s="667" t="s">
        <v>14</v>
      </c>
      <c r="U43" s="668">
        <f t="shared" si="13"/>
        <v>100</v>
      </c>
      <c r="V43" s="667" t="s">
        <v>14</v>
      </c>
      <c r="W43" s="668">
        <f t="shared" si="14"/>
        <v>100</v>
      </c>
      <c r="X43" s="1265"/>
      <c r="Y43" s="341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3"/>
      <c r="Q44" s="1263" t="str">
        <f t="shared" si="11"/>
        <v>内部装修维护情况</v>
      </c>
      <c r="R44" s="667" t="s">
        <v>14</v>
      </c>
      <c r="S44" s="668">
        <f t="shared" si="12"/>
        <v>100</v>
      </c>
      <c r="T44" s="667" t="s">
        <v>14</v>
      </c>
      <c r="U44" s="668">
        <f t="shared" si="13"/>
        <v>100</v>
      </c>
      <c r="V44" s="667" t="s">
        <v>14</v>
      </c>
      <c r="W44" s="668">
        <f t="shared" si="14"/>
        <v>100</v>
      </c>
      <c r="X44" s="1265"/>
      <c r="Y44" s="341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3"/>
      <c r="Q45" s="530">
        <f t="shared" si="11"/>
        <v>111</v>
      </c>
      <c r="R45" s="664" t="s">
        <v>14</v>
      </c>
      <c r="S45" s="665">
        <f t="shared" si="12"/>
        <v>100</v>
      </c>
      <c r="T45" s="664" t="s">
        <v>14</v>
      </c>
      <c r="U45" s="665">
        <f t="shared" si="13"/>
        <v>100</v>
      </c>
      <c r="V45" s="664" t="s">
        <v>14</v>
      </c>
      <c r="W45" s="665">
        <f t="shared" si="14"/>
        <v>100</v>
      </c>
      <c r="X45" s="666"/>
      <c r="Y45" s="341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4"/>
      <c r="Q47" s="1263">
        <f t="shared" si="11"/>
        <v>111</v>
      </c>
      <c r="R47" s="667" t="s">
        <v>14</v>
      </c>
      <c r="S47" s="668">
        <f t="shared" si="12"/>
        <v>100</v>
      </c>
      <c r="T47" s="667" t="s">
        <v>14</v>
      </c>
      <c r="U47" s="668">
        <f t="shared" si="13"/>
        <v>100</v>
      </c>
      <c r="V47" s="667" t="s">
        <v>14</v>
      </c>
      <c r="W47" s="668">
        <f t="shared" si="14"/>
        <v>100</v>
      </c>
      <c r="X47" s="1265"/>
      <c r="Y47" s="341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1" t="str">
        <f>A48</f>
        <v>成交单价（元/平方米）</v>
      </c>
      <c r="Q48" s="3409"/>
      <c r="R48" s="3404">
        <f>E48</f>
        <v>0</v>
      </c>
      <c r="S48" s="3404"/>
      <c r="T48" s="3404">
        <f>G48</f>
        <v>0</v>
      </c>
      <c r="U48" s="3404"/>
      <c r="V48" s="3404">
        <f>I48</f>
        <v>0</v>
      </c>
      <c r="W48" s="3404"/>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91" t="str">
        <f>A49</f>
        <v>比较价值（元/平方米）</v>
      </c>
      <c r="Q49" s="3409"/>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估价对象为北京市房地产,属开发建设的，该项目尚在开发建设中。根据《国有土地使用证》[]，估价对象（分摊）出让国有建设用地使用权面积为0平方米，规划建筑面积为174.9平方米。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2025年6月20日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174.9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860"/>
      <c r="M5" s="861"/>
      <c r="N5" s="861"/>
      <c r="O5" s="861"/>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860"/>
      <c r="M6" s="861"/>
      <c r="N6" s="861"/>
      <c r="O6" s="861"/>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9"/>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1"/>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1"/>
      <c r="Q18" s="1263"/>
      <c r="R18" s="667"/>
      <c r="S18" s="668"/>
      <c r="T18" s="667"/>
      <c r="U18" s="668"/>
      <c r="V18" s="667"/>
      <c r="W18" s="668"/>
      <c r="X18" s="1265"/>
      <c r="Y18" s="341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1"/>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1"/>
      <c r="Q20" s="1263"/>
      <c r="R20" s="667"/>
      <c r="S20" s="668"/>
      <c r="T20" s="667"/>
      <c r="U20" s="668"/>
      <c r="V20" s="667"/>
      <c r="W20" s="668"/>
      <c r="X20" s="1265"/>
      <c r="Y20" s="341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1"/>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1"/>
      <c r="Q22" s="1263"/>
      <c r="R22" s="667"/>
      <c r="S22" s="668"/>
      <c r="T22" s="667"/>
      <c r="U22" s="668"/>
      <c r="V22" s="667"/>
      <c r="W22" s="668"/>
      <c r="X22" s="1265"/>
      <c r="Y22" s="341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1"/>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1"/>
      <c r="Q24" s="1263"/>
      <c r="R24" s="667"/>
      <c r="S24" s="668"/>
      <c r="T24" s="667"/>
      <c r="U24" s="668"/>
      <c r="V24" s="667"/>
      <c r="W24" s="668"/>
      <c r="X24" s="1265"/>
      <c r="Y24" s="341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1"/>
      <c r="Q25" s="1263">
        <f>B25</f>
        <v>111</v>
      </c>
      <c r="R25" s="667" t="s">
        <v>14</v>
      </c>
      <c r="S25" s="668">
        <f>F25</f>
        <v>100</v>
      </c>
      <c r="T25" s="667" t="s">
        <v>14</v>
      </c>
      <c r="U25" s="668">
        <f>H25</f>
        <v>100</v>
      </c>
      <c r="V25" s="667" t="s">
        <v>14</v>
      </c>
      <c r="W25" s="668">
        <f>J25</f>
        <v>100</v>
      </c>
      <c r="X25" s="1265"/>
      <c r="Y25" s="341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1"/>
      <c r="Q26" s="1263">
        <f t="shared" ref="Q26:Q40" si="11">B26</f>
        <v>111</v>
      </c>
      <c r="R26" s="667" t="s">
        <v>14</v>
      </c>
      <c r="S26" s="668">
        <f>F26</f>
        <v>100</v>
      </c>
      <c r="T26" s="667" t="s">
        <v>14</v>
      </c>
      <c r="U26" s="668">
        <f>H26</f>
        <v>100</v>
      </c>
      <c r="V26" s="667" t="s">
        <v>14</v>
      </c>
      <c r="W26" s="668">
        <f>J26</f>
        <v>100</v>
      </c>
      <c r="X26" s="1265"/>
      <c r="Y26" s="341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1"/>
      <c r="Q27" s="530">
        <f t="shared" si="11"/>
        <v>111</v>
      </c>
      <c r="R27" s="664" t="s">
        <v>14</v>
      </c>
      <c r="S27" s="665">
        <f>F27</f>
        <v>100</v>
      </c>
      <c r="T27" s="664" t="s">
        <v>14</v>
      </c>
      <c r="U27" s="665">
        <f>H27</f>
        <v>100</v>
      </c>
      <c r="V27" s="664" t="s">
        <v>14</v>
      </c>
      <c r="W27" s="665">
        <f>J27</f>
        <v>100</v>
      </c>
      <c r="X27" s="666"/>
      <c r="Y27" s="341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1"/>
      <c r="Q28" s="1263">
        <f t="shared" si="11"/>
        <v>111</v>
      </c>
      <c r="R28" s="667" t="s">
        <v>14</v>
      </c>
      <c r="S28" s="668">
        <f t="shared" ref="S28:S40" si="12">F28</f>
        <v>100</v>
      </c>
      <c r="T28" s="667" t="s">
        <v>14</v>
      </c>
      <c r="U28" s="668">
        <f t="shared" ref="U28:U40" si="13">H28</f>
        <v>100</v>
      </c>
      <c r="V28" s="667" t="s">
        <v>14</v>
      </c>
      <c r="W28" s="668">
        <f t="shared" ref="W28:W40" si="14">J28</f>
        <v>100</v>
      </c>
      <c r="X28" s="1265"/>
      <c r="Y28" s="341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41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5"/>
      <c r="Q30" s="531" t="str">
        <f t="shared" si="11"/>
        <v>项目建筑规模</v>
      </c>
      <c r="R30" s="669" t="s">
        <v>14</v>
      </c>
      <c r="S30" s="670" t="e">
        <f t="shared" si="12"/>
        <v>#N/A</v>
      </c>
      <c r="T30" s="669" t="s">
        <v>14</v>
      </c>
      <c r="U30" s="670" t="e">
        <f t="shared" si="13"/>
        <v>#N/A</v>
      </c>
      <c r="V30" s="669" t="s">
        <v>14</v>
      </c>
      <c r="W30" s="670" t="e">
        <f t="shared" si="14"/>
        <v>#N/A</v>
      </c>
      <c r="X30" s="671"/>
      <c r="Y30" s="341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5"/>
      <c r="Q31" s="1263" t="str">
        <f t="shared" si="11"/>
        <v>建筑结构</v>
      </c>
      <c r="R31" s="667" t="s">
        <v>14</v>
      </c>
      <c r="S31" s="668">
        <f t="shared" si="12"/>
        <v>100</v>
      </c>
      <c r="T31" s="667" t="s">
        <v>14</v>
      </c>
      <c r="U31" s="668">
        <f t="shared" si="13"/>
        <v>100</v>
      </c>
      <c r="V31" s="667" t="s">
        <v>14</v>
      </c>
      <c r="W31" s="668">
        <f t="shared" si="14"/>
        <v>100</v>
      </c>
      <c r="X31" s="1265"/>
      <c r="Y31" s="341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5"/>
      <c r="Q32" s="1263" t="str">
        <f t="shared" si="11"/>
        <v>公共部分装修</v>
      </c>
      <c r="R32" s="667" t="s">
        <v>14</v>
      </c>
      <c r="S32" s="668">
        <f t="shared" si="12"/>
        <v>100</v>
      </c>
      <c r="T32" s="667" t="s">
        <v>14</v>
      </c>
      <c r="U32" s="668">
        <f t="shared" si="13"/>
        <v>100</v>
      </c>
      <c r="V32" s="667" t="s">
        <v>14</v>
      </c>
      <c r="W32" s="668">
        <f t="shared" si="14"/>
        <v>100</v>
      </c>
      <c r="X32" s="1265"/>
      <c r="Y32" s="341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5"/>
      <c r="Q33" s="1263" t="str">
        <f t="shared" si="11"/>
        <v>成新度</v>
      </c>
      <c r="R33" s="667" t="s">
        <v>14</v>
      </c>
      <c r="S33" s="668" t="e">
        <f t="shared" si="12"/>
        <v>#N/A</v>
      </c>
      <c r="T33" s="667" t="s">
        <v>14</v>
      </c>
      <c r="U33" s="668" t="e">
        <f t="shared" si="13"/>
        <v>#N/A</v>
      </c>
      <c r="V33" s="667" t="s">
        <v>14</v>
      </c>
      <c r="W33" s="668" t="e">
        <f t="shared" si="14"/>
        <v>#N/A</v>
      </c>
      <c r="X33" s="1265"/>
      <c r="Y33" s="341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5"/>
      <c r="Q34" s="530" t="str">
        <f t="shared" si="11"/>
        <v>物业管理</v>
      </c>
      <c r="R34" s="664" t="s">
        <v>14</v>
      </c>
      <c r="S34" s="665">
        <f t="shared" si="12"/>
        <v>100</v>
      </c>
      <c r="T34" s="664" t="s">
        <v>14</v>
      </c>
      <c r="U34" s="665">
        <f t="shared" si="13"/>
        <v>100</v>
      </c>
      <c r="V34" s="664" t="s">
        <v>14</v>
      </c>
      <c r="W34" s="665">
        <f t="shared" si="14"/>
        <v>100</v>
      </c>
      <c r="X34" s="666"/>
      <c r="Y34" s="341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5" t="s">
        <v>1696</v>
      </c>
      <c r="Q35" s="1263" t="str">
        <f t="shared" si="11"/>
        <v>市政基础设施</v>
      </c>
      <c r="R35" s="667" t="s">
        <v>14</v>
      </c>
      <c r="S35" s="668">
        <f t="shared" si="12"/>
        <v>100</v>
      </c>
      <c r="T35" s="667" t="s">
        <v>14</v>
      </c>
      <c r="U35" s="668">
        <f t="shared" si="13"/>
        <v>100</v>
      </c>
      <c r="V35" s="667" t="s">
        <v>14</v>
      </c>
      <c r="W35" s="668">
        <f t="shared" si="14"/>
        <v>100</v>
      </c>
      <c r="X35" s="1265"/>
      <c r="Y35" s="341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5"/>
      <c r="Q36" s="1263" t="str">
        <f t="shared" si="11"/>
        <v>内部装修</v>
      </c>
      <c r="R36" s="667" t="s">
        <v>14</v>
      </c>
      <c r="S36" s="668">
        <f t="shared" si="12"/>
        <v>100</v>
      </c>
      <c r="T36" s="667" t="s">
        <v>14</v>
      </c>
      <c r="U36" s="668">
        <f t="shared" si="13"/>
        <v>100</v>
      </c>
      <c r="V36" s="667" t="s">
        <v>14</v>
      </c>
      <c r="W36" s="668">
        <f t="shared" si="14"/>
        <v>100</v>
      </c>
      <c r="X36" s="1265"/>
      <c r="Y36" s="341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5"/>
      <c r="Q37" s="1263" t="str">
        <f t="shared" si="11"/>
        <v>内部装修状况</v>
      </c>
      <c r="R37" s="667" t="s">
        <v>14</v>
      </c>
      <c r="S37" s="668">
        <f t="shared" si="12"/>
        <v>100</v>
      </c>
      <c r="T37" s="667" t="s">
        <v>14</v>
      </c>
      <c r="U37" s="668">
        <f t="shared" si="13"/>
        <v>100</v>
      </c>
      <c r="V37" s="667" t="s">
        <v>14</v>
      </c>
      <c r="W37" s="668">
        <f t="shared" si="14"/>
        <v>100</v>
      </c>
      <c r="X37" s="1265"/>
      <c r="Y37" s="341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5"/>
      <c r="Q38" s="531">
        <f t="shared" si="11"/>
        <v>111</v>
      </c>
      <c r="R38" s="669" t="s">
        <v>14</v>
      </c>
      <c r="S38" s="670">
        <f t="shared" si="12"/>
        <v>100</v>
      </c>
      <c r="T38" s="669" t="s">
        <v>14</v>
      </c>
      <c r="U38" s="670">
        <f t="shared" si="13"/>
        <v>100</v>
      </c>
      <c r="V38" s="669" t="s">
        <v>14</v>
      </c>
      <c r="W38" s="670">
        <f t="shared" si="14"/>
        <v>100</v>
      </c>
      <c r="X38" s="671"/>
      <c r="Y38" s="341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5"/>
      <c r="Q39" s="1263">
        <f t="shared" si="11"/>
        <v>111</v>
      </c>
      <c r="R39" s="667" t="s">
        <v>14</v>
      </c>
      <c r="S39" s="668">
        <f t="shared" si="12"/>
        <v>100</v>
      </c>
      <c r="T39" s="667" t="s">
        <v>14</v>
      </c>
      <c r="U39" s="668">
        <f t="shared" si="13"/>
        <v>100</v>
      </c>
      <c r="V39" s="667" t="s">
        <v>14</v>
      </c>
      <c r="W39" s="668">
        <f t="shared" si="14"/>
        <v>100</v>
      </c>
      <c r="X39" s="1265"/>
      <c r="Y39" s="341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6"/>
      <c r="Q40" s="1263">
        <f t="shared" si="11"/>
        <v>111</v>
      </c>
      <c r="R40" s="667" t="s">
        <v>14</v>
      </c>
      <c r="S40" s="668">
        <f t="shared" si="12"/>
        <v>100</v>
      </c>
      <c r="T40" s="667" t="s">
        <v>14</v>
      </c>
      <c r="U40" s="668">
        <f t="shared" si="13"/>
        <v>100</v>
      </c>
      <c r="V40" s="667" t="s">
        <v>14</v>
      </c>
      <c r="W40" s="668">
        <f t="shared" si="14"/>
        <v>100</v>
      </c>
      <c r="X40" s="1265"/>
      <c r="Y40" s="341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9" t="str">
        <f>A41</f>
        <v>成交单价（元/平方米）</v>
      </c>
      <c r="Q41" s="3409"/>
      <c r="R41" s="3404">
        <f>E41</f>
        <v>0</v>
      </c>
      <c r="S41" s="3404"/>
      <c r="T41" s="3404">
        <f>G41</f>
        <v>0</v>
      </c>
      <c r="U41" s="3404"/>
      <c r="V41" s="3404">
        <f>I41</f>
        <v>0</v>
      </c>
      <c r="W41" s="3404"/>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9" t="str">
        <f>A42</f>
        <v>比较价值（元/平方米）</v>
      </c>
      <c r="Q42" s="3409"/>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1"/>
      <c r="Q15" s="1263"/>
      <c r="R15" s="667"/>
      <c r="S15" s="668"/>
      <c r="T15" s="667"/>
      <c r="U15" s="668"/>
      <c r="V15" s="667"/>
      <c r="W15" s="668"/>
      <c r="X15" s="1265"/>
      <c r="Y15" s="341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1"/>
      <c r="Q17" s="1263"/>
      <c r="R17" s="667"/>
      <c r="S17" s="668"/>
      <c r="T17" s="667"/>
      <c r="U17" s="668"/>
      <c r="V17" s="667"/>
      <c r="W17" s="668"/>
      <c r="X17" s="1265"/>
      <c r="Y17" s="341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1"/>
      <c r="Q19" s="1263"/>
      <c r="R19" s="667"/>
      <c r="S19" s="668"/>
      <c r="T19" s="667"/>
      <c r="U19" s="668"/>
      <c r="V19" s="667"/>
      <c r="W19" s="668"/>
      <c r="X19" s="1265"/>
      <c r="Y19" s="341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1"/>
      <c r="Q21" s="1263"/>
      <c r="R21" s="667"/>
      <c r="S21" s="668"/>
      <c r="T21" s="667"/>
      <c r="U21" s="668"/>
      <c r="V21" s="667"/>
      <c r="W21" s="668"/>
      <c r="X21" s="1265"/>
      <c r="Y21" s="341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1"/>
      <c r="Q24" s="1263">
        <f t="shared" ref="Q24:Q36"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5"/>
      <c r="Q27" s="531" t="str">
        <f t="shared" si="11"/>
        <v>项目停车位配比</v>
      </c>
      <c r="R27" s="669" t="s">
        <v>14</v>
      </c>
      <c r="S27" s="670">
        <f t="shared" si="12"/>
        <v>100</v>
      </c>
      <c r="T27" s="669" t="s">
        <v>14</v>
      </c>
      <c r="U27" s="670">
        <f t="shared" si="13"/>
        <v>100</v>
      </c>
      <c r="V27" s="669" t="s">
        <v>14</v>
      </c>
      <c r="W27" s="670">
        <f t="shared" si="14"/>
        <v>100</v>
      </c>
      <c r="X27" s="671"/>
      <c r="Y27" s="341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5"/>
      <c r="Q28" s="1263" t="str">
        <f t="shared" si="11"/>
        <v>公共部分装修</v>
      </c>
      <c r="R28" s="667" t="s">
        <v>14</v>
      </c>
      <c r="S28" s="668">
        <f t="shared" si="12"/>
        <v>100</v>
      </c>
      <c r="T28" s="667" t="s">
        <v>14</v>
      </c>
      <c r="U28" s="668">
        <f t="shared" si="13"/>
        <v>100</v>
      </c>
      <c r="V28" s="667" t="s">
        <v>14</v>
      </c>
      <c r="W28" s="668">
        <f t="shared" si="14"/>
        <v>100</v>
      </c>
      <c r="X28" s="1265"/>
      <c r="Y28" s="341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5"/>
      <c r="Q29" s="1263" t="str">
        <f t="shared" si="11"/>
        <v>成新率</v>
      </c>
      <c r="R29" s="667" t="s">
        <v>14</v>
      </c>
      <c r="S29" s="668" t="e">
        <f t="shared" si="12"/>
        <v>#N/A</v>
      </c>
      <c r="T29" s="667" t="s">
        <v>14</v>
      </c>
      <c r="U29" s="668" t="e">
        <f t="shared" si="13"/>
        <v>#N/A</v>
      </c>
      <c r="V29" s="667" t="s">
        <v>14</v>
      </c>
      <c r="W29" s="668" t="e">
        <f t="shared" si="14"/>
        <v>#N/A</v>
      </c>
      <c r="X29" s="1265"/>
      <c r="Y29" s="341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5"/>
      <c r="Q30" s="1263" t="str">
        <f t="shared" si="11"/>
        <v>物业等级</v>
      </c>
      <c r="R30" s="667" t="s">
        <v>14</v>
      </c>
      <c r="S30" s="668">
        <f t="shared" si="12"/>
        <v>100</v>
      </c>
      <c r="T30" s="667" t="s">
        <v>14</v>
      </c>
      <c r="U30" s="668">
        <f t="shared" si="13"/>
        <v>100</v>
      </c>
      <c r="V30" s="667" t="s">
        <v>14</v>
      </c>
      <c r="W30" s="668">
        <f t="shared" si="14"/>
        <v>100</v>
      </c>
      <c r="X30" s="1265"/>
      <c r="Y30" s="341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5"/>
      <c r="Q31" s="530" t="str">
        <f t="shared" si="11"/>
        <v>停车位面积</v>
      </c>
      <c r="R31" s="664" t="s">
        <v>14</v>
      </c>
      <c r="S31" s="665" t="e">
        <f t="shared" si="12"/>
        <v>#N/A</v>
      </c>
      <c r="T31" s="664" t="s">
        <v>14</v>
      </c>
      <c r="U31" s="665" t="e">
        <f t="shared" si="13"/>
        <v>#N/A</v>
      </c>
      <c r="V31" s="664" t="s">
        <v>14</v>
      </c>
      <c r="W31" s="665" t="e">
        <f t="shared" si="14"/>
        <v>#N/A</v>
      </c>
      <c r="X31" s="666"/>
      <c r="Y31" s="341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5" t="s">
        <v>1696</v>
      </c>
      <c r="Q32" s="1263" t="str">
        <f t="shared" si="11"/>
        <v>车位类型</v>
      </c>
      <c r="R32" s="667" t="s">
        <v>14</v>
      </c>
      <c r="S32" s="668">
        <f t="shared" si="12"/>
        <v>100</v>
      </c>
      <c r="T32" s="667" t="s">
        <v>14</v>
      </c>
      <c r="U32" s="668">
        <f t="shared" si="13"/>
        <v>100</v>
      </c>
      <c r="V32" s="667" t="s">
        <v>14</v>
      </c>
      <c r="W32" s="668">
        <f t="shared" si="14"/>
        <v>100</v>
      </c>
      <c r="X32" s="1265"/>
      <c r="Y32" s="341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5"/>
      <c r="Q33" s="1263" t="str">
        <f t="shared" si="11"/>
        <v>是否直接入户</v>
      </c>
      <c r="R33" s="667" t="s">
        <v>14</v>
      </c>
      <c r="S33" s="668">
        <f t="shared" si="12"/>
        <v>100</v>
      </c>
      <c r="T33" s="667" t="s">
        <v>14</v>
      </c>
      <c r="U33" s="668">
        <f t="shared" si="13"/>
        <v>100</v>
      </c>
      <c r="V33" s="667" t="s">
        <v>14</v>
      </c>
      <c r="W33" s="668">
        <f t="shared" si="14"/>
        <v>100</v>
      </c>
      <c r="X33" s="1265"/>
      <c r="Y33" s="341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5"/>
      <c r="Q35" s="531">
        <f t="shared" si="11"/>
        <v>111</v>
      </c>
      <c r="R35" s="669" t="s">
        <v>14</v>
      </c>
      <c r="S35" s="670">
        <f t="shared" si="12"/>
        <v>100</v>
      </c>
      <c r="T35" s="669" t="s">
        <v>14</v>
      </c>
      <c r="U35" s="670">
        <f t="shared" si="13"/>
        <v>100</v>
      </c>
      <c r="V35" s="669" t="s">
        <v>14</v>
      </c>
      <c r="W35" s="670">
        <f t="shared" si="14"/>
        <v>100</v>
      </c>
      <c r="X35" s="671"/>
      <c r="Y35" s="341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5"/>
      <c r="Q36" s="1263">
        <f t="shared" si="11"/>
        <v>111</v>
      </c>
      <c r="R36" s="667" t="s">
        <v>14</v>
      </c>
      <c r="S36" s="668">
        <f t="shared" si="12"/>
        <v>100</v>
      </c>
      <c r="T36" s="667" t="s">
        <v>14</v>
      </c>
      <c r="U36" s="668">
        <f t="shared" si="13"/>
        <v>100</v>
      </c>
      <c r="V36" s="667" t="s">
        <v>14</v>
      </c>
      <c r="W36" s="668">
        <f t="shared" si="14"/>
        <v>100</v>
      </c>
      <c r="X36" s="1265"/>
      <c r="Y36" s="3415"/>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09" t="str">
        <f>A37</f>
        <v>成交单价</v>
      </c>
      <c r="Q37" s="3409"/>
      <c r="R37" s="3404">
        <f>E37</f>
        <v>0</v>
      </c>
      <c r="S37" s="3404"/>
      <c r="T37" s="3404">
        <f>G37</f>
        <v>0</v>
      </c>
      <c r="U37" s="3404"/>
      <c r="V37" s="3404">
        <f>I37</f>
        <v>0</v>
      </c>
      <c r="W37" s="3404"/>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409" t="str">
        <f>A38</f>
        <v>比较价值（元/平方米）</v>
      </c>
      <c r="Q38" s="3409"/>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6" t="str">
        <f>A39</f>
        <v>估价对象XX用房的比较价值（楼面单价，元/平方米）</v>
      </c>
      <c r="Q39" s="3407"/>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1"/>
      <c r="Q15" s="1263"/>
      <c r="R15" s="667"/>
      <c r="S15" s="668"/>
      <c r="T15" s="667"/>
      <c r="U15" s="668"/>
      <c r="V15" s="667"/>
      <c r="W15" s="668"/>
      <c r="X15" s="1265"/>
      <c r="Y15" s="341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1"/>
      <c r="Q17" s="1263"/>
      <c r="R17" s="667"/>
      <c r="S17" s="668"/>
      <c r="T17" s="667"/>
      <c r="U17" s="668"/>
      <c r="V17" s="667"/>
      <c r="W17" s="668"/>
      <c r="X17" s="1265"/>
      <c r="Y17" s="341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1"/>
      <c r="Q19" s="1263"/>
      <c r="R19" s="667"/>
      <c r="S19" s="668"/>
      <c r="T19" s="667"/>
      <c r="U19" s="668"/>
      <c r="V19" s="667"/>
      <c r="W19" s="668"/>
      <c r="X19" s="1265"/>
      <c r="Y19" s="341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1"/>
      <c r="Q21" s="1263"/>
      <c r="R21" s="667"/>
      <c r="S21" s="668"/>
      <c r="T21" s="667"/>
      <c r="U21" s="668"/>
      <c r="V21" s="667"/>
      <c r="W21" s="668"/>
      <c r="X21" s="1265"/>
      <c r="Y21" s="341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1"/>
      <c r="Q24" s="1263">
        <f t="shared" ref="Q24:Q34"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5"/>
      <c r="Q27" s="531" t="str">
        <f t="shared" si="11"/>
        <v>成新率</v>
      </c>
      <c r="R27" s="669" t="s">
        <v>14</v>
      </c>
      <c r="S27" s="670" t="e">
        <f t="shared" si="12"/>
        <v>#N/A</v>
      </c>
      <c r="T27" s="669" t="s">
        <v>14</v>
      </c>
      <c r="U27" s="670" t="e">
        <f t="shared" si="13"/>
        <v>#N/A</v>
      </c>
      <c r="V27" s="669" t="s">
        <v>14</v>
      </c>
      <c r="W27" s="670" t="e">
        <f t="shared" si="14"/>
        <v>#N/A</v>
      </c>
      <c r="X27" s="671"/>
      <c r="Y27" s="341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5"/>
      <c r="Q28" s="1263" t="str">
        <f t="shared" si="11"/>
        <v>物业等级</v>
      </c>
      <c r="R28" s="667" t="s">
        <v>14</v>
      </c>
      <c r="S28" s="668">
        <f t="shared" si="12"/>
        <v>100</v>
      </c>
      <c r="T28" s="667" t="s">
        <v>14</v>
      </c>
      <c r="U28" s="668">
        <f t="shared" si="13"/>
        <v>100</v>
      </c>
      <c r="V28" s="667" t="s">
        <v>14</v>
      </c>
      <c r="W28" s="668">
        <f t="shared" si="14"/>
        <v>100</v>
      </c>
      <c r="X28" s="1265"/>
      <c r="Y28" s="341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5"/>
      <c r="Q29" s="1263" t="str">
        <f t="shared" si="11"/>
        <v>有无电梯</v>
      </c>
      <c r="R29" s="667" t="s">
        <v>14</v>
      </c>
      <c r="S29" s="668">
        <f t="shared" si="12"/>
        <v>100</v>
      </c>
      <c r="T29" s="667" t="s">
        <v>14</v>
      </c>
      <c r="U29" s="668">
        <f t="shared" si="13"/>
        <v>100</v>
      </c>
      <c r="V29" s="667" t="s">
        <v>14</v>
      </c>
      <c r="W29" s="668">
        <f t="shared" si="14"/>
        <v>100</v>
      </c>
      <c r="X29" s="1265"/>
      <c r="Y29" s="341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5"/>
      <c r="Q30" s="1263" t="str">
        <f t="shared" si="11"/>
        <v>建筑面积</v>
      </c>
      <c r="R30" s="667" t="s">
        <v>14</v>
      </c>
      <c r="S30" s="668" t="e">
        <f t="shared" si="12"/>
        <v>#N/A</v>
      </c>
      <c r="T30" s="667" t="s">
        <v>14</v>
      </c>
      <c r="U30" s="668" t="e">
        <f t="shared" si="13"/>
        <v>#N/A</v>
      </c>
      <c r="V30" s="667" t="s">
        <v>14</v>
      </c>
      <c r="W30" s="668" t="e">
        <f t="shared" si="14"/>
        <v>#N/A</v>
      </c>
      <c r="X30" s="1265"/>
      <c r="Y30" s="341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5"/>
      <c r="Q31" s="530" t="str">
        <f t="shared" si="11"/>
        <v>是否封闭</v>
      </c>
      <c r="R31" s="664" t="s">
        <v>14</v>
      </c>
      <c r="S31" s="665">
        <f t="shared" si="12"/>
        <v>100</v>
      </c>
      <c r="T31" s="664" t="s">
        <v>14</v>
      </c>
      <c r="U31" s="665">
        <f t="shared" si="13"/>
        <v>100</v>
      </c>
      <c r="V31" s="664" t="s">
        <v>14</v>
      </c>
      <c r="W31" s="665">
        <f t="shared" si="14"/>
        <v>100</v>
      </c>
      <c r="X31" s="666"/>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5" t="s">
        <v>1696</v>
      </c>
      <c r="Q32" s="1263">
        <f t="shared" si="11"/>
        <v>111</v>
      </c>
      <c r="R32" s="667" t="s">
        <v>14</v>
      </c>
      <c r="S32" s="668">
        <f t="shared" si="12"/>
        <v>100</v>
      </c>
      <c r="T32" s="667" t="s">
        <v>14</v>
      </c>
      <c r="U32" s="668">
        <f t="shared" si="13"/>
        <v>100</v>
      </c>
      <c r="V32" s="667" t="s">
        <v>14</v>
      </c>
      <c r="W32" s="668">
        <f t="shared" si="14"/>
        <v>100</v>
      </c>
      <c r="X32" s="1265"/>
      <c r="Y32" s="341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5"/>
      <c r="Q33" s="1263">
        <f t="shared" si="11"/>
        <v>111</v>
      </c>
      <c r="R33" s="667" t="s">
        <v>14</v>
      </c>
      <c r="S33" s="668">
        <f t="shared" si="12"/>
        <v>100</v>
      </c>
      <c r="T33" s="667" t="s">
        <v>14</v>
      </c>
      <c r="U33" s="668">
        <f t="shared" si="13"/>
        <v>100</v>
      </c>
      <c r="V33" s="667" t="s">
        <v>14</v>
      </c>
      <c r="W33" s="668">
        <f t="shared" si="14"/>
        <v>100</v>
      </c>
      <c r="X33" s="1265"/>
      <c r="Y33" s="341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9" t="str">
        <f>A35</f>
        <v>成交单价（元/平方米）</v>
      </c>
      <c r="Q35" s="3409"/>
      <c r="R35" s="3404">
        <f>E35</f>
        <v>0</v>
      </c>
      <c r="S35" s="3404"/>
      <c r="T35" s="3404">
        <f>G35</f>
        <v>0</v>
      </c>
      <c r="U35" s="3404"/>
      <c r="V35" s="3404">
        <f>I35</f>
        <v>0</v>
      </c>
      <c r="W35" s="3404"/>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409" t="str">
        <f>A36</f>
        <v>比较价值（元/平方米）</v>
      </c>
      <c r="Q36" s="3409"/>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6" t="str">
        <f>A37</f>
        <v>估价对象XX用房的比较价值（楼面单价，元/平方米）</v>
      </c>
      <c r="Q37" s="3407"/>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09"/>
      <c r="Q10" s="530" t="str">
        <f t="shared" si="6"/>
        <v>土地使用年限（年）</v>
      </c>
      <c r="R10" s="664" t="s">
        <v>14</v>
      </c>
      <c r="S10" s="665" t="e">
        <f t="shared" si="0"/>
        <v>#DIV/0!</v>
      </c>
      <c r="T10" s="664" t="s">
        <v>14</v>
      </c>
      <c r="U10" s="665" t="e">
        <f t="shared" si="1"/>
        <v>#DIV/0!</v>
      </c>
      <c r="V10" s="664" t="s">
        <v>14</v>
      </c>
      <c r="W10" s="665" t="e">
        <f t="shared" si="2"/>
        <v>#DIV/0!</v>
      </c>
      <c r="X10" s="666"/>
      <c r="Y10" s="332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9"/>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0" t="s">
        <v>1691</v>
      </c>
      <c r="Q15" s="1263" t="str">
        <f t="shared" si="6"/>
        <v>居住社区成熟度</v>
      </c>
      <c r="R15" s="667" t="s">
        <v>14</v>
      </c>
      <c r="S15" s="668">
        <f t="shared" si="0"/>
        <v>100</v>
      </c>
      <c r="T15" s="667" t="s">
        <v>14</v>
      </c>
      <c r="U15" s="668">
        <f t="shared" si="1"/>
        <v>100</v>
      </c>
      <c r="V15" s="667" t="s">
        <v>14</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1"/>
      <c r="Q17" s="1263" t="str">
        <f>B17</f>
        <v>商业繁华度</v>
      </c>
      <c r="R17" s="667" t="s">
        <v>14</v>
      </c>
      <c r="S17" s="668">
        <f>F17</f>
        <v>100</v>
      </c>
      <c r="T17" s="667" t="s">
        <v>14</v>
      </c>
      <c r="U17" s="668">
        <f>H17</f>
        <v>100</v>
      </c>
      <c r="V17" s="667" t="s">
        <v>14</v>
      </c>
      <c r="W17" s="668">
        <f>J17</f>
        <v>100</v>
      </c>
      <c r="X17" s="1265"/>
      <c r="Y17" s="341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1"/>
      <c r="Q19" s="1263" t="str">
        <f>B19</f>
        <v>办公集聚程度</v>
      </c>
      <c r="R19" s="667" t="s">
        <v>14</v>
      </c>
      <c r="S19" s="668">
        <f>F19</f>
        <v>100</v>
      </c>
      <c r="T19" s="667" t="s">
        <v>14</v>
      </c>
      <c r="U19" s="668">
        <f>H19</f>
        <v>100</v>
      </c>
      <c r="V19" s="667" t="s">
        <v>14</v>
      </c>
      <c r="W19" s="668">
        <f>J19</f>
        <v>100</v>
      </c>
      <c r="X19" s="1265"/>
      <c r="Y19" s="341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1"/>
      <c r="Q20" s="1263"/>
      <c r="R20" s="667"/>
      <c r="S20" s="668"/>
      <c r="T20" s="667"/>
      <c r="U20" s="668"/>
      <c r="V20" s="667"/>
      <c r="W20" s="668"/>
      <c r="X20" s="1265"/>
      <c r="Y20" s="341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1"/>
      <c r="Q21" s="1263" t="str">
        <f>B21</f>
        <v>交通便捷度</v>
      </c>
      <c r="R21" s="667" t="s">
        <v>14</v>
      </c>
      <c r="S21" s="668">
        <f>F21</f>
        <v>100</v>
      </c>
      <c r="T21" s="667" t="s">
        <v>14</v>
      </c>
      <c r="U21" s="668">
        <f>H21</f>
        <v>100</v>
      </c>
      <c r="V21" s="667" t="s">
        <v>14</v>
      </c>
      <c r="W21" s="668">
        <f>J21</f>
        <v>100</v>
      </c>
      <c r="X21" s="1265"/>
      <c r="Y21" s="341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1"/>
      <c r="Q23" s="1263" t="str">
        <f t="shared" ref="Q23:Q37" si="8">B23</f>
        <v>区域土地利用方向</v>
      </c>
      <c r="R23" s="667" t="s">
        <v>14</v>
      </c>
      <c r="S23" s="668">
        <f>F23</f>
        <v>100</v>
      </c>
      <c r="T23" s="667" t="s">
        <v>14</v>
      </c>
      <c r="U23" s="668">
        <f>H23</f>
        <v>100</v>
      </c>
      <c r="V23" s="667" t="s">
        <v>14</v>
      </c>
      <c r="W23" s="668">
        <f>J23</f>
        <v>100</v>
      </c>
      <c r="X23" s="1265"/>
      <c r="Y23" s="341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1"/>
      <c r="Q24" s="1263"/>
      <c r="R24" s="667"/>
      <c r="S24" s="668"/>
      <c r="T24" s="667"/>
      <c r="U24" s="668"/>
      <c r="V24" s="667"/>
      <c r="W24" s="668"/>
      <c r="X24" s="1265"/>
      <c r="Y24" s="341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1"/>
      <c r="Q25" s="1263" t="str">
        <f t="shared" si="8"/>
        <v>自然及人文环境状况</v>
      </c>
      <c r="R25" s="667" t="s">
        <v>14</v>
      </c>
      <c r="S25" s="668">
        <f>F25</f>
        <v>100</v>
      </c>
      <c r="T25" s="667" t="s">
        <v>14</v>
      </c>
      <c r="U25" s="668">
        <f>H25</f>
        <v>100</v>
      </c>
      <c r="V25" s="667" t="s">
        <v>14</v>
      </c>
      <c r="W25" s="668">
        <f>J25</f>
        <v>100</v>
      </c>
      <c r="X25" s="1265"/>
      <c r="Y25" s="341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1"/>
      <c r="Q26" s="1263"/>
      <c r="R26" s="667"/>
      <c r="S26" s="668"/>
      <c r="T26" s="667"/>
      <c r="U26" s="668"/>
      <c r="V26" s="667"/>
      <c r="W26" s="668"/>
      <c r="X26" s="1265"/>
      <c r="Y26" s="341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1"/>
      <c r="Q27" s="530" t="str">
        <f t="shared" si="8"/>
        <v>公共配套设施</v>
      </c>
      <c r="R27" s="664" t="s">
        <v>14</v>
      </c>
      <c r="S27" s="665">
        <f>F27</f>
        <v>100</v>
      </c>
      <c r="T27" s="664" t="s">
        <v>14</v>
      </c>
      <c r="U27" s="665">
        <f>H27</f>
        <v>100</v>
      </c>
      <c r="V27" s="664" t="s">
        <v>14</v>
      </c>
      <c r="W27" s="665">
        <f>J27</f>
        <v>100</v>
      </c>
      <c r="X27" s="666"/>
      <c r="Y27" s="341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1"/>
      <c r="Q28" s="530"/>
      <c r="R28" s="664"/>
      <c r="S28" s="665"/>
      <c r="T28" s="664"/>
      <c r="U28" s="665"/>
      <c r="V28" s="664"/>
      <c r="W28" s="665"/>
      <c r="X28" s="666"/>
      <c r="Y28" s="341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1"/>
      <c r="Q29" s="530" t="str">
        <f t="shared" ref="Q29" si="9">B29</f>
        <v>基础设施水平</v>
      </c>
      <c r="R29" s="664" t="s">
        <v>14</v>
      </c>
      <c r="S29" s="665">
        <f>F29</f>
        <v>100</v>
      </c>
      <c r="T29" s="664" t="s">
        <v>14</v>
      </c>
      <c r="U29" s="665">
        <f>H29</f>
        <v>100</v>
      </c>
      <c r="V29" s="664" t="s">
        <v>14</v>
      </c>
      <c r="W29" s="665">
        <f>J29</f>
        <v>100</v>
      </c>
      <c r="X29" s="666"/>
      <c r="Y29" s="341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1"/>
      <c r="Q30" s="530"/>
      <c r="R30" s="664"/>
      <c r="S30" s="665"/>
      <c r="T30" s="664"/>
      <c r="U30" s="665"/>
      <c r="V30" s="664"/>
      <c r="W30" s="665"/>
      <c r="X30" s="666"/>
      <c r="Y30" s="341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1"/>
      <c r="Q32" s="1263" t="str">
        <f t="shared" si="8"/>
        <v>毗邻道路的类型与等级</v>
      </c>
      <c r="R32" s="667" t="s">
        <v>14</v>
      </c>
      <c r="S32" s="668">
        <f t="shared" si="10"/>
        <v>100</v>
      </c>
      <c r="T32" s="667" t="s">
        <v>14</v>
      </c>
      <c r="U32" s="668">
        <f t="shared" si="11"/>
        <v>100</v>
      </c>
      <c r="V32" s="667" t="s">
        <v>14</v>
      </c>
      <c r="W32" s="668">
        <f t="shared" si="12"/>
        <v>100</v>
      </c>
      <c r="X32" s="1265"/>
      <c r="Y32" s="341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1"/>
      <c r="Q33" s="1263"/>
      <c r="R33" s="667"/>
      <c r="S33" s="668"/>
      <c r="T33" s="667"/>
      <c r="U33" s="668"/>
      <c r="V33" s="667"/>
      <c r="W33" s="668"/>
      <c r="X33" s="1265"/>
      <c r="Y33" s="341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1"/>
      <c r="Q34" s="1263" t="str">
        <f t="shared" si="8"/>
        <v>土地级别</v>
      </c>
      <c r="R34" s="667" t="s">
        <v>14</v>
      </c>
      <c r="S34" s="668">
        <f t="shared" si="10"/>
        <v>100</v>
      </c>
      <c r="T34" s="667" t="s">
        <v>14</v>
      </c>
      <c r="U34" s="668">
        <f t="shared" si="11"/>
        <v>100</v>
      </c>
      <c r="V34" s="667" t="s">
        <v>14</v>
      </c>
      <c r="W34" s="668">
        <f t="shared" si="12"/>
        <v>100</v>
      </c>
      <c r="X34" s="1265"/>
      <c r="Y34" s="341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1"/>
      <c r="Q35" s="1263">
        <f t="shared" si="8"/>
        <v>111</v>
      </c>
      <c r="R35" s="667" t="s">
        <v>14</v>
      </c>
      <c r="S35" s="668">
        <f t="shared" si="10"/>
        <v>100</v>
      </c>
      <c r="T35" s="667" t="s">
        <v>14</v>
      </c>
      <c r="U35" s="668">
        <f t="shared" si="11"/>
        <v>100</v>
      </c>
      <c r="V35" s="667" t="s">
        <v>14</v>
      </c>
      <c r="W35" s="668">
        <f t="shared" si="12"/>
        <v>100</v>
      </c>
      <c r="X35" s="1265"/>
      <c r="Y35" s="341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41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5"/>
      <c r="Q37" s="1263">
        <f t="shared" si="8"/>
        <v>111</v>
      </c>
      <c r="R37" s="669" t="s">
        <v>14</v>
      </c>
      <c r="S37" s="670">
        <f t="shared" si="10"/>
        <v>100</v>
      </c>
      <c r="T37" s="669" t="s">
        <v>14</v>
      </c>
      <c r="U37" s="670">
        <f t="shared" si="11"/>
        <v>100</v>
      </c>
      <c r="V37" s="669" t="s">
        <v>14</v>
      </c>
      <c r="W37" s="670">
        <f t="shared" si="12"/>
        <v>100</v>
      </c>
      <c r="X37" s="671"/>
      <c r="Y37" s="341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5"/>
      <c r="Q38" s="1263" t="str">
        <f>B38</f>
        <v>宗地面积</v>
      </c>
      <c r="R38" s="667" t="s">
        <v>14</v>
      </c>
      <c r="S38" s="668" t="e">
        <f t="shared" si="10"/>
        <v>#N/A</v>
      </c>
      <c r="T38" s="667" t="s">
        <v>14</v>
      </c>
      <c r="U38" s="668" t="e">
        <f t="shared" si="11"/>
        <v>#N/A</v>
      </c>
      <c r="V38" s="667" t="s">
        <v>14</v>
      </c>
      <c r="W38" s="668" t="e">
        <f t="shared" si="12"/>
        <v>#N/A</v>
      </c>
      <c r="X38" s="1265"/>
      <c r="Y38" s="341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5"/>
      <c r="Q39" s="1263" t="str">
        <f t="shared" ref="Q39:Q45" si="14">B39</f>
        <v>宗地形状</v>
      </c>
      <c r="R39" s="667" t="s">
        <v>14</v>
      </c>
      <c r="S39" s="668">
        <f t="shared" si="10"/>
        <v>100</v>
      </c>
      <c r="T39" s="667" t="s">
        <v>14</v>
      </c>
      <c r="U39" s="668">
        <f t="shared" si="11"/>
        <v>100</v>
      </c>
      <c r="V39" s="667" t="s">
        <v>14</v>
      </c>
      <c r="W39" s="668">
        <f t="shared" si="12"/>
        <v>100</v>
      </c>
      <c r="X39" s="1265"/>
      <c r="Y39" s="341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5"/>
      <c r="Q40" s="1263" t="str">
        <f t="shared" si="14"/>
        <v>临街宽度及深度</v>
      </c>
      <c r="R40" s="667" t="s">
        <v>14</v>
      </c>
      <c r="S40" s="668">
        <f t="shared" si="10"/>
        <v>100</v>
      </c>
      <c r="T40" s="667" t="s">
        <v>14</v>
      </c>
      <c r="U40" s="668">
        <f t="shared" si="11"/>
        <v>100</v>
      </c>
      <c r="V40" s="667" t="s">
        <v>14</v>
      </c>
      <c r="W40" s="668">
        <f t="shared" si="12"/>
        <v>100</v>
      </c>
      <c r="X40" s="1265"/>
      <c r="Y40" s="341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5"/>
      <c r="Q41" s="1263" t="str">
        <f t="shared" si="14"/>
        <v>宗地开发程度</v>
      </c>
      <c r="R41" s="664" t="s">
        <v>14</v>
      </c>
      <c r="S41" s="665">
        <f t="shared" si="10"/>
        <v>100</v>
      </c>
      <c r="T41" s="664" t="s">
        <v>14</v>
      </c>
      <c r="U41" s="665">
        <f t="shared" si="11"/>
        <v>100</v>
      </c>
      <c r="V41" s="664" t="s">
        <v>14</v>
      </c>
      <c r="W41" s="665">
        <f t="shared" si="12"/>
        <v>100</v>
      </c>
      <c r="X41" s="666"/>
      <c r="Y41" s="341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5" t="s">
        <v>1696</v>
      </c>
      <c r="Q42" s="1263" t="str">
        <f t="shared" si="14"/>
        <v>工程地质条件</v>
      </c>
      <c r="R42" s="667" t="s">
        <v>14</v>
      </c>
      <c r="S42" s="668">
        <f t="shared" si="10"/>
        <v>100</v>
      </c>
      <c r="T42" s="667" t="s">
        <v>14</v>
      </c>
      <c r="U42" s="668">
        <f t="shared" si="11"/>
        <v>100</v>
      </c>
      <c r="V42" s="667" t="s">
        <v>14</v>
      </c>
      <c r="W42" s="668">
        <f t="shared" si="12"/>
        <v>100</v>
      </c>
      <c r="X42" s="1265"/>
      <c r="Y42" s="341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5"/>
      <c r="Q43" s="1263">
        <f t="shared" si="14"/>
        <v>111</v>
      </c>
      <c r="R43" s="667" t="s">
        <v>14</v>
      </c>
      <c r="S43" s="668">
        <f t="shared" si="10"/>
        <v>100</v>
      </c>
      <c r="T43" s="667" t="s">
        <v>14</v>
      </c>
      <c r="U43" s="668">
        <f t="shared" si="11"/>
        <v>100</v>
      </c>
      <c r="V43" s="667" t="s">
        <v>14</v>
      </c>
      <c r="W43" s="668">
        <f t="shared" si="12"/>
        <v>100</v>
      </c>
      <c r="X43" s="1265"/>
      <c r="Y43" s="341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5"/>
      <c r="Q44" s="1263">
        <f t="shared" si="14"/>
        <v>111</v>
      </c>
      <c r="R44" s="667" t="s">
        <v>14</v>
      </c>
      <c r="S44" s="668">
        <f t="shared" si="10"/>
        <v>100</v>
      </c>
      <c r="T44" s="667" t="s">
        <v>14</v>
      </c>
      <c r="U44" s="668">
        <f t="shared" si="11"/>
        <v>100</v>
      </c>
      <c r="V44" s="667" t="s">
        <v>14</v>
      </c>
      <c r="W44" s="668">
        <f t="shared" si="12"/>
        <v>100</v>
      </c>
      <c r="X44" s="1265"/>
      <c r="Y44" s="341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5"/>
      <c r="Q45" s="1263">
        <f t="shared" si="14"/>
        <v>111</v>
      </c>
      <c r="R45" s="669" t="s">
        <v>14</v>
      </c>
      <c r="S45" s="670">
        <f t="shared" si="10"/>
        <v>100</v>
      </c>
      <c r="T45" s="669" t="s">
        <v>14</v>
      </c>
      <c r="U45" s="670">
        <f t="shared" si="11"/>
        <v>100</v>
      </c>
      <c r="V45" s="669" t="s">
        <v>14</v>
      </c>
      <c r="W45" s="670">
        <f t="shared" si="12"/>
        <v>100</v>
      </c>
      <c r="X45" s="671"/>
      <c r="Y45" s="341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9" t="str">
        <f>A46</f>
        <v>成交单价</v>
      </c>
      <c r="Q46" s="3409"/>
      <c r="R46" s="3404">
        <f>E46</f>
        <v>0</v>
      </c>
      <c r="S46" s="3404"/>
      <c r="T46" s="3404">
        <f>G46</f>
        <v>0</v>
      </c>
      <c r="U46" s="3404"/>
      <c r="V46" s="3404">
        <f>I46</f>
        <v>0</v>
      </c>
      <c r="W46" s="3404"/>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409" t="str">
        <f>A47</f>
        <v>比较价值（元/平方米）</v>
      </c>
      <c r="Q47" s="3409"/>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6" t="str">
        <f>A48</f>
        <v>估价对象XX用房的比较价值（楼面单价，元/平方米）</v>
      </c>
      <c r="Q48" s="3407"/>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174.9</v>
      </c>
      <c r="F56" s="833" t="e">
        <f t="shared" ref="F56:F64" si="15">ROUND(B56*E56/10000,0)</f>
        <v>#DIV/0!</v>
      </c>
      <c r="G56" s="3391"/>
      <c r="H56" s="340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174.9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09"/>
      <c r="Q10" s="530" t="str">
        <f t="shared" si="6"/>
        <v>土地使用年限（年）</v>
      </c>
      <c r="R10" s="664" t="s">
        <v>14</v>
      </c>
      <c r="S10" s="665" t="e">
        <f t="shared" si="0"/>
        <v>#DIV/0!</v>
      </c>
      <c r="T10" s="664" t="s">
        <v>14</v>
      </c>
      <c r="U10" s="665" t="e">
        <f t="shared" si="1"/>
        <v>#DIV/0!</v>
      </c>
      <c r="V10" s="664" t="s">
        <v>14</v>
      </c>
      <c r="W10" s="665" t="e">
        <f t="shared" si="2"/>
        <v>#DIV/0!</v>
      </c>
      <c r="X10" s="666"/>
      <c r="Y10" s="332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1"/>
      <c r="Q19" s="1263" t="str">
        <f t="shared" ref="Q19:Q33" si="8">B19</f>
        <v>区域土地利用方向</v>
      </c>
      <c r="R19" s="667" t="s">
        <v>14</v>
      </c>
      <c r="S19" s="668">
        <f>F19</f>
        <v>100</v>
      </c>
      <c r="T19" s="667" t="s">
        <v>14</v>
      </c>
      <c r="U19" s="668">
        <f>H19</f>
        <v>100</v>
      </c>
      <c r="V19" s="667" t="s">
        <v>14</v>
      </c>
      <c r="W19" s="668">
        <f>J19</f>
        <v>100</v>
      </c>
      <c r="X19" s="1265"/>
      <c r="Y19" s="341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1"/>
      <c r="Q20" s="1263"/>
      <c r="R20" s="667"/>
      <c r="S20" s="668"/>
      <c r="T20" s="667"/>
      <c r="U20" s="668"/>
      <c r="V20" s="667"/>
      <c r="W20" s="668"/>
      <c r="X20" s="1265"/>
      <c r="Y20" s="341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1"/>
      <c r="Q21" s="1263" t="str">
        <f t="shared" si="8"/>
        <v>环境状况</v>
      </c>
      <c r="R21" s="667" t="s">
        <v>14</v>
      </c>
      <c r="S21" s="668">
        <f>F21</f>
        <v>100</v>
      </c>
      <c r="T21" s="667" t="s">
        <v>14</v>
      </c>
      <c r="U21" s="668">
        <f>H21</f>
        <v>100</v>
      </c>
      <c r="V21" s="667" t="s">
        <v>14</v>
      </c>
      <c r="W21" s="668">
        <f>J21</f>
        <v>100</v>
      </c>
      <c r="X21" s="1265"/>
      <c r="Y21" s="341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1"/>
      <c r="Q23" s="530" t="str">
        <f t="shared" si="8"/>
        <v>公共配套设施</v>
      </c>
      <c r="R23" s="664" t="s">
        <v>14</v>
      </c>
      <c r="S23" s="665">
        <f>F23</f>
        <v>100</v>
      </c>
      <c r="T23" s="664" t="s">
        <v>14</v>
      </c>
      <c r="U23" s="665">
        <f>H23</f>
        <v>100</v>
      </c>
      <c r="V23" s="664" t="s">
        <v>14</v>
      </c>
      <c r="W23" s="665">
        <f>J23</f>
        <v>100</v>
      </c>
      <c r="X23" s="666"/>
      <c r="Y23" s="341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1"/>
      <c r="Q24" s="530"/>
      <c r="R24" s="664"/>
      <c r="S24" s="665"/>
      <c r="T24" s="664"/>
      <c r="U24" s="665"/>
      <c r="V24" s="664"/>
      <c r="W24" s="665"/>
      <c r="X24" s="666"/>
      <c r="Y24" s="341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1"/>
      <c r="Q25" s="530" t="str">
        <f t="shared" ref="Q25" si="9">B25</f>
        <v>基础设施水平</v>
      </c>
      <c r="R25" s="664" t="s">
        <v>14</v>
      </c>
      <c r="S25" s="665">
        <f>F25</f>
        <v>100</v>
      </c>
      <c r="T25" s="664" t="s">
        <v>14</v>
      </c>
      <c r="U25" s="665">
        <f>H25</f>
        <v>100</v>
      </c>
      <c r="V25" s="664" t="s">
        <v>14</v>
      </c>
      <c r="W25" s="665">
        <f>J25</f>
        <v>100</v>
      </c>
      <c r="X25" s="666"/>
      <c r="Y25" s="341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1"/>
      <c r="Q26" s="530"/>
      <c r="R26" s="664"/>
      <c r="S26" s="665"/>
      <c r="T26" s="664"/>
      <c r="U26" s="665"/>
      <c r="V26" s="664"/>
      <c r="W26" s="665"/>
      <c r="X26" s="666"/>
      <c r="Y26" s="341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1"/>
      <c r="Q28" s="1263" t="str">
        <f t="shared" si="8"/>
        <v>毗邻道路的类型与等级</v>
      </c>
      <c r="R28" s="667" t="s">
        <v>14</v>
      </c>
      <c r="S28" s="668">
        <f t="shared" si="10"/>
        <v>100</v>
      </c>
      <c r="T28" s="667" t="s">
        <v>14</v>
      </c>
      <c r="U28" s="668">
        <f t="shared" si="11"/>
        <v>100</v>
      </c>
      <c r="V28" s="667" t="s">
        <v>14</v>
      </c>
      <c r="W28" s="668">
        <f t="shared" si="12"/>
        <v>100</v>
      </c>
      <c r="X28" s="1265"/>
      <c r="Y28" s="341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1"/>
      <c r="Q29" s="1263"/>
      <c r="R29" s="667"/>
      <c r="S29" s="668"/>
      <c r="T29" s="667"/>
      <c r="U29" s="668"/>
      <c r="V29" s="667"/>
      <c r="W29" s="668"/>
      <c r="X29" s="1265"/>
      <c r="Y29" s="341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1"/>
      <c r="Q30" s="1263" t="str">
        <f t="shared" si="8"/>
        <v>土地级别</v>
      </c>
      <c r="R30" s="667" t="s">
        <v>14</v>
      </c>
      <c r="S30" s="668">
        <f t="shared" si="10"/>
        <v>100</v>
      </c>
      <c r="T30" s="667" t="s">
        <v>14</v>
      </c>
      <c r="U30" s="668">
        <f t="shared" si="11"/>
        <v>100</v>
      </c>
      <c r="V30" s="667" t="s">
        <v>14</v>
      </c>
      <c r="W30" s="668">
        <f t="shared" si="12"/>
        <v>100</v>
      </c>
      <c r="X30" s="1265"/>
      <c r="Y30" s="341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1"/>
      <c r="Q31" s="1263">
        <f t="shared" si="8"/>
        <v>111</v>
      </c>
      <c r="R31" s="667" t="s">
        <v>14</v>
      </c>
      <c r="S31" s="668">
        <f t="shared" si="10"/>
        <v>100</v>
      </c>
      <c r="T31" s="667" t="s">
        <v>14</v>
      </c>
      <c r="U31" s="668">
        <f t="shared" si="11"/>
        <v>100</v>
      </c>
      <c r="V31" s="667" t="s">
        <v>14</v>
      </c>
      <c r="W31" s="668">
        <f t="shared" si="12"/>
        <v>100</v>
      </c>
      <c r="X31" s="1265"/>
      <c r="Y31" s="341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41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5"/>
      <c r="Q33" s="1263">
        <f t="shared" si="8"/>
        <v>111</v>
      </c>
      <c r="R33" s="669" t="s">
        <v>14</v>
      </c>
      <c r="S33" s="670">
        <f t="shared" si="10"/>
        <v>100</v>
      </c>
      <c r="T33" s="669" t="s">
        <v>14</v>
      </c>
      <c r="U33" s="670">
        <f t="shared" si="11"/>
        <v>100</v>
      </c>
      <c r="V33" s="669" t="s">
        <v>14</v>
      </c>
      <c r="W33" s="670">
        <f t="shared" si="12"/>
        <v>100</v>
      </c>
      <c r="X33" s="671"/>
      <c r="Y33" s="341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5"/>
      <c r="Q34" s="1263" t="str">
        <f>B34</f>
        <v>宗地面积</v>
      </c>
      <c r="R34" s="667" t="s">
        <v>14</v>
      </c>
      <c r="S34" s="668" t="e">
        <f t="shared" si="10"/>
        <v>#N/A</v>
      </c>
      <c r="T34" s="667" t="s">
        <v>14</v>
      </c>
      <c r="U34" s="668" t="e">
        <f t="shared" si="11"/>
        <v>#N/A</v>
      </c>
      <c r="V34" s="667" t="s">
        <v>14</v>
      </c>
      <c r="W34" s="668" t="e">
        <f t="shared" si="12"/>
        <v>#N/A</v>
      </c>
      <c r="X34" s="1265"/>
      <c r="Y34" s="341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5"/>
      <c r="Q35" s="1263" t="str">
        <f t="shared" ref="Q35:Q40" si="14">B35</f>
        <v>宗地形状</v>
      </c>
      <c r="R35" s="667" t="s">
        <v>14</v>
      </c>
      <c r="S35" s="668">
        <f t="shared" si="10"/>
        <v>100</v>
      </c>
      <c r="T35" s="667" t="s">
        <v>14</v>
      </c>
      <c r="U35" s="668">
        <f t="shared" si="11"/>
        <v>100</v>
      </c>
      <c r="V35" s="667" t="s">
        <v>14</v>
      </c>
      <c r="W35" s="668">
        <f t="shared" si="12"/>
        <v>100</v>
      </c>
      <c r="X35" s="1265"/>
      <c r="Y35" s="341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5"/>
      <c r="Q36" s="1263" t="str">
        <f t="shared" si="14"/>
        <v>宗地开发程度</v>
      </c>
      <c r="R36" s="664" t="s">
        <v>14</v>
      </c>
      <c r="S36" s="665">
        <f t="shared" si="10"/>
        <v>100</v>
      </c>
      <c r="T36" s="664" t="s">
        <v>14</v>
      </c>
      <c r="U36" s="665">
        <f t="shared" si="11"/>
        <v>100</v>
      </c>
      <c r="V36" s="664" t="s">
        <v>14</v>
      </c>
      <c r="W36" s="665">
        <f t="shared" si="12"/>
        <v>100</v>
      </c>
      <c r="X36" s="666"/>
      <c r="Y36" s="341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5" t="s">
        <v>1696</v>
      </c>
      <c r="Q37" s="1263" t="str">
        <f t="shared" si="14"/>
        <v>工程地质条件</v>
      </c>
      <c r="R37" s="667" t="s">
        <v>14</v>
      </c>
      <c r="S37" s="668">
        <f t="shared" si="10"/>
        <v>100</v>
      </c>
      <c r="T37" s="667" t="s">
        <v>14</v>
      </c>
      <c r="U37" s="668">
        <f t="shared" si="11"/>
        <v>100</v>
      </c>
      <c r="V37" s="667" t="s">
        <v>14</v>
      </c>
      <c r="W37" s="668">
        <f t="shared" si="12"/>
        <v>100</v>
      </c>
      <c r="X37" s="1265"/>
      <c r="Y37" s="341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5"/>
      <c r="Q38" s="1263">
        <f t="shared" si="14"/>
        <v>111</v>
      </c>
      <c r="R38" s="667" t="s">
        <v>14</v>
      </c>
      <c r="S38" s="668">
        <f t="shared" si="10"/>
        <v>100</v>
      </c>
      <c r="T38" s="667" t="s">
        <v>14</v>
      </c>
      <c r="U38" s="668">
        <f t="shared" si="11"/>
        <v>100</v>
      </c>
      <c r="V38" s="667" t="s">
        <v>14</v>
      </c>
      <c r="W38" s="668">
        <f t="shared" si="12"/>
        <v>100</v>
      </c>
      <c r="X38" s="1265"/>
      <c r="Y38" s="341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5"/>
      <c r="Q39" s="1263">
        <f t="shared" si="14"/>
        <v>111</v>
      </c>
      <c r="R39" s="667" t="s">
        <v>14</v>
      </c>
      <c r="S39" s="668">
        <f t="shared" si="10"/>
        <v>100</v>
      </c>
      <c r="T39" s="667" t="s">
        <v>14</v>
      </c>
      <c r="U39" s="668">
        <f t="shared" si="11"/>
        <v>100</v>
      </c>
      <c r="V39" s="667" t="s">
        <v>14</v>
      </c>
      <c r="W39" s="668">
        <f t="shared" si="12"/>
        <v>100</v>
      </c>
      <c r="X39" s="1265"/>
      <c r="Y39" s="341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5"/>
      <c r="Q40" s="1263">
        <f t="shared" si="14"/>
        <v>111</v>
      </c>
      <c r="R40" s="669" t="s">
        <v>14</v>
      </c>
      <c r="S40" s="670">
        <f t="shared" si="10"/>
        <v>100</v>
      </c>
      <c r="T40" s="669" t="s">
        <v>14</v>
      </c>
      <c r="U40" s="670">
        <f t="shared" si="11"/>
        <v>100</v>
      </c>
      <c r="V40" s="669" t="s">
        <v>14</v>
      </c>
      <c r="W40" s="670">
        <f t="shared" si="12"/>
        <v>100</v>
      </c>
      <c r="X40" s="671"/>
      <c r="Y40" s="341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9" t="str">
        <f>A41</f>
        <v>成交单价</v>
      </c>
      <c r="Q41" s="3409"/>
      <c r="R41" s="3404">
        <f>E41</f>
        <v>0</v>
      </c>
      <c r="S41" s="3404"/>
      <c r="T41" s="3404">
        <f>G41</f>
        <v>0</v>
      </c>
      <c r="U41" s="3404"/>
      <c r="V41" s="3404">
        <f>I41</f>
        <v>0</v>
      </c>
      <c r="W41" s="3404"/>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409" t="str">
        <f>A42</f>
        <v>比较价值（元/平方米）</v>
      </c>
      <c r="Q42" s="3409"/>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6" t="str">
        <f>A43</f>
        <v>估价对象XX用房的比较价值（楼面单价，元/平方米）</v>
      </c>
      <c r="Q43" s="3407"/>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174.9</v>
      </c>
      <c r="F51" s="611" t="e">
        <f t="shared" ref="F51:F60" si="15">ROUND(B51*E51/10000,0)</f>
        <v>#DIV/0!</v>
      </c>
      <c r="G51" s="3391"/>
      <c r="H51" s="340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0(含)-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IF(D20="——",S22,S22-F20)</f>
        <v>9296</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ROUND(B20*10000/B22,0)</f>
        <v>44000</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2112.7199999999998</v>
      </c>
      <c r="C22" s="3443" t="s">
        <v>27</v>
      </c>
      <c r="D22" s="3444"/>
      <c r="E22" s="3444"/>
      <c r="F22" s="3444"/>
      <c r="G22" s="3444"/>
      <c r="H22" s="3444"/>
      <c r="I22" s="3444"/>
      <c r="J22" s="3444"/>
      <c r="K22" s="3444"/>
      <c r="L22" s="3444"/>
      <c r="M22" s="3444"/>
      <c r="N22" s="3444"/>
      <c r="O22" s="3444"/>
      <c r="P22" s="3444"/>
      <c r="Q22" s="3445"/>
      <c r="R22" s="21">
        <f>ROUND(S22*10000/B22,0)</f>
        <v>44000</v>
      </c>
      <c r="S22" s="21">
        <f>SUM(S24:S10000)</f>
        <v>9296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3101</v>
      </c>
      <c r="B24" s="633">
        <v>174.9</v>
      </c>
      <c r="C24" s="2571">
        <v>1</v>
      </c>
      <c r="D24" s="2572"/>
      <c r="E24" s="2571">
        <v>1</v>
      </c>
      <c r="F24" s="2572"/>
      <c r="G24" s="2571">
        <v>1</v>
      </c>
      <c r="H24" s="2572"/>
      <c r="I24" s="2571">
        <v>1</v>
      </c>
      <c r="J24" s="2572"/>
      <c r="K24" s="2571">
        <v>1</v>
      </c>
      <c r="L24" s="2572"/>
      <c r="M24" s="2571">
        <v>1</v>
      </c>
      <c r="N24" s="2572"/>
      <c r="O24" s="2571">
        <v>1</v>
      </c>
      <c r="P24" s="2572"/>
      <c r="Q24" s="2571">
        <v>1</v>
      </c>
      <c r="R24" s="633">
        <v>44000</v>
      </c>
      <c r="S24" s="634">
        <f t="shared" ref="S24:S54" si="11">ROUND(R24*B24/10000,0)</f>
        <v>770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3102</v>
      </c>
      <c r="B25" s="52">
        <v>197.76</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44000</v>
      </c>
      <c r="S25" s="308">
        <f t="shared" si="11"/>
        <v>870</v>
      </c>
    </row>
    <row r="26" spans="1:45">
      <c r="A26" s="142">
        <v>3103</v>
      </c>
      <c r="B26" s="52">
        <v>346.22</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44000</v>
      </c>
      <c r="S26" s="308">
        <f t="shared" si="11"/>
        <v>1523</v>
      </c>
    </row>
    <row r="27" spans="1:45">
      <c r="A27" s="142">
        <v>3105</v>
      </c>
      <c r="B27" s="52">
        <v>165.68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44000</v>
      </c>
      <c r="S27" s="308">
        <f t="shared" si="11"/>
        <v>729</v>
      </c>
    </row>
    <row r="28" spans="1:45">
      <c r="A28" s="142">
        <v>3106</v>
      </c>
      <c r="B28" s="52">
        <v>132.30000000000001</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44000</v>
      </c>
      <c r="S28" s="308">
        <f t="shared" si="11"/>
        <v>582</v>
      </c>
    </row>
    <row r="29" spans="1:45">
      <c r="A29" s="142">
        <v>3107</v>
      </c>
      <c r="B29" s="52">
        <v>169.35</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44000</v>
      </c>
      <c r="S29" s="308">
        <f t="shared" si="11"/>
        <v>745</v>
      </c>
    </row>
    <row r="30" spans="1:45">
      <c r="A30" s="142">
        <v>3108</v>
      </c>
      <c r="B30" s="52">
        <v>106.17</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44000</v>
      </c>
      <c r="S30" s="308">
        <f t="shared" si="11"/>
        <v>467</v>
      </c>
    </row>
    <row r="31" spans="1:45">
      <c r="A31" s="142">
        <v>3109</v>
      </c>
      <c r="B31" s="52">
        <v>106.17</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44000</v>
      </c>
      <c r="S31" s="308">
        <f t="shared" si="11"/>
        <v>467</v>
      </c>
    </row>
    <row r="32" spans="1:45">
      <c r="A32" s="142">
        <v>3110</v>
      </c>
      <c r="B32" s="52">
        <v>195.81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44000</v>
      </c>
      <c r="S32" s="308">
        <f t="shared" si="11"/>
        <v>862</v>
      </c>
    </row>
    <row r="33" spans="1:19">
      <c r="A33" s="142">
        <v>3111</v>
      </c>
      <c r="B33" s="52">
        <v>145.49</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44000</v>
      </c>
      <c r="S33" s="308">
        <f t="shared" si="11"/>
        <v>640</v>
      </c>
    </row>
    <row r="34" spans="1:19">
      <c r="A34" s="142">
        <v>3112</v>
      </c>
      <c r="B34" s="52">
        <v>169.74</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44000</v>
      </c>
      <c r="S34" s="308">
        <f t="shared" si="11"/>
        <v>747</v>
      </c>
    </row>
    <row r="35" spans="1:19">
      <c r="A35" s="142">
        <v>3115</v>
      </c>
      <c r="B35" s="52">
        <v>203.13</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44000</v>
      </c>
      <c r="S35" s="308">
        <f t="shared" si="11"/>
        <v>894</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3253</v>
      </c>
      <c r="B20" s="159" t="s">
        <v>1994</v>
      </c>
      <c r="C20" s="3032" t="e">
        <f>ROUND(IF(F21="与级别开发程度一致",0,(G21-E21)/C21),0)</f>
        <v>#DIV/0!</v>
      </c>
      <c r="D20" s="3047" t="s">
        <v>1998</v>
      </c>
      <c r="E20" s="3048"/>
      <c r="F20" s="3466" t="s">
        <v>1995</v>
      </c>
      <c r="G20" s="34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45828</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2" t="s">
        <v>3293</v>
      </c>
      <c r="B103" s="3462"/>
      <c r="C103" s="3462"/>
      <c r="D103" s="3462"/>
      <c r="E103" s="3462"/>
      <c r="F103" s="3462"/>
      <c r="G103" s="3462"/>
      <c r="H103" s="3462"/>
      <c r="I103" s="3462"/>
      <c r="J103" s="3462"/>
      <c r="K103" s="1667"/>
      <c r="L103" s="1667"/>
      <c r="M103" s="1667"/>
      <c r="N103" s="1667"/>
    </row>
    <row r="104" spans="1:14">
      <c r="A104" s="3463" t="s">
        <v>3294</v>
      </c>
      <c r="B104" s="3463" t="s">
        <v>3295</v>
      </c>
      <c r="C104" s="3091" t="s">
        <v>3296</v>
      </c>
      <c r="D104" s="3092"/>
      <c r="E104" s="3092"/>
      <c r="F104" s="3092"/>
      <c r="G104" s="3092"/>
      <c r="H104" s="3092"/>
      <c r="I104" s="3092"/>
      <c r="J104" s="3093"/>
      <c r="K104" s="3094"/>
      <c r="L104" s="3094"/>
      <c r="M104" s="3094"/>
      <c r="N104" s="3094"/>
    </row>
    <row r="105" spans="1:14">
      <c r="A105" s="3463"/>
      <c r="B105" s="346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4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2" t="s">
        <v>3310</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75" t="s">
        <v>2606</v>
      </c>
      <c r="B20" s="3468" t="s">
        <v>2627</v>
      </c>
      <c r="C20" s="2843" t="s">
        <v>2438</v>
      </c>
      <c r="D20" s="2844"/>
      <c r="E20" s="2845">
        <v>1</v>
      </c>
      <c r="F20" s="2846" t="s">
        <v>2439</v>
      </c>
      <c r="G20" s="2846"/>
    </row>
    <row r="21" spans="1:13" ht="19.5" customHeight="1">
      <c r="A21" s="3476"/>
      <c r="B21" s="3469"/>
      <c r="C21" s="2847" t="s">
        <v>2440</v>
      </c>
      <c r="D21" s="2848"/>
      <c r="E21" s="2849">
        <v>1</v>
      </c>
      <c r="F21" s="2846" t="s">
        <v>2441</v>
      </c>
      <c r="G21" s="2846"/>
    </row>
    <row r="22" spans="1:13" ht="19.5" customHeight="1">
      <c r="A22" s="3476"/>
      <c r="B22" s="3469"/>
      <c r="C22" s="2847" t="s">
        <v>2442</v>
      </c>
      <c r="D22" s="2848"/>
      <c r="E22" s="2849">
        <v>0.9</v>
      </c>
      <c r="F22" s="2846" t="s">
        <v>2443</v>
      </c>
      <c r="G22" s="2846"/>
    </row>
    <row r="23" spans="1:13" ht="19.5" customHeight="1">
      <c r="A23" s="3476"/>
      <c r="B23" s="3469"/>
      <c r="C23" s="2847" t="s">
        <v>2444</v>
      </c>
      <c r="D23" s="2848"/>
      <c r="E23" s="2849">
        <v>0.9</v>
      </c>
      <c r="F23" s="2846" t="s">
        <v>2445</v>
      </c>
      <c r="G23" s="2846"/>
    </row>
    <row r="24" spans="1:13" ht="19.5" customHeight="1">
      <c r="A24" s="3476"/>
      <c r="B24" s="3469"/>
      <c r="C24" s="2847" t="s">
        <v>2446</v>
      </c>
      <c r="D24" s="2848"/>
      <c r="E24" s="2849">
        <v>0.8</v>
      </c>
      <c r="F24" s="2846" t="s">
        <v>2447</v>
      </c>
      <c r="G24" s="2846"/>
    </row>
    <row r="25" spans="1:13" ht="19.5" customHeight="1" thickBot="1">
      <c r="A25" s="3477"/>
      <c r="B25" s="3470"/>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71" t="s">
        <v>2630</v>
      </c>
      <c r="B27" s="3468" t="s">
        <v>2611</v>
      </c>
      <c r="C27" s="2843" t="s">
        <v>2451</v>
      </c>
      <c r="D27" s="2844"/>
      <c r="E27" s="2845">
        <v>1</v>
      </c>
      <c r="F27" s="2846" t="s">
        <v>2452</v>
      </c>
      <c r="G27" s="2846"/>
    </row>
    <row r="28" spans="1:13" ht="19.5" customHeight="1">
      <c r="A28" s="3472"/>
      <c r="B28" s="3469"/>
      <c r="C28" s="2847" t="s">
        <v>2453</v>
      </c>
      <c r="D28" s="2848"/>
      <c r="E28" s="2849">
        <v>1</v>
      </c>
      <c r="F28" s="2846" t="s">
        <v>2454</v>
      </c>
      <c r="G28" s="2846"/>
    </row>
    <row r="29" spans="1:13" ht="19.5" customHeight="1">
      <c r="A29" s="3472"/>
      <c r="B29" s="3469"/>
      <c r="C29" s="2847" t="s">
        <v>2455</v>
      </c>
      <c r="D29" s="2848"/>
      <c r="E29" s="2849">
        <v>0.8</v>
      </c>
      <c r="F29" s="2846" t="s">
        <v>2456</v>
      </c>
      <c r="G29" s="2846"/>
    </row>
    <row r="30" spans="1:13" ht="19.5" customHeight="1">
      <c r="A30" s="3472"/>
      <c r="B30" s="3469"/>
      <c r="C30" s="2847" t="s">
        <v>2457</v>
      </c>
      <c r="D30" s="2848"/>
      <c r="E30" s="2849">
        <v>0.8</v>
      </c>
      <c r="F30" s="2846" t="s">
        <v>2458</v>
      </c>
      <c r="G30" s="2846"/>
    </row>
    <row r="31" spans="1:13" ht="19.5" customHeight="1">
      <c r="A31" s="3472"/>
      <c r="B31" s="3469"/>
      <c r="C31" s="2847" t="s">
        <v>2459</v>
      </c>
      <c r="D31" s="2848"/>
      <c r="E31" s="2849">
        <v>0.8</v>
      </c>
      <c r="F31" s="2846" t="s">
        <v>2460</v>
      </c>
      <c r="G31" s="2846"/>
    </row>
    <row r="32" spans="1:13" ht="19.5" customHeight="1">
      <c r="A32" s="3472"/>
      <c r="B32" s="3469"/>
      <c r="C32" s="2847" t="s">
        <v>2461</v>
      </c>
      <c r="D32" s="2848"/>
      <c r="E32" s="2849">
        <v>0.7</v>
      </c>
      <c r="F32" s="2846" t="s">
        <v>2462</v>
      </c>
      <c r="G32" s="2846"/>
    </row>
    <row r="33" spans="1:7" ht="19.5" customHeight="1">
      <c r="A33" s="3472"/>
      <c r="B33" s="3469"/>
      <c r="C33" s="2847" t="s">
        <v>2463</v>
      </c>
      <c r="D33" s="2848"/>
      <c r="E33" s="2849">
        <v>0.8</v>
      </c>
      <c r="F33" s="2846" t="s">
        <v>2464</v>
      </c>
      <c r="G33" s="2846"/>
    </row>
    <row r="34" spans="1:7" ht="19.5" customHeight="1">
      <c r="A34" s="3472"/>
      <c r="B34" s="3469"/>
      <c r="C34" s="2847" t="s">
        <v>2465</v>
      </c>
      <c r="D34" s="2848"/>
      <c r="E34" s="2849">
        <v>0.6</v>
      </c>
      <c r="F34" s="2846" t="s">
        <v>2466</v>
      </c>
      <c r="G34" s="2846"/>
    </row>
    <row r="35" spans="1:7" ht="19.5" customHeight="1">
      <c r="A35" s="3472"/>
      <c r="B35" s="3469"/>
      <c r="C35" s="2847" t="s">
        <v>2467</v>
      </c>
      <c r="D35" s="2848"/>
      <c r="E35" s="2849">
        <v>0.2</v>
      </c>
      <c r="F35" s="2846" t="s">
        <v>2468</v>
      </c>
      <c r="G35" s="2846"/>
    </row>
    <row r="36" spans="1:7" ht="19.5" customHeight="1">
      <c r="A36" s="3472"/>
      <c r="B36" s="3469"/>
      <c r="C36" s="2847" t="s">
        <v>2469</v>
      </c>
      <c r="D36" s="2848"/>
      <c r="E36" s="2849">
        <v>0.2</v>
      </c>
      <c r="F36" s="2846" t="s">
        <v>2470</v>
      </c>
      <c r="G36" s="2846"/>
    </row>
    <row r="37" spans="1:7" ht="19.5" customHeight="1">
      <c r="A37" s="3472"/>
      <c r="B37" s="3474" t="s">
        <v>2631</v>
      </c>
      <c r="C37" s="2847" t="s">
        <v>2471</v>
      </c>
      <c r="D37" s="2848"/>
      <c r="E37" s="2849">
        <v>0.6</v>
      </c>
      <c r="F37" s="2846" t="s">
        <v>2472</v>
      </c>
      <c r="G37" s="2846"/>
    </row>
    <row r="38" spans="1:7" ht="19.5" customHeight="1">
      <c r="A38" s="3472"/>
      <c r="B38" s="3469"/>
      <c r="C38" s="2847" t="s">
        <v>2473</v>
      </c>
      <c r="D38" s="2848"/>
      <c r="E38" s="2849">
        <v>0.6</v>
      </c>
      <c r="F38" s="2846" t="s">
        <v>2474</v>
      </c>
      <c r="G38" s="2846"/>
    </row>
    <row r="39" spans="1:7" ht="19.5" customHeight="1" thickBot="1">
      <c r="A39" s="3473"/>
      <c r="B39" s="3470"/>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75" t="s">
        <v>2609</v>
      </c>
      <c r="B41" s="3468" t="s">
        <v>2633</v>
      </c>
      <c r="C41" s="2843" t="s">
        <v>2478</v>
      </c>
      <c r="D41" s="2844"/>
      <c r="E41" s="2845">
        <v>1</v>
      </c>
      <c r="F41" s="2846" t="s">
        <v>2479</v>
      </c>
      <c r="G41" s="2846"/>
    </row>
    <row r="42" spans="1:7" ht="19.5" customHeight="1">
      <c r="A42" s="3476"/>
      <c r="B42" s="3469"/>
      <c r="C42" s="2847" t="s">
        <v>2480</v>
      </c>
      <c r="D42" s="2848"/>
      <c r="E42" s="2849">
        <v>1</v>
      </c>
      <c r="F42" s="2846" t="s">
        <v>2481</v>
      </c>
      <c r="G42" s="2846"/>
    </row>
    <row r="43" spans="1:7" ht="19.5" customHeight="1">
      <c r="A43" s="3476"/>
      <c r="B43" s="3478"/>
      <c r="C43" s="2847" t="s">
        <v>2482</v>
      </c>
      <c r="D43" s="2848"/>
      <c r="E43" s="2849">
        <v>1.5</v>
      </c>
      <c r="F43" s="2846" t="s">
        <v>2483</v>
      </c>
      <c r="G43" s="2846"/>
    </row>
    <row r="44" spans="1:7" ht="19.5" customHeight="1">
      <c r="A44" s="3476"/>
      <c r="B44" s="2858" t="s">
        <v>2634</v>
      </c>
      <c r="C44" s="2847" t="s">
        <v>2635</v>
      </c>
      <c r="D44" s="2848"/>
      <c r="E44" s="2849">
        <v>2</v>
      </c>
      <c r="F44" s="2846" t="s">
        <v>2484</v>
      </c>
      <c r="G44" s="2846"/>
    </row>
    <row r="45" spans="1:7" ht="19.5" customHeight="1">
      <c r="A45" s="3476"/>
      <c r="B45" s="3474" t="s">
        <v>2636</v>
      </c>
      <c r="C45" s="2847" t="s">
        <v>2485</v>
      </c>
      <c r="D45" s="2848"/>
      <c r="E45" s="2849">
        <v>1</v>
      </c>
      <c r="F45" s="2846" t="s">
        <v>2486</v>
      </c>
      <c r="G45" s="2846"/>
    </row>
    <row r="46" spans="1:7" ht="19.5" customHeight="1">
      <c r="A46" s="3476"/>
      <c r="B46" s="3469"/>
      <c r="C46" s="2847" t="s">
        <v>2487</v>
      </c>
      <c r="D46" s="2848"/>
      <c r="E46" s="2849">
        <v>1</v>
      </c>
      <c r="F46" s="2846" t="s">
        <v>2488</v>
      </c>
      <c r="G46" s="2846"/>
    </row>
    <row r="47" spans="1:7" ht="19.5" customHeight="1">
      <c r="A47" s="3476"/>
      <c r="B47" s="3469"/>
      <c r="C47" s="2847" t="s">
        <v>2489</v>
      </c>
      <c r="D47" s="2848"/>
      <c r="E47" s="2849">
        <v>1</v>
      </c>
      <c r="F47" s="2846" t="s">
        <v>2490</v>
      </c>
      <c r="G47" s="2846"/>
    </row>
    <row r="48" spans="1:7" ht="19.5" customHeight="1">
      <c r="A48" s="3476"/>
      <c r="B48" s="3469"/>
      <c r="C48" s="2847" t="s">
        <v>2491</v>
      </c>
      <c r="D48" s="2848"/>
      <c r="E48" s="2849">
        <v>1</v>
      </c>
      <c r="F48" s="2846" t="s">
        <v>2492</v>
      </c>
      <c r="G48" s="2846"/>
    </row>
    <row r="49" spans="1:7" ht="19.5" customHeight="1">
      <c r="A49" s="3476"/>
      <c r="B49" s="3469"/>
      <c r="C49" s="2847" t="s">
        <v>2493</v>
      </c>
      <c r="D49" s="2848"/>
      <c r="E49" s="2849">
        <v>1</v>
      </c>
      <c r="F49" s="2846" t="s">
        <v>2494</v>
      </c>
      <c r="G49" s="2846"/>
    </row>
    <row r="50" spans="1:7" ht="19.5" customHeight="1">
      <c r="A50" s="3476"/>
      <c r="B50" s="3469"/>
      <c r="C50" s="2847" t="s">
        <v>2495</v>
      </c>
      <c r="D50" s="2848"/>
      <c r="E50" s="2849">
        <v>1</v>
      </c>
      <c r="F50" s="2846" t="s">
        <v>2496</v>
      </c>
      <c r="G50" s="2846"/>
    </row>
    <row r="51" spans="1:7" ht="19.5" customHeight="1" thickBot="1">
      <c r="A51" s="3477"/>
      <c r="B51" s="3470"/>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3.5">
      <c r="A72" s="2858"/>
      <c r="B72" s="2858"/>
      <c r="C72" s="2858" t="s">
        <v>2649</v>
      </c>
      <c r="D72" s="2858"/>
      <c r="E72" s="2858" t="s">
        <v>2620</v>
      </c>
      <c r="F72" s="2858" t="s">
        <v>2620</v>
      </c>
    </row>
    <row r="73" spans="1:7" ht="13.5">
      <c r="A73" s="2858">
        <v>1</v>
      </c>
      <c r="B73" s="3474" t="s">
        <v>2650</v>
      </c>
      <c r="C73" s="2832" t="s">
        <v>2651</v>
      </c>
      <c r="D73" s="2832" t="s">
        <v>2652</v>
      </c>
      <c r="E73" s="2858">
        <v>0.2</v>
      </c>
      <c r="F73" s="2858">
        <v>25</v>
      </c>
    </row>
    <row r="74" spans="1:7" ht="24">
      <c r="A74" s="2858">
        <v>2</v>
      </c>
      <c r="B74" s="3469"/>
      <c r="C74" s="2832" t="s">
        <v>2653</v>
      </c>
      <c r="D74" s="2832" t="s">
        <v>2654</v>
      </c>
      <c r="E74" s="2858">
        <v>0.2</v>
      </c>
      <c r="F74" s="2858">
        <v>25</v>
      </c>
    </row>
    <row r="75" spans="1:7" ht="24">
      <c r="A75" s="2858">
        <v>3</v>
      </c>
      <c r="B75" s="3469"/>
      <c r="C75" s="2832" t="s">
        <v>2655</v>
      </c>
      <c r="D75" s="2832" t="s">
        <v>2656</v>
      </c>
      <c r="E75" s="2858">
        <v>0.2</v>
      </c>
      <c r="F75" s="2858">
        <v>25</v>
      </c>
    </row>
    <row r="76" spans="1:7" ht="13.5">
      <c r="A76" s="2858">
        <v>4</v>
      </c>
      <c r="B76" s="3469"/>
      <c r="C76" s="2832" t="s">
        <v>2657</v>
      </c>
      <c r="D76" s="2832" t="s">
        <v>2658</v>
      </c>
      <c r="E76" s="2858">
        <v>0.15</v>
      </c>
      <c r="F76" s="2858">
        <v>20</v>
      </c>
    </row>
    <row r="77" spans="1:7" ht="24">
      <c r="A77" s="2858">
        <v>5</v>
      </c>
      <c r="B77" s="3469"/>
      <c r="C77" s="2832" t="s">
        <v>2659</v>
      </c>
      <c r="D77" s="2832" t="s">
        <v>2660</v>
      </c>
      <c r="E77" s="2858">
        <v>0.15</v>
      </c>
      <c r="F77" s="2858">
        <v>20</v>
      </c>
    </row>
    <row r="78" spans="1:7" ht="24">
      <c r="A78" s="2858">
        <v>6</v>
      </c>
      <c r="B78" s="3469"/>
      <c r="C78" s="2832" t="s">
        <v>2661</v>
      </c>
      <c r="D78" s="2832" t="s">
        <v>2662</v>
      </c>
      <c r="E78" s="2858">
        <v>0.15</v>
      </c>
      <c r="F78" s="2858">
        <v>20</v>
      </c>
    </row>
    <row r="79" spans="1:7" ht="24">
      <c r="A79" s="2858">
        <v>7</v>
      </c>
      <c r="B79" s="3469"/>
      <c r="C79" s="2832" t="s">
        <v>2663</v>
      </c>
      <c r="D79" s="2832" t="s">
        <v>2664</v>
      </c>
      <c r="E79" s="2858">
        <v>0.15</v>
      </c>
      <c r="F79" s="2858">
        <v>20</v>
      </c>
    </row>
    <row r="80" spans="1:7" ht="24">
      <c r="A80" s="2858">
        <v>8</v>
      </c>
      <c r="B80" s="3469"/>
      <c r="C80" s="2832" t="s">
        <v>2665</v>
      </c>
      <c r="D80" s="2832" t="s">
        <v>2666</v>
      </c>
      <c r="E80" s="2858">
        <v>0.1</v>
      </c>
      <c r="F80" s="2858">
        <v>15</v>
      </c>
    </row>
    <row r="81" spans="1:6" ht="24">
      <c r="A81" s="2858">
        <v>9</v>
      </c>
      <c r="B81" s="3469"/>
      <c r="C81" s="2832" t="s">
        <v>2667</v>
      </c>
      <c r="D81" s="2832" t="s">
        <v>2668</v>
      </c>
      <c r="E81" s="2858">
        <v>0.1</v>
      </c>
      <c r="F81" s="2858">
        <v>15</v>
      </c>
    </row>
    <row r="82" spans="1:6" ht="24">
      <c r="A82" s="2858">
        <v>10</v>
      </c>
      <c r="B82" s="3469"/>
      <c r="C82" s="2832" t="s">
        <v>2669</v>
      </c>
      <c r="D82" s="2832" t="s">
        <v>2670</v>
      </c>
      <c r="E82" s="2858">
        <v>0.1</v>
      </c>
      <c r="F82" s="2858">
        <v>15</v>
      </c>
    </row>
    <row r="83" spans="1:6" ht="24">
      <c r="A83" s="2858">
        <v>11</v>
      </c>
      <c r="B83" s="3469"/>
      <c r="C83" s="2832" t="s">
        <v>2671</v>
      </c>
      <c r="D83" s="2832" t="s">
        <v>2672</v>
      </c>
      <c r="E83" s="2858">
        <v>0.1</v>
      </c>
      <c r="F83" s="2858">
        <v>15</v>
      </c>
    </row>
    <row r="84" spans="1:6" ht="24">
      <c r="A84" s="2858">
        <v>12</v>
      </c>
      <c r="B84" s="3469"/>
      <c r="C84" s="2832" t="s">
        <v>2673</v>
      </c>
      <c r="D84" s="2832" t="s">
        <v>2674</v>
      </c>
      <c r="E84" s="2858">
        <v>0.1</v>
      </c>
      <c r="F84" s="2858">
        <v>15</v>
      </c>
    </row>
    <row r="85" spans="1:6" ht="13.5">
      <c r="A85" s="2858">
        <v>13</v>
      </c>
      <c r="B85" s="3469"/>
      <c r="C85" s="2832" t="s">
        <v>2675</v>
      </c>
      <c r="D85" s="2832" t="s">
        <v>2676</v>
      </c>
      <c r="E85" s="2858">
        <v>0.1</v>
      </c>
      <c r="F85" s="2858">
        <v>15</v>
      </c>
    </row>
    <row r="86" spans="1:6" ht="13.5">
      <c r="A86" s="2858">
        <v>14</v>
      </c>
      <c r="B86" s="3469"/>
      <c r="C86" s="2832" t="s">
        <v>2677</v>
      </c>
      <c r="D86" s="2832" t="s">
        <v>2678</v>
      </c>
      <c r="E86" s="2858">
        <v>0.1</v>
      </c>
      <c r="F86" s="2858">
        <v>15</v>
      </c>
    </row>
    <row r="87" spans="1:6" ht="13.5">
      <c r="A87" s="2858">
        <v>15</v>
      </c>
      <c r="B87" s="3469"/>
      <c r="C87" s="2832" t="s">
        <v>2679</v>
      </c>
      <c r="D87" s="2832" t="s">
        <v>2680</v>
      </c>
      <c r="E87" s="2858">
        <v>0.1</v>
      </c>
      <c r="F87" s="2858">
        <v>15</v>
      </c>
    </row>
    <row r="88" spans="1:6" ht="24">
      <c r="A88" s="2858">
        <v>16</v>
      </c>
      <c r="B88" s="3469"/>
      <c r="C88" s="2832" t="s">
        <v>2681</v>
      </c>
      <c r="D88" s="2832" t="s">
        <v>2682</v>
      </c>
      <c r="E88" s="2858">
        <v>0.1</v>
      </c>
      <c r="F88" s="2858">
        <v>15</v>
      </c>
    </row>
    <row r="89" spans="1:6" ht="24">
      <c r="A89" s="2858">
        <v>17</v>
      </c>
      <c r="B89" s="3478"/>
      <c r="C89" s="2832" t="s">
        <v>2683</v>
      </c>
      <c r="D89" s="2832" t="s">
        <v>2684</v>
      </c>
      <c r="E89" s="2858">
        <v>0.1</v>
      </c>
      <c r="F89" s="2858">
        <v>15</v>
      </c>
    </row>
    <row r="90" spans="1:6" ht="13.5">
      <c r="A90" s="2858">
        <v>18</v>
      </c>
      <c r="B90" s="3474" t="s">
        <v>2685</v>
      </c>
      <c r="C90" s="2832" t="s">
        <v>2686</v>
      </c>
      <c r="D90" s="2832" t="s">
        <v>2687</v>
      </c>
      <c r="E90" s="2858">
        <v>0.2</v>
      </c>
      <c r="F90" s="2858">
        <v>25</v>
      </c>
    </row>
    <row r="91" spans="1:6" ht="24">
      <c r="A91" s="2858">
        <v>19</v>
      </c>
      <c r="B91" s="3469"/>
      <c r="C91" s="2832" t="s">
        <v>2688</v>
      </c>
      <c r="D91" s="2832" t="s">
        <v>2689</v>
      </c>
      <c r="E91" s="2858">
        <v>0.2</v>
      </c>
      <c r="F91" s="2858">
        <v>25</v>
      </c>
    </row>
    <row r="92" spans="1:6" ht="13.5">
      <c r="A92" s="2858">
        <v>20</v>
      </c>
      <c r="B92" s="3469"/>
      <c r="C92" s="2832" t="s">
        <v>2690</v>
      </c>
      <c r="D92" s="2832" t="s">
        <v>2691</v>
      </c>
      <c r="E92" s="2858">
        <v>0.15</v>
      </c>
      <c r="F92" s="2858">
        <v>20</v>
      </c>
    </row>
    <row r="93" spans="1:6" ht="13.5">
      <c r="A93" s="2858">
        <v>21</v>
      </c>
      <c r="B93" s="3469"/>
      <c r="C93" s="2832" t="s">
        <v>2692</v>
      </c>
      <c r="D93" s="2832" t="s">
        <v>2693</v>
      </c>
      <c r="E93" s="2858">
        <v>0.15</v>
      </c>
      <c r="F93" s="2858">
        <v>20</v>
      </c>
    </row>
    <row r="94" spans="1:6" ht="13.5">
      <c r="A94" s="2858">
        <v>22</v>
      </c>
      <c r="B94" s="3469"/>
      <c r="C94" s="2832" t="s">
        <v>2694</v>
      </c>
      <c r="D94" s="2832" t="s">
        <v>2695</v>
      </c>
      <c r="E94" s="2858">
        <v>0.15</v>
      </c>
      <c r="F94" s="2858">
        <v>20</v>
      </c>
    </row>
    <row r="95" spans="1:6" ht="36">
      <c r="A95" s="2858">
        <v>23</v>
      </c>
      <c r="B95" s="3469"/>
      <c r="C95" s="2832" t="s">
        <v>2696</v>
      </c>
      <c r="D95" s="2832" t="s">
        <v>2697</v>
      </c>
      <c r="E95" s="2858">
        <v>0.15</v>
      </c>
      <c r="F95" s="2858">
        <v>20</v>
      </c>
    </row>
    <row r="96" spans="1:6" ht="13.5">
      <c r="A96" s="2858">
        <v>24</v>
      </c>
      <c r="B96" s="3469"/>
      <c r="C96" s="2832" t="s">
        <v>2698</v>
      </c>
      <c r="D96" s="2832" t="s">
        <v>2699</v>
      </c>
      <c r="E96" s="2858">
        <v>0.1</v>
      </c>
      <c r="F96" s="2858">
        <v>15</v>
      </c>
    </row>
    <row r="97" spans="1:6" ht="13.5">
      <c r="A97" s="2858">
        <v>25</v>
      </c>
      <c r="B97" s="3469"/>
      <c r="C97" s="2832" t="s">
        <v>2700</v>
      </c>
      <c r="D97" s="2832" t="s">
        <v>2701</v>
      </c>
      <c r="E97" s="2858">
        <v>0.1</v>
      </c>
      <c r="F97" s="2858">
        <v>15</v>
      </c>
    </row>
    <row r="98" spans="1:6" ht="24">
      <c r="A98" s="2858">
        <v>26</v>
      </c>
      <c r="B98" s="3469"/>
      <c r="C98" s="2832" t="s">
        <v>2702</v>
      </c>
      <c r="D98" s="2832" t="s">
        <v>2703</v>
      </c>
      <c r="E98" s="2858">
        <v>0.1</v>
      </c>
      <c r="F98" s="2858">
        <v>15</v>
      </c>
    </row>
    <row r="99" spans="1:6" ht="24">
      <c r="A99" s="2858">
        <v>27</v>
      </c>
      <c r="B99" s="3469"/>
      <c r="C99" s="2832" t="s">
        <v>2704</v>
      </c>
      <c r="D99" s="2832" t="s">
        <v>2705</v>
      </c>
      <c r="E99" s="2858">
        <v>0.1</v>
      </c>
      <c r="F99" s="2858">
        <v>15</v>
      </c>
    </row>
    <row r="100" spans="1:6" ht="13.5">
      <c r="A100" s="2858">
        <v>28</v>
      </c>
      <c r="B100" s="3469"/>
      <c r="C100" s="2832" t="s">
        <v>2706</v>
      </c>
      <c r="D100" s="2832" t="s">
        <v>2707</v>
      </c>
      <c r="E100" s="2858">
        <v>0.1</v>
      </c>
      <c r="F100" s="2858">
        <v>15</v>
      </c>
    </row>
    <row r="101" spans="1:6" ht="13.5">
      <c r="A101" s="2858">
        <v>29</v>
      </c>
      <c r="B101" s="3469"/>
      <c r="C101" s="2832" t="s">
        <v>2708</v>
      </c>
      <c r="D101" s="2832" t="s">
        <v>2709</v>
      </c>
      <c r="E101" s="2858">
        <v>0.1</v>
      </c>
      <c r="F101" s="2858">
        <v>15</v>
      </c>
    </row>
    <row r="102" spans="1:6" ht="13.5">
      <c r="A102" s="2858">
        <v>30</v>
      </c>
      <c r="B102" s="3469"/>
      <c r="C102" s="2832" t="s">
        <v>2710</v>
      </c>
      <c r="D102" s="2832" t="s">
        <v>2711</v>
      </c>
      <c r="E102" s="2858">
        <v>0.1</v>
      </c>
      <c r="F102" s="2858">
        <v>15</v>
      </c>
    </row>
    <row r="103" spans="1:6" ht="24">
      <c r="A103" s="2858">
        <v>31</v>
      </c>
      <c r="B103" s="3469"/>
      <c r="C103" s="2832" t="s">
        <v>2712</v>
      </c>
      <c r="D103" s="2832" t="s">
        <v>2713</v>
      </c>
      <c r="E103" s="2858">
        <v>0.1</v>
      </c>
      <c r="F103" s="2858">
        <v>15</v>
      </c>
    </row>
    <row r="104" spans="1:6" ht="24">
      <c r="A104" s="2858">
        <v>32</v>
      </c>
      <c r="B104" s="3469"/>
      <c r="C104" s="2832" t="s">
        <v>2714</v>
      </c>
      <c r="D104" s="2832" t="s">
        <v>2715</v>
      </c>
      <c r="E104" s="2858">
        <v>0.1</v>
      </c>
      <c r="F104" s="2858">
        <v>15</v>
      </c>
    </row>
    <row r="105" spans="1:6" ht="24">
      <c r="A105" s="2858">
        <v>33</v>
      </c>
      <c r="B105" s="3469"/>
      <c r="C105" s="2832" t="s">
        <v>2716</v>
      </c>
      <c r="D105" s="2832" t="s">
        <v>2717</v>
      </c>
      <c r="E105" s="2858">
        <v>0.1</v>
      </c>
      <c r="F105" s="2858">
        <v>15</v>
      </c>
    </row>
    <row r="106" spans="1:6" ht="24">
      <c r="A106" s="2858">
        <v>34</v>
      </c>
      <c r="B106" s="3478"/>
      <c r="C106" s="2832" t="s">
        <v>2718</v>
      </c>
      <c r="D106" s="2832" t="s">
        <v>2719</v>
      </c>
      <c r="E106" s="2858">
        <v>0.1</v>
      </c>
      <c r="F106" s="2858">
        <v>15</v>
      </c>
    </row>
    <row r="107" spans="1:6" ht="24">
      <c r="A107" s="2858">
        <v>35</v>
      </c>
      <c r="B107" s="3474" t="s">
        <v>2720</v>
      </c>
      <c r="C107" s="2858" t="s">
        <v>2721</v>
      </c>
      <c r="D107" s="2832" t="s">
        <v>2722</v>
      </c>
      <c r="E107" s="2858">
        <v>0.15</v>
      </c>
      <c r="F107" s="2858">
        <v>20</v>
      </c>
    </row>
    <row r="108" spans="1:6" ht="13.5">
      <c r="A108" s="2858">
        <v>36</v>
      </c>
      <c r="B108" s="3469"/>
      <c r="C108" s="2858" t="s">
        <v>2723</v>
      </c>
      <c r="D108" s="2832" t="s">
        <v>2724</v>
      </c>
      <c r="E108" s="2858">
        <v>0.15</v>
      </c>
      <c r="F108" s="2858">
        <v>20</v>
      </c>
    </row>
    <row r="109" spans="1:6" ht="13.5">
      <c r="A109" s="2858">
        <v>37</v>
      </c>
      <c r="B109" s="3469"/>
      <c r="C109" s="2858" t="s">
        <v>2725</v>
      </c>
      <c r="D109" s="2832" t="s">
        <v>2726</v>
      </c>
      <c r="E109" s="2858">
        <v>0.15</v>
      </c>
      <c r="F109" s="2858">
        <v>20</v>
      </c>
    </row>
    <row r="110" spans="1:6" ht="13.5">
      <c r="A110" s="2858">
        <v>38</v>
      </c>
      <c r="B110" s="3469"/>
      <c r="C110" s="2858" t="s">
        <v>2727</v>
      </c>
      <c r="D110" s="2832" t="s">
        <v>2728</v>
      </c>
      <c r="E110" s="2858">
        <v>0.1</v>
      </c>
      <c r="F110" s="2858">
        <v>15</v>
      </c>
    </row>
    <row r="111" spans="1:6" ht="24">
      <c r="A111" s="2858">
        <v>39</v>
      </c>
      <c r="B111" s="3469"/>
      <c r="C111" s="2858" t="s">
        <v>2729</v>
      </c>
      <c r="D111" s="2832" t="s">
        <v>2730</v>
      </c>
      <c r="E111" s="2858">
        <v>0.1</v>
      </c>
      <c r="F111" s="2858">
        <v>15</v>
      </c>
    </row>
    <row r="112" spans="1:6" ht="24">
      <c r="A112" s="2858">
        <v>40</v>
      </c>
      <c r="B112" s="3478"/>
      <c r="C112" s="2858" t="s">
        <v>2731</v>
      </c>
      <c r="D112" s="2832" t="s">
        <v>2732</v>
      </c>
      <c r="E112" s="2858">
        <v>0.1</v>
      </c>
      <c r="F112" s="2858">
        <v>15</v>
      </c>
    </row>
    <row r="113" spans="1:6" ht="13.5">
      <c r="A113" s="2858">
        <v>41</v>
      </c>
      <c r="B113" s="3479" t="s">
        <v>2733</v>
      </c>
      <c r="C113" s="2858" t="s">
        <v>2734</v>
      </c>
      <c r="D113" s="2832" t="s">
        <v>2735</v>
      </c>
      <c r="E113" s="2858">
        <v>0.1</v>
      </c>
      <c r="F113" s="2858">
        <v>15</v>
      </c>
    </row>
    <row r="114" spans="1:6" ht="13.5">
      <c r="A114" s="2858">
        <v>42</v>
      </c>
      <c r="B114" s="3479"/>
      <c r="C114" s="2858" t="s">
        <v>2736</v>
      </c>
      <c r="D114" s="2832" t="s">
        <v>2737</v>
      </c>
      <c r="E114" s="2858">
        <v>0.1</v>
      </c>
      <c r="F114" s="2858">
        <v>15</v>
      </c>
    </row>
    <row r="115" spans="1:6" ht="24">
      <c r="A115" s="2858">
        <v>43</v>
      </c>
      <c r="B115" s="3479"/>
      <c r="C115" s="2858" t="s">
        <v>2738</v>
      </c>
      <c r="D115" s="2832" t="s">
        <v>2739</v>
      </c>
      <c r="E115" s="2858">
        <v>0.1</v>
      </c>
      <c r="F115" s="2858">
        <v>15</v>
      </c>
    </row>
    <row r="116" spans="1:6" ht="13.5">
      <c r="A116" s="2858">
        <v>44</v>
      </c>
      <c r="B116" s="3474" t="s">
        <v>2740</v>
      </c>
      <c r="C116" s="2858" t="s">
        <v>2741</v>
      </c>
      <c r="D116" s="2832" t="s">
        <v>2742</v>
      </c>
      <c r="E116" s="2858">
        <v>0.1</v>
      </c>
      <c r="F116" s="2858">
        <v>15</v>
      </c>
    </row>
    <row r="117" spans="1:6" ht="24">
      <c r="A117" s="2858">
        <v>45</v>
      </c>
      <c r="B117" s="3478"/>
      <c r="C117" s="2832" t="s">
        <v>2743</v>
      </c>
      <c r="D117" s="2832" t="s">
        <v>2744</v>
      </c>
      <c r="E117" s="2858">
        <v>0.1</v>
      </c>
      <c r="F117" s="2858">
        <v>15</v>
      </c>
    </row>
    <row r="118" spans="1:6" ht="24">
      <c r="A118" s="2858">
        <v>46</v>
      </c>
      <c r="B118" s="3474" t="s">
        <v>2745</v>
      </c>
      <c r="C118" s="2858" t="s">
        <v>2746</v>
      </c>
      <c r="D118" s="2832" t="s">
        <v>2747</v>
      </c>
      <c r="E118" s="2858">
        <v>0.1</v>
      </c>
      <c r="F118" s="2858">
        <v>15</v>
      </c>
    </row>
    <row r="119" spans="1:6" ht="24">
      <c r="A119" s="2858">
        <v>47</v>
      </c>
      <c r="B119" s="3478"/>
      <c r="C119" s="2858" t="s">
        <v>2748</v>
      </c>
      <c r="D119" s="2832" t="s">
        <v>2749</v>
      </c>
      <c r="E119" s="2858">
        <v>0.1</v>
      </c>
      <c r="F119" s="2858">
        <v>15</v>
      </c>
    </row>
    <row r="120" spans="1:6" ht="13.5">
      <c r="A120" s="2858">
        <v>48</v>
      </c>
      <c r="B120" s="3474" t="s">
        <v>2750</v>
      </c>
      <c r="C120" s="2858" t="s">
        <v>2751</v>
      </c>
      <c r="D120" s="2832" t="s">
        <v>2752</v>
      </c>
      <c r="E120" s="2858">
        <v>0.1</v>
      </c>
      <c r="F120" s="2858">
        <v>15</v>
      </c>
    </row>
    <row r="121" spans="1:6" ht="13.5">
      <c r="A121" s="2858">
        <v>49</v>
      </c>
      <c r="B121" s="3478"/>
      <c r="C121" s="2858" t="s">
        <v>2753</v>
      </c>
      <c r="D121" s="2832" t="s">
        <v>2754</v>
      </c>
      <c r="E121" s="2858">
        <v>0.1</v>
      </c>
      <c r="F121" s="2858">
        <v>15</v>
      </c>
    </row>
    <row r="122" spans="1:6" ht="24">
      <c r="A122" s="2858">
        <v>50</v>
      </c>
      <c r="B122" s="3479" t="s">
        <v>2755</v>
      </c>
      <c r="C122" s="2858" t="s">
        <v>2756</v>
      </c>
      <c r="D122" s="2832" t="s">
        <v>2757</v>
      </c>
      <c r="E122" s="2858">
        <v>0.1</v>
      </c>
      <c r="F122" s="2858">
        <v>15</v>
      </c>
    </row>
    <row r="123" spans="1:6" ht="24">
      <c r="A123" s="2858">
        <v>51</v>
      </c>
      <c r="B123" s="3479"/>
      <c r="C123" s="2858" t="s">
        <v>2758</v>
      </c>
      <c r="D123" s="2832" t="s">
        <v>2759</v>
      </c>
      <c r="E123" s="2858">
        <v>0.1</v>
      </c>
      <c r="F123" s="2858">
        <v>15</v>
      </c>
    </row>
    <row r="124" spans="1:6" ht="24">
      <c r="A124" s="2858">
        <v>52</v>
      </c>
      <c r="B124" s="3479" t="s">
        <v>2760</v>
      </c>
      <c r="C124" s="2858" t="s">
        <v>2761</v>
      </c>
      <c r="D124" s="2832" t="s">
        <v>2762</v>
      </c>
      <c r="E124" s="2858">
        <v>0.1</v>
      </c>
      <c r="F124" s="2858">
        <v>15</v>
      </c>
    </row>
    <row r="125" spans="1:6" ht="24">
      <c r="A125" s="2858">
        <v>53</v>
      </c>
      <c r="B125" s="3479"/>
      <c r="C125" s="2858" t="s">
        <v>2763</v>
      </c>
      <c r="D125" s="2832" t="s">
        <v>2764</v>
      </c>
      <c r="E125" s="2858">
        <v>0.1</v>
      </c>
      <c r="F125" s="2858">
        <v>15</v>
      </c>
    </row>
    <row r="126" spans="1:6" ht="13.5">
      <c r="A126" s="2858">
        <v>54</v>
      </c>
      <c r="B126" s="2858" t="s">
        <v>2765</v>
      </c>
      <c r="C126" s="2858" t="s">
        <v>2766</v>
      </c>
      <c r="D126" s="2832" t="s">
        <v>2767</v>
      </c>
      <c r="E126" s="2858">
        <v>0.1</v>
      </c>
      <c r="F126" s="2858">
        <v>15</v>
      </c>
    </row>
    <row r="127" spans="1:6" ht="13.5">
      <c r="A127" s="2858">
        <v>55</v>
      </c>
      <c r="B127" s="3479" t="s">
        <v>2768</v>
      </c>
      <c r="C127" s="2858" t="s">
        <v>2769</v>
      </c>
      <c r="D127" s="2832" t="s">
        <v>2770</v>
      </c>
      <c r="E127" s="2858">
        <v>0.1</v>
      </c>
      <c r="F127" s="2858">
        <v>15</v>
      </c>
    </row>
    <row r="128" spans="1:6" ht="13.5">
      <c r="A128" s="2858">
        <v>56</v>
      </c>
      <c r="B128" s="3479"/>
      <c r="C128" s="2858" t="s">
        <v>2771</v>
      </c>
      <c r="D128" s="2832" t="s">
        <v>2772</v>
      </c>
      <c r="E128" s="2858">
        <v>0.1</v>
      </c>
      <c r="F128" s="2858">
        <v>15</v>
      </c>
    </row>
    <row r="129" spans="1:6" ht="24">
      <c r="A129" s="2858">
        <v>57</v>
      </c>
      <c r="B129" s="3479"/>
      <c r="C129" s="2858" t="s">
        <v>2773</v>
      </c>
      <c r="D129" s="2832" t="s">
        <v>2774</v>
      </c>
      <c r="E129" s="2858">
        <v>0.1</v>
      </c>
      <c r="F129" s="2858">
        <v>15</v>
      </c>
    </row>
    <row r="130" spans="1:6" ht="24">
      <c r="A130" s="2858">
        <v>58</v>
      </c>
      <c r="B130" s="3479" t="s">
        <v>2775</v>
      </c>
      <c r="C130" s="2858" t="s">
        <v>2776</v>
      </c>
      <c r="D130" s="2832" t="s">
        <v>2777</v>
      </c>
      <c r="E130" s="2858">
        <v>0.1</v>
      </c>
      <c r="F130" s="2858">
        <v>15</v>
      </c>
    </row>
    <row r="131" spans="1:6" ht="13.5">
      <c r="A131" s="2858">
        <v>59</v>
      </c>
      <c r="B131" s="3479"/>
      <c r="C131" s="2858" t="s">
        <v>2778</v>
      </c>
      <c r="D131" s="2832" t="s">
        <v>2779</v>
      </c>
      <c r="E131" s="2858">
        <v>0.1</v>
      </c>
      <c r="F131" s="2858">
        <v>15</v>
      </c>
    </row>
    <row r="132" spans="1:6" ht="13.5">
      <c r="A132" s="2858">
        <v>60</v>
      </c>
      <c r="B132" s="3474" t="s">
        <v>2780</v>
      </c>
      <c r="C132" s="2858" t="s">
        <v>2781</v>
      </c>
      <c r="D132" s="2832" t="s">
        <v>2782</v>
      </c>
      <c r="E132" s="2858">
        <v>0.1</v>
      </c>
      <c r="F132" s="2858">
        <v>15</v>
      </c>
    </row>
    <row r="133" spans="1:6" ht="13.5">
      <c r="A133" s="2858">
        <v>61</v>
      </c>
      <c r="B133" s="3478"/>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13.5">
      <c r="A135" s="2858">
        <v>63</v>
      </c>
      <c r="B135" s="3479" t="s">
        <v>2788</v>
      </c>
      <c r="C135" s="2858" t="s">
        <v>2789</v>
      </c>
      <c r="D135" s="2832" t="s">
        <v>2790</v>
      </c>
      <c r="E135" s="2858">
        <v>0.1</v>
      </c>
      <c r="F135" s="2858">
        <v>15</v>
      </c>
    </row>
    <row r="136" spans="1:6" ht="13.5">
      <c r="A136" s="2858">
        <v>64</v>
      </c>
      <c r="B136" s="3479"/>
      <c r="C136" s="2858" t="s">
        <v>2791</v>
      </c>
      <c r="D136" s="2832" t="s">
        <v>2792</v>
      </c>
      <c r="E136" s="2858">
        <v>0.1</v>
      </c>
      <c r="F136" s="2858">
        <v>15</v>
      </c>
    </row>
    <row r="137" spans="1:6" ht="13.5">
      <c r="A137" s="2858">
        <v>65</v>
      </c>
      <c r="B137" s="2858" t="s">
        <v>2793</v>
      </c>
      <c r="C137" s="2858" t="s">
        <v>2794</v>
      </c>
      <c r="D137" s="2832" t="s">
        <v>2795</v>
      </c>
      <c r="E137" s="2858">
        <v>0.1</v>
      </c>
      <c r="F137" s="2858">
        <v>15</v>
      </c>
    </row>
    <row r="138" spans="1:6" ht="13.5">
      <c r="A138" s="2858"/>
      <c r="B138" s="2858"/>
      <c r="C138" s="2858"/>
      <c r="D138" s="2858"/>
      <c r="E138" s="2858" t="s">
        <v>2796</v>
      </c>
      <c r="F138" s="285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t="e">
        <f ca="1">结果表!H101</f>
        <v>#REF!</v>
      </c>
    </row>
    <row r="6" spans="1:5" ht="15.75">
      <c r="B6" s="3165"/>
      <c r="C6" s="1392" t="s">
        <v>911</v>
      </c>
      <c r="D6" s="797" t="e">
        <f ca="1">NUMBERSTRING(INT(D5*10000),2)&amp;"元整"</f>
        <v>#REF!</v>
      </c>
    </row>
    <row r="7" spans="1:5" ht="15.75">
      <c r="B7" s="3170"/>
      <c r="C7" s="1393" t="s">
        <v>912</v>
      </c>
      <c r="D7" s="798" t="e">
        <f ca="1">结果表!H102</f>
        <v>#REF!</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t="e">
        <f ca="1">结果表!H107</f>
        <v>#REF!</v>
      </c>
    </row>
    <row r="14" spans="1:5" ht="15.75">
      <c r="B14" s="3165"/>
      <c r="C14" s="1392" t="s">
        <v>911</v>
      </c>
      <c r="D14" s="797" t="e">
        <f ca="1">NUMBERSTRING(INT(D13*10000),2)&amp;"元整"</f>
        <v>#REF!</v>
      </c>
    </row>
    <row r="15" spans="1:5" ht="15">
      <c r="B15" s="3170"/>
      <c r="C15" s="1393" t="s">
        <v>921</v>
      </c>
      <c r="D15" s="806" t="e">
        <f ca="1">结果表!H108</f>
        <v>#REF!</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174.9</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174.9</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174.9</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5" t="s">
        <v>94</v>
      </c>
    </row>
    <row r="43" spans="1:7" ht="13.5" customHeight="1">
      <c r="A43" s="734" t="s">
        <v>347</v>
      </c>
      <c r="B43" s="207" t="s">
        <v>426</v>
      </c>
      <c r="C43" s="230" t="e">
        <f ca="1">ROUND(IF('数据-取费表'!B22&lt;=1,C39*F22*'数据-取费表'!B21/2,C39*(POWER((1+F22),'数据-取费表'!B21/2)-1)),0)</f>
        <v>#VALUE!</v>
      </c>
      <c r="D43" s="230"/>
      <c r="E43" s="230"/>
      <c r="F43" s="231"/>
      <c r="G43" s="3346"/>
    </row>
    <row r="44" spans="1:7" ht="13.5" customHeight="1">
      <c r="A44" s="734" t="s">
        <v>348</v>
      </c>
      <c r="B44" s="207" t="s">
        <v>428</v>
      </c>
      <c r="C44" s="230" t="e">
        <f ca="1">ROUND(IF('数据-取费表'!B22&lt;=1,C40*F22*'数据-取费表'!B21/2,C40*(POWER((1+F22),'数据-取费表'!B21/2)-1)),4)</f>
        <v>#VALUE!</v>
      </c>
      <c r="D44" s="230"/>
      <c r="E44" s="230"/>
      <c r="F44" s="231"/>
      <c r="G44" s="334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3180</v>
      </c>
      <c r="B1" s="3480"/>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81" t="s">
        <v>3231</v>
      </c>
      <c r="B1" s="3481"/>
      <c r="C1" s="3481"/>
      <c r="D1" s="3481"/>
      <c r="E1" s="3481"/>
      <c r="F1" s="3482"/>
    </row>
    <row r="2" spans="1:6" ht="14.25">
      <c r="A2" s="3003" t="s">
        <v>3232</v>
      </c>
    </row>
    <row r="3" spans="1:6" ht="14.25">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2938">
        <f>基准地价修正!G23</f>
        <v>45828</v>
      </c>
      <c r="B1" s="2930" t="s">
        <v>3377</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2824</v>
      </c>
    </row>
    <row r="29" spans="1:44" s="2009" customFormat="1" ht="12.75">
      <c r="B29" s="2930" t="s">
        <v>3378</v>
      </c>
      <c r="C29" s="2931"/>
      <c r="D29" s="2931"/>
      <c r="E29" s="2931"/>
      <c r="F29" s="2931"/>
      <c r="G29" s="2931"/>
      <c r="H29" s="2931"/>
      <c r="I29" s="2931"/>
      <c r="J29" s="2897"/>
      <c r="K29" s="2931" t="s">
        <v>2825</v>
      </c>
      <c r="L29" s="2931"/>
      <c r="M29" s="2931"/>
      <c r="N29" s="2931"/>
      <c r="O29" s="2931"/>
      <c r="P29" s="2931"/>
      <c r="Q29" s="2897"/>
      <c r="R29" s="3483" t="s">
        <v>2826</v>
      </c>
      <c r="S29" s="3484"/>
      <c r="T29" s="3484"/>
      <c r="U29" s="3484"/>
      <c r="V29" s="3484"/>
      <c r="W29" s="3484"/>
      <c r="X29" s="2897"/>
      <c r="Y29" s="3483" t="s">
        <v>2827</v>
      </c>
      <c r="Z29" s="3484"/>
      <c r="AA29" s="3484"/>
      <c r="AB29" s="3484"/>
      <c r="AC29" s="3484"/>
      <c r="AD29" s="3484"/>
    </row>
    <row r="30" spans="1:44" s="2010" customFormat="1" ht="14.2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2.75">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3" sqref="H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6" t="s">
        <v>2838</v>
      </c>
      <c r="B1" s="3496"/>
      <c r="C1" s="3496"/>
      <c r="D1" s="3496"/>
      <c r="E1" s="3496"/>
      <c r="F1" s="3496"/>
      <c r="G1" s="349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9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49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174.9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6" t="s">
        <v>927</v>
      </c>
      <c r="B5" s="3176"/>
      <c r="C5" s="3176"/>
      <c r="D5" s="3176" t="e">
        <f ca="1">结果表!D119</f>
        <v>#REF!</v>
      </c>
      <c r="E5" s="3176"/>
      <c r="F5" s="3176" t="e">
        <f ca="1">结果表!F119</f>
        <v>#REF!</v>
      </c>
      <c r="G5" s="3176"/>
      <c r="H5" s="3176" t="e">
        <f ca="1">结果表!H119</f>
        <v>#REF!</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房地产抵押价值</v>
      </c>
      <c r="B8" s="3177"/>
      <c r="C8" s="3177"/>
      <c r="D8" s="3177" t="e">
        <f ca="1">结果表!D122</f>
        <v>#REF!</v>
      </c>
      <c r="E8" s="3177"/>
      <c r="F8" s="3177"/>
      <c r="G8" s="3177"/>
      <c r="H8" s="3177"/>
      <c r="I8" s="3177"/>
    </row>
    <row r="9" spans="1:9" ht="15">
      <c r="A9" s="3176" t="s">
        <v>927</v>
      </c>
      <c r="B9" s="3176"/>
      <c r="C9" s="3176"/>
      <c r="D9" s="3176" t="e">
        <f ca="1">结果表!D123</f>
        <v>#REF!</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45828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2159</v>
      </c>
      <c r="B17" s="3200"/>
      <c r="C17" s="3200"/>
      <c r="D17" s="3200"/>
      <c r="E17" s="3200"/>
      <c r="F17" s="3200"/>
      <c r="G17" s="3200"/>
      <c r="H17" s="3200"/>
    </row>
    <row r="18" spans="1:8" ht="24" customHeight="1">
      <c r="A18" s="3201" t="s">
        <v>2160</v>
      </c>
      <c r="B18" s="3201"/>
      <c r="C18" s="3201"/>
      <c r="D18" s="2160"/>
      <c r="E18" s="3202" t="s">
        <v>2161</v>
      </c>
      <c r="F18" s="3201"/>
      <c r="G18" s="320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2025-06-20T05:55:06Z</dcterms:modified>
</cp:coreProperties>
</file>